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Monthly Report\Master List\2018\Febuary 2018\"/>
    </mc:Choice>
  </mc:AlternateContent>
  <bookViews>
    <workbookView xWindow="0" yWindow="0" windowWidth="20490" windowHeight="7755" tabRatio="704" activeTab="2"/>
  </bookViews>
  <sheets>
    <sheet name="By Industries (NBC)" sheetId="1" r:id="rId1"/>
    <sheet name="Support Cre-Ind" sheetId="2" state="hidden" r:id="rId2"/>
    <sheet name="New Master-List" sheetId="3" r:id="rId3"/>
    <sheet name="Consolidate O-D" sheetId="4" r:id="rId4"/>
    <sheet name="Consolidate TL" sheetId="5" r:id="rId5"/>
    <sheet name="Support Avg. Int.Rate" sheetId="7" r:id="rId6"/>
    <sheet name="Provision" sheetId="9" r:id="rId7"/>
    <sheet name="Special Mention" sheetId="10" r:id="rId8"/>
    <sheet name="Sub-Stan" sheetId="11" r:id="rId9"/>
    <sheet name="Doubtfull" sheetId="12" r:id="rId10"/>
    <sheet name="Loss Loan" sheetId="13" r:id="rId11"/>
    <sheet name="Write off " sheetId="14" r:id="rId12"/>
  </sheets>
  <externalReferences>
    <externalReference r:id="rId13"/>
    <externalReference r:id="rId14"/>
    <externalReference r:id="rId15"/>
    <externalReference r:id="rId16"/>
    <externalReference r:id="rId17"/>
    <externalReference r:id="rId18"/>
    <externalReference r:id="rId19"/>
  </externalReferences>
  <definedNames>
    <definedName name="\1" localSheetId="9">[1]Cap3!#REF!</definedName>
    <definedName name="\1" localSheetId="10">[1]Cap3!#REF!</definedName>
    <definedName name="\1" localSheetId="6">[1]Cap3!#REF!</definedName>
    <definedName name="\1" localSheetId="7">[1]Cap3!#REF!</definedName>
    <definedName name="\1" localSheetId="8">[1]Cap3!#REF!</definedName>
    <definedName name="\1" localSheetId="11">[1]Cap3!#REF!</definedName>
    <definedName name="\p" localSheetId="9">[1]Cap3!#REF!</definedName>
    <definedName name="\p" localSheetId="10">[1]Cap3!#REF!</definedName>
    <definedName name="\p" localSheetId="6">[1]Cap3!#REF!</definedName>
    <definedName name="\p" localSheetId="7">[1]Cap3!#REF!</definedName>
    <definedName name="\p" localSheetId="8">[1]Cap3!#REF!</definedName>
    <definedName name="\p" localSheetId="11">[1]Cap3!#REF!</definedName>
    <definedName name="\P1" localSheetId="9">[1]Cap3!#REF!</definedName>
    <definedName name="\P1" localSheetId="10">[1]Cap3!#REF!</definedName>
    <definedName name="\P1" localSheetId="6">[1]Cap3!#REF!</definedName>
    <definedName name="\P1" localSheetId="7">[1]Cap3!#REF!</definedName>
    <definedName name="\P1" localSheetId="8">[1]Cap3!#REF!</definedName>
    <definedName name="\P1" localSheetId="11">[1]Cap3!#REF!</definedName>
    <definedName name="\P2" localSheetId="9">[1]Cap3!#REF!</definedName>
    <definedName name="\P2" localSheetId="10">[1]Cap3!#REF!</definedName>
    <definedName name="\P2" localSheetId="6">[1]Cap3!#REF!</definedName>
    <definedName name="\P2" localSheetId="7">[1]Cap3!#REF!</definedName>
    <definedName name="\P2" localSheetId="8">[1]Cap3!#REF!</definedName>
    <definedName name="\P2" localSheetId="11">[1]Cap3!#REF!</definedName>
    <definedName name="\P3" localSheetId="9">[1]Cap3!#REF!</definedName>
    <definedName name="\P3" localSheetId="10">[1]Cap3!#REF!</definedName>
    <definedName name="\P3" localSheetId="6">[1]Cap3!#REF!</definedName>
    <definedName name="\P3" localSheetId="7">[1]Cap3!#REF!</definedName>
    <definedName name="\P3" localSheetId="8">[1]Cap3!#REF!</definedName>
    <definedName name="\P3" localSheetId="11">[1]Cap3!#REF!</definedName>
    <definedName name="__sec1" localSheetId="9">#REF!</definedName>
    <definedName name="__sec1" localSheetId="10">#REF!</definedName>
    <definedName name="__sec1" localSheetId="6">#REF!</definedName>
    <definedName name="__sec1" localSheetId="7">#REF!</definedName>
    <definedName name="__sec1" localSheetId="8">#REF!</definedName>
    <definedName name="__sec1" localSheetId="11">#REF!</definedName>
    <definedName name="_xlnm._FilterDatabase" localSheetId="4" hidden="1">'Consolidate TL'!$A$14:$M$197</definedName>
    <definedName name="_xlnm._FilterDatabase" localSheetId="2" hidden="1">'New Master-List'!$A$13:$AI$199</definedName>
    <definedName name="abc" localSheetId="9">'[2]By Industries (NBC)'!$A$4:$A$14,'[2]By Industries (NBC)'!$A$19:$A$23</definedName>
    <definedName name="abc" localSheetId="10">'[2]By Industries (NBC)'!$A$4:$A$14,'[2]By Industries (NBC)'!$A$19:$A$23</definedName>
    <definedName name="abc" localSheetId="6">'[2]By Industries (NBC)'!$A$4:$A$14,'[2]By Industries (NBC)'!$A$19:$A$23</definedName>
    <definedName name="abc" localSheetId="7">'[2]By Industries (NBC)'!$A$4:$A$14,'[2]By Industries (NBC)'!$A$19:$A$23</definedName>
    <definedName name="abc" localSheetId="8">'[2]By Industries (NBC)'!$A$4:$A$14,'[2]By Industries (NBC)'!$A$19:$A$23</definedName>
    <definedName name="abc" localSheetId="11">'[2]By Industries (NBC)'!$A$4:$A$14,'[2]By Industries (NBC)'!$A$19:$A$23</definedName>
    <definedName name="bbb" localSheetId="9">'[2]By Industries (NBC)'!$A$4:$A$9,'[2]By Industries (NBC)'!$A$11,'[2]By Industries (NBC)'!$A$12,'[2]By Industries (NBC)'!$A$14,'[2]By Industries (NBC)'!$A$13</definedName>
    <definedName name="bbb" localSheetId="10">'[2]By Industries (NBC)'!$A$4:$A$9,'[2]By Industries (NBC)'!$A$11,'[2]By Industries (NBC)'!$A$12,'[2]By Industries (NBC)'!$A$14,'[2]By Industries (NBC)'!$A$13</definedName>
    <definedName name="bbb" localSheetId="6">'[2]By Industries (NBC)'!$A$4:$A$9,'[2]By Industries (NBC)'!$A$11,'[2]By Industries (NBC)'!$A$12,'[2]By Industries (NBC)'!$A$14,'[2]By Industries (NBC)'!$A$13</definedName>
    <definedName name="bbb" localSheetId="7">'[2]By Industries (NBC)'!$A$4:$A$9,'[2]By Industries (NBC)'!$A$11,'[2]By Industries (NBC)'!$A$12,'[2]By Industries (NBC)'!$A$14,'[2]By Industries (NBC)'!$A$13</definedName>
    <definedName name="bbb" localSheetId="8">'[2]By Industries (NBC)'!$A$4:$A$9,'[2]By Industries (NBC)'!$A$11,'[2]By Industries (NBC)'!$A$12,'[2]By Industries (NBC)'!$A$14,'[2]By Industries (NBC)'!$A$13</definedName>
    <definedName name="bbb" localSheetId="11">'[2]By Industries (NBC)'!$A$4:$A$9,'[2]By Industries (NBC)'!$A$11,'[2]By Industries (NBC)'!$A$12,'[2]By Industries (NBC)'!$A$14,'[2]By Industries (NBC)'!$A$13</definedName>
    <definedName name="CREDIT" localSheetId="9">'[2]By Industries (NBC)'!$A$5:$A$8,'[2]By Industries (NBC)'!$A$10:$A$13,'[2]By Industries (NBC)'!$A$15:$A$18</definedName>
    <definedName name="CREDIT" localSheetId="10">'[2]By Industries (NBC)'!$A$5:$A$8,'[2]By Industries (NBC)'!$A$10:$A$13,'[2]By Industries (NBC)'!$A$15:$A$18</definedName>
    <definedName name="CREDIT" localSheetId="6">'[2]By Industries (NBC)'!$A$5:$A$8,'[2]By Industries (NBC)'!$A$10:$A$13,'[2]By Industries (NBC)'!$A$15:$A$18</definedName>
    <definedName name="CREDIT" localSheetId="7">'[2]By Industries (NBC)'!$A$5:$A$8,'[2]By Industries (NBC)'!$A$10:$A$13,'[2]By Industries (NBC)'!$A$15:$A$18</definedName>
    <definedName name="CREDIT" localSheetId="8">'[2]By Industries (NBC)'!$A$5:$A$8,'[2]By Industries (NBC)'!$A$10:$A$13,'[2]By Industries (NBC)'!$A$15:$A$18</definedName>
    <definedName name="CREDIT" localSheetId="11">'[2]By Industries (NBC)'!$A$5:$A$8,'[2]By Industries (NBC)'!$A$10:$A$13,'[2]By Industries (NBC)'!$A$15:$A$18</definedName>
    <definedName name="ddd" localSheetId="9">'[2]By Industries (NBC)'!$A$5:$A$8,'[2]By Industries (NBC)'!$A$10:$A$13,'[2]By Industries (NBC)'!$A$15:$A$18</definedName>
    <definedName name="ddd" localSheetId="10">'[2]By Industries (NBC)'!$A$5:$A$8,'[2]By Industries (NBC)'!$A$10:$A$13,'[2]By Industries (NBC)'!$A$15:$A$18</definedName>
    <definedName name="ddd" localSheetId="6">'[2]By Industries (NBC)'!$A$5:$A$8,'[2]By Industries (NBC)'!$A$10:$A$13,'[2]By Industries (NBC)'!$A$15:$A$18</definedName>
    <definedName name="ddd" localSheetId="7">'[2]By Industries (NBC)'!$A$5:$A$8,'[2]By Industries (NBC)'!$A$10:$A$13,'[2]By Industries (NBC)'!$A$15:$A$18</definedName>
    <definedName name="ddd" localSheetId="8">'[2]By Industries (NBC)'!$A$5:$A$8,'[2]By Industries (NBC)'!$A$10:$A$13,'[2]By Industries (NBC)'!$A$15:$A$18</definedName>
    <definedName name="ddd" localSheetId="11">'[2]By Industries (NBC)'!$A$5:$A$8,'[2]By Industries (NBC)'!$A$10:$A$13,'[2]By Industries (NBC)'!$A$15:$A$18</definedName>
    <definedName name="eco_sec" localSheetId="9">'[3]by Eco Sec'!$B$5:$B$24</definedName>
    <definedName name="eco_sec" localSheetId="10">'[3]by Eco Sec'!$B$5:$B$24</definedName>
    <definedName name="eco_sec" localSheetId="6">'[3]by Eco Sec'!$B$5:$B$24</definedName>
    <definedName name="eco_sec" localSheetId="7">'[3]by Eco Sec'!$B$5:$B$24</definedName>
    <definedName name="eco_sec" localSheetId="8">'[3]by Eco Sec'!$B$5:$B$24</definedName>
    <definedName name="eco_sec" localSheetId="11">'[3]by Eco Sec'!$B$5:$B$24</definedName>
    <definedName name="IND">'By Industries (NBC)'!$A$4:$A$284</definedName>
    <definedName name="INDD">'By Industries (NBC)'!$A$4:$A$288</definedName>
    <definedName name="indus" localSheetId="9">'[4]New Credit by Economic Sectors'!$B$5:$B$74</definedName>
    <definedName name="indus" localSheetId="10">'[4]New Credit by Economic Sectors'!$B$5:$B$74</definedName>
    <definedName name="indus" localSheetId="6">'[4]New Credit by Economic Sectors'!$B$5:$B$74</definedName>
    <definedName name="indus" localSheetId="7">'[4]New Credit by Economic Sectors'!$B$5:$B$74</definedName>
    <definedName name="indus" localSheetId="8">'[4]New Credit by Economic Sectors'!$B$5:$B$74</definedName>
    <definedName name="indus" localSheetId="11">'[4]New Credit by Economic Sectors'!$B$5:$B$74</definedName>
    <definedName name="industries" localSheetId="9">'[2]By Industries (NBC)'!$A$4:$A$285</definedName>
    <definedName name="industries" localSheetId="10">'[2]By Industries (NBC)'!$A$4:$A$285</definedName>
    <definedName name="industries" localSheetId="6">'[2]By Industries (NBC)'!$A$4:$A$285</definedName>
    <definedName name="industries" localSheetId="7">'[2]By Industries (NBC)'!$A$4:$A$285</definedName>
    <definedName name="industries" localSheetId="8">'[2]By Industries (NBC)'!$A$4:$A$285</definedName>
    <definedName name="industries" localSheetId="11">'[2]By Industries (NBC)'!$A$4:$A$285</definedName>
    <definedName name="jjj" localSheetId="9">'[2]By Industries (NBC)'!$A$4:$A$9,'[2]By Industries (NBC)'!$A$11,'[2]By Industries (NBC)'!$A$12,'[2]By Industries (NBC)'!$A$14,'[2]By Industries (NBC)'!$A$13</definedName>
    <definedName name="jjj" localSheetId="10">'[2]By Industries (NBC)'!$A$4:$A$9,'[2]By Industries (NBC)'!$A$11,'[2]By Industries (NBC)'!$A$12,'[2]By Industries (NBC)'!$A$14,'[2]By Industries (NBC)'!$A$13</definedName>
    <definedName name="jjj" localSheetId="6">'[2]By Industries (NBC)'!$A$4:$A$9,'[2]By Industries (NBC)'!$A$11,'[2]By Industries (NBC)'!$A$12,'[2]By Industries (NBC)'!$A$14,'[2]By Industries (NBC)'!$A$13</definedName>
    <definedName name="jjj" localSheetId="7">'[2]By Industries (NBC)'!$A$4:$A$9,'[2]By Industries (NBC)'!$A$11,'[2]By Industries (NBC)'!$A$12,'[2]By Industries (NBC)'!$A$14,'[2]By Industries (NBC)'!$A$13</definedName>
    <definedName name="jjj" localSheetId="8">'[2]By Industries (NBC)'!$A$4:$A$9,'[2]By Industries (NBC)'!$A$11,'[2]By Industries (NBC)'!$A$12,'[2]By Industries (NBC)'!$A$14,'[2]By Industries (NBC)'!$A$13</definedName>
    <definedName name="jjj" localSheetId="11">'[2]By Industries (NBC)'!$A$4:$A$9,'[2]By Industries (NBC)'!$A$11,'[2]By Industries (NBC)'!$A$12,'[2]By Industries (NBC)'!$A$14,'[2]By Industries (NBC)'!$A$13</definedName>
    <definedName name="_xlnm.Print_Area" localSheetId="0">'By Industries (NBC)'!$A$1:$J$297</definedName>
    <definedName name="_xlnm.Print_Area" localSheetId="3">'Consolidate O-D'!$A$1:$J$27</definedName>
    <definedName name="_xlnm.Print_Area" localSheetId="4">'Consolidate TL'!$A$1:$L$238</definedName>
    <definedName name="_xlnm.Print_Area" localSheetId="5">'Support Avg. Int.Rate'!$A$1:$M$89</definedName>
    <definedName name="_xlnm.Print_Area" localSheetId="11">'Write off '!$A$1:$M$22</definedName>
    <definedName name="_xlnm.Print_Titles" localSheetId="3">'Consolidate O-D'!$5:$6</definedName>
    <definedName name="_xlnm.Print_Titles" localSheetId="4">'Consolidate TL'!$5:$5</definedName>
    <definedName name="qqq" localSheetId="9">'[2]By Industries (NBC)'!$A$10:$A$13,'[2]By Industries (NBC)'!$A$5:$A$8</definedName>
    <definedName name="qqq" localSheetId="10">'[2]By Industries (NBC)'!$A$10:$A$13,'[2]By Industries (NBC)'!$A$5:$A$8</definedName>
    <definedName name="qqq" localSheetId="6">'[2]By Industries (NBC)'!$A$10:$A$13,'[2]By Industries (NBC)'!$A$5:$A$8</definedName>
    <definedName name="qqq" localSheetId="7">'[2]By Industries (NBC)'!$A$10:$A$13,'[2]By Industries (NBC)'!$A$5:$A$8</definedName>
    <definedName name="qqq" localSheetId="8">'[2]By Industries (NBC)'!$A$10:$A$13,'[2]By Industries (NBC)'!$A$5:$A$8</definedName>
    <definedName name="qqq" localSheetId="11">'[2]By Industries (NBC)'!$A$10:$A$13,'[2]By Industries (NBC)'!$A$5:$A$8</definedName>
    <definedName name="Z_004347EA_D105_4069_BEE5_17A1FD11F495_.wvu.FilterData" localSheetId="2" hidden="1">'New Master-List'!$A$6:$AI$13</definedName>
    <definedName name="Z_017807F8_AD95_4053_8EBF_AB0CC9779FC4_.wvu.FilterData" localSheetId="2" hidden="1">'New Master-List'!$A$6:$AU$8</definedName>
    <definedName name="Z_01BD49AA_7F8F_4C12_B5FA_9460A781A532_.wvu.FilterData" localSheetId="2" hidden="1">'New Master-List'!$A$6:$AU$8</definedName>
    <definedName name="Z_050C38C1_FBE2_4921_9C79_7CA72FB1DBEC_.wvu.FilterData" localSheetId="2" hidden="1">'New Master-List'!$A$6:$AU$8</definedName>
    <definedName name="Z_052FCCCD_257E_4FB9_B1CD_53D7B3907A99_.wvu.FilterData" localSheetId="2" hidden="1">'New Master-List'!$A$6:$AI$13</definedName>
    <definedName name="Z_079DB149_D22A_4B81_8785_D5906DD3C568_.wvu.FilterData" localSheetId="2" hidden="1">'New Master-List'!$A$13:$BW$13</definedName>
    <definedName name="Z_0880833A_97B4_4749_8E8A_50B9FC961131_.wvu.FilterData" localSheetId="2" hidden="1">'New Master-List'!$A$13:$BW$199</definedName>
    <definedName name="Z_0A4CCAD7_5156_43C7_8A75_4231E5230511_.wvu.FilterData" localSheetId="2" hidden="1">'New Master-List'!$A$6:$BW$6</definedName>
    <definedName name="Z_0C6DA001_EF29_43B3_B8E5_B7C6D16AED4F_.wvu.FilterData" localSheetId="2" hidden="1">'New Master-List'!$A$6:$AU$8</definedName>
    <definedName name="Z_0C6DA001_EF29_43B3_B8E5_B7C6D16AED4F_.wvu.PrintArea" localSheetId="0" hidden="1">'By Industries (NBC)'!$A$1:$J$296</definedName>
    <definedName name="Z_0C6DA001_EF29_43B3_B8E5_B7C6D16AED4F_.wvu.PrintArea" localSheetId="3" hidden="1">'Consolidate O-D'!$A$1:$J$34</definedName>
    <definedName name="Z_0C6DA001_EF29_43B3_B8E5_B7C6D16AED4F_.wvu.PrintArea" localSheetId="4" hidden="1">'Consolidate TL'!$A$1:$L$238</definedName>
    <definedName name="Z_0C6DA001_EF29_43B3_B8E5_B7C6D16AED4F_.wvu.PrintArea" localSheetId="11" hidden="1">'Write off '!$A$1:$M$22</definedName>
    <definedName name="Z_0C6DA001_EF29_43B3_B8E5_B7C6D16AED4F_.wvu.PrintTitles" localSheetId="3" hidden="1">'Consolidate O-D'!$5:$6</definedName>
    <definedName name="Z_0C6DA001_EF29_43B3_B8E5_B7C6D16AED4F_.wvu.PrintTitles" localSheetId="4" hidden="1">'Consolidate TL'!$5:$5</definedName>
    <definedName name="Z_0E21F4D8_DA77_436A_918C_16984B2782D0_.wvu.FilterData" localSheetId="2" hidden="1">'New Master-List'!$A$13:$BW$13</definedName>
    <definedName name="Z_0EB1AA4C_ECDB_440E_B526_2970E346DFD8_.wvu.FilterData" localSheetId="2" hidden="1">'New Master-List'!$A$13:$BW$199</definedName>
    <definedName name="Z_101A03B5_D5B4_4DCB_ADAE_C7AA977DC0F5_.wvu.FilterData" localSheetId="2" hidden="1">'New Master-List'!$A$6:$AU$8</definedName>
    <definedName name="Z_10615CF9_DA5D_46EF_9D4C_F1BE076A47B6_.wvu.FilterData" localSheetId="2" hidden="1">'New Master-List'!$A$13:$BW$13</definedName>
    <definedName name="Z_1189F7E3_1C76_48D3_B2D7_DD0808A8836D_.wvu.FilterData" localSheetId="2" hidden="1">'New Master-List'!$A$13:$BW$199</definedName>
    <definedName name="Z_12D4E6F4_4ED5_4AFC_88AE_6735B7F42BDF_.wvu.FilterData" localSheetId="2" hidden="1">'New Master-List'!$A$13:$BW$199</definedName>
    <definedName name="Z_16D4A374_74B9_406B_A5BA_2D573E6A0CF2_.wvu.FilterData" localSheetId="2" hidden="1">'New Master-List'!$A$6:$AI$13</definedName>
    <definedName name="Z_1719EEA8_880A_4829_BC95_61FBAD094999_.wvu.FilterData" localSheetId="2" hidden="1">'New Master-List'!$A$6:$AI$13</definedName>
    <definedName name="Z_173F01C8_A1B2_4522_A0E2_DFF9774D4926_.wvu.FilterData" localSheetId="2" hidden="1">'New Master-List'!$A$13:$BW$13</definedName>
    <definedName name="Z_19A2CD60_CF17_42A9_B5A9_97826022D22E_.wvu.FilterData" localSheetId="2" hidden="1">'New Master-List'!$A$13:$BW$199</definedName>
    <definedName name="Z_1D7E6A4C_B593_4366_A777_6A03905313A7_.wvu.FilterData" localSheetId="2" hidden="1">'New Master-List'!$A$6:$AU$8</definedName>
    <definedName name="Z_1F4627ED_17BA_402D_B9F7_801AED7FD8E8_.wvu.FilterData" localSheetId="2" hidden="1">'New Master-List'!$A$1:$AI$13</definedName>
    <definedName name="Z_20857572_1E1C_465D_B914_4E1D30C1D78E_.wvu.FilterData" localSheetId="2" hidden="1">'New Master-List'!$A$6:$AI$13</definedName>
    <definedName name="Z_21B3F9B3_C64C_441B_8B37_0B295A020838_.wvu.FilterData" localSheetId="2" hidden="1">'New Master-List'!$A$13:$BW$13</definedName>
    <definedName name="Z_234584DD_EBC7_4C10_9331_C3B76BD7808A_.wvu.FilterData" localSheetId="2" hidden="1">'New Master-List'!$A$6:$AI$13</definedName>
    <definedName name="Z_253B7CBB_792D_4768_916B_7902D7943A8E_.wvu.FilterData" localSheetId="2" hidden="1">'New Master-List'!$A$6:$AU$8</definedName>
    <definedName name="Z_25BB9F0A_93E0_482E_BAE2_CFD7D68B15D0_.wvu.FilterData" localSheetId="2" hidden="1">'New Master-List'!$A$6:$AU$8</definedName>
    <definedName name="Z_26507CE2_00E2_40E9_A04B_DA258E1C4693_.wvu.FilterData" localSheetId="2" hidden="1">'New Master-List'!$A$6:$AU$8</definedName>
    <definedName name="Z_27CDDF45_0CB0_4410_8DA0_16AD652AD45B_.wvu.FilterData" localSheetId="2" hidden="1">'New Master-List'!$A$13:$BW$199</definedName>
    <definedName name="Z_2876B009_EA68_44C9_9E29_B48666D3FD4A_.wvu.FilterData" localSheetId="2" hidden="1">'New Master-List'!$A$13:$BW$199</definedName>
    <definedName name="Z_2896A421_8E5B_4BF0_9CC6_B6380E0DB314_.wvu.FilterData" localSheetId="2" hidden="1">'New Master-List'!$A$6:$AU$8</definedName>
    <definedName name="Z_2896A421_8E5B_4BF0_9CC6_B6380E0DB314_.wvu.PrintArea" localSheetId="3" hidden="1">'Consolidate O-D'!$A$1:$J$34</definedName>
    <definedName name="Z_2896A421_8E5B_4BF0_9CC6_B6380E0DB314_.wvu.PrintArea" localSheetId="4" hidden="1">'Consolidate TL'!$A$1:$L$5</definedName>
    <definedName name="Z_2896A421_8E5B_4BF0_9CC6_B6380E0DB314_.wvu.PrintArea" localSheetId="11" hidden="1">'Write off '!$A$1:$M$22</definedName>
    <definedName name="Z_2896A421_8E5B_4BF0_9CC6_B6380E0DB314_.wvu.PrintTitles" localSheetId="3" hidden="1">'Consolidate O-D'!$5:$6</definedName>
    <definedName name="Z_2896A421_8E5B_4BF0_9CC6_B6380E0DB314_.wvu.PrintTitles" localSheetId="4" hidden="1">'Consolidate TL'!$5:$5</definedName>
    <definedName name="Z_28A91534_22DA_4872_B232_47F68FE23CDC_.wvu.FilterData" localSheetId="2" hidden="1">'New Master-List'!$A$13:$BW$199</definedName>
    <definedName name="Z_29A99EB0_BA77_417F_B1F6_5E42FC9209CF_.wvu.FilterData" localSheetId="2" hidden="1">'New Master-List'!$A$13:$BW$13</definedName>
    <definedName name="Z_2A500CC3_48CB_4A09_9B86_30A9C74E8D11_.wvu.FilterData" localSheetId="2" hidden="1">'New Master-List'!$A$6:$AI$13</definedName>
    <definedName name="Z_2B331750_2DB6_42ED_A48D_D34070943AA3_.wvu.FilterData" localSheetId="2" hidden="1">'New Master-List'!$A$13:$BW$199</definedName>
    <definedName name="Z_2B6086D3_D560_447B_8E8D_A6EEF13421CF_.wvu.FilterData" localSheetId="2" hidden="1">'New Master-List'!$A$13:$BW$199</definedName>
    <definedName name="Z_2CF76C33_57A2_4EE7_9949_BBA7441508F4_.wvu.FilterData" localSheetId="2" hidden="1">'New Master-List'!$A$13:$BW$199</definedName>
    <definedName name="Z_2D3ADA5B_1B7A_435F_B880_1E57AA5D62E0_.wvu.FilterData" localSheetId="2" hidden="1">'New Master-List'!$A$6:$BW$8</definedName>
    <definedName name="Z_2DEA38CA_9703_4F2A_B007_F3100BBA6AD7_.wvu.FilterData" localSheetId="2" hidden="1">'New Master-List'!$A$13:$BW$199</definedName>
    <definedName name="Z_2E9AA36C_A70D_4BDE_B686_E80C099FD0D7_.wvu.FilterData" localSheetId="2" hidden="1">'New Master-List'!$A$6:$AU$8</definedName>
    <definedName name="Z_32CA57C4_E15C_4071_B424_5FEFD68D576D_.wvu.FilterData" localSheetId="2" hidden="1">'New Master-List'!$A$13:$BW$199</definedName>
    <definedName name="Z_33C8F802_32BC_417F_9ADC_8BC82FEB132C_.wvu.FilterData" localSheetId="2" hidden="1">'New Master-List'!$A$13:$BW$199</definedName>
    <definedName name="Z_349522CE_E09E_473C_8D51_961E21DED1DE_.wvu.FilterData" localSheetId="2" hidden="1">'New Master-List'!$A$13:$BW$199</definedName>
    <definedName name="Z_3834AEA2_C564_4733_8D62_FF640DD45439_.wvu.FilterData" localSheetId="2" hidden="1">'New Master-List'!$A$6:$AU$8</definedName>
    <definedName name="Z_387CCAF2_1E76_41A0_87CC_52F958FC1AD5_.wvu.FilterData" localSheetId="2" hidden="1">'New Master-List'!$A$13:$BW$199</definedName>
    <definedName name="Z_3A05AAD3_0CB8_4D83_B6C3_30D1D3631567_.wvu.FilterData" localSheetId="2" hidden="1">'New Master-List'!$A$6:$AU$8</definedName>
    <definedName name="Z_3A219B68_2794_4D14_A3D6_36023CC70FDB_.wvu.FilterData" localSheetId="2" hidden="1">'New Master-List'!$A$13:$BW$13</definedName>
    <definedName name="Z_3AA012F4_4C09_44DE_9573_513D755A697D_.wvu.FilterData" localSheetId="2" hidden="1">'New Master-List'!$A$13:$BW$199</definedName>
    <definedName name="Z_3ACF24BF_5F1B_4393_868A_2C91C4653B75_.wvu.FilterData" localSheetId="2" hidden="1">'New Master-List'!$A$6:$AU$8</definedName>
    <definedName name="Z_3D16DDDE_051C_4890_BDDC_77AEB65216B2_.wvu.FilterData" localSheetId="2" hidden="1">'New Master-List'!$A$13:$BW$199</definedName>
    <definedName name="Z_3D516B3E_B483_4295_9CA0_1CD588457C20_.wvu.FilterData" localSheetId="2" hidden="1">'New Master-List'!$A$13:$BW$199</definedName>
    <definedName name="Z_3DCBE202_BF98_410C_8704_F7E781774E18_.wvu.FilterData" localSheetId="2" hidden="1">'New Master-List'!$A$6:$BW$8</definedName>
    <definedName name="Z_3FE5399F_6D96_46C9_B56D_C9200CDFFBCC_.wvu.FilterData" localSheetId="2" hidden="1">'New Master-List'!$A$13:$BW$199</definedName>
    <definedName name="Z_3FE5399F_6D96_46C9_B56D_C9200CDFFBCC_.wvu.PrintArea" localSheetId="0" hidden="1">'By Industries (NBC)'!$A$1:$J$296</definedName>
    <definedName name="Z_3FE5399F_6D96_46C9_B56D_C9200CDFFBCC_.wvu.PrintArea" localSheetId="3" hidden="1">'Consolidate O-D'!$A$1:$J$34</definedName>
    <definedName name="Z_3FE5399F_6D96_46C9_B56D_C9200CDFFBCC_.wvu.PrintArea" localSheetId="4" hidden="1">'Consolidate TL'!$A$1:$L$5</definedName>
    <definedName name="Z_3FE5399F_6D96_46C9_B56D_C9200CDFFBCC_.wvu.PrintArea" localSheetId="11" hidden="1">'Write off '!$A$1:$M$22</definedName>
    <definedName name="Z_3FE5399F_6D96_46C9_B56D_C9200CDFFBCC_.wvu.PrintTitles" localSheetId="3" hidden="1">'Consolidate O-D'!$5:$6</definedName>
    <definedName name="Z_3FE5399F_6D96_46C9_B56D_C9200CDFFBCC_.wvu.PrintTitles" localSheetId="4" hidden="1">'Consolidate TL'!$5:$5</definedName>
    <definedName name="Z_3FE6E81E_9D3C_4490_8F7A_E6425D55F746_.wvu.FilterData" localSheetId="2" hidden="1">'New Master-List'!$A$13:$BW$13</definedName>
    <definedName name="Z_40E412CC_F19D_4686_8202_2ADCCBF5534E_.wvu.FilterData" localSheetId="2" hidden="1">'New Master-List'!$A$6:$AU$8</definedName>
    <definedName name="Z_41A2190C_FEE3_45A1_8F04_12EDF1C274E2_.wvu.FilterData" localSheetId="2" hidden="1">'New Master-List'!$A$13:$BW$199</definedName>
    <definedName name="Z_4463F22C_2BB2_4F54_A0B0_E8AD75291F2C_.wvu.FilterData" localSheetId="2" hidden="1">'New Master-List'!$A$13:$BW$199</definedName>
    <definedName name="Z_461F32DA_E6BD_4D7B_A1FD_24F1DD5EDBBE_.wvu.FilterData" localSheetId="2" hidden="1">'New Master-List'!$A$6:$AU$8</definedName>
    <definedName name="Z_46412C53_774C_4686_9CA0_7CAEE75B450A_.wvu.FilterData" localSheetId="2" hidden="1">'New Master-List'!$A$13:$BW$13</definedName>
    <definedName name="Z_469F8CCD_0DF4_459F_AE01_17FB272371B1_.wvu.FilterData" localSheetId="2" hidden="1">'New Master-List'!$A$6:$AU$8</definedName>
    <definedName name="Z_46E8629B_2EDC_4B30_B28B_719CA28B4616_.wvu.FilterData" localSheetId="2" hidden="1">'New Master-List'!$A$6:$AI$6</definedName>
    <definedName name="Z_4D04A9ED_BBB7_4B11_8B37_5CEEA214D493_.wvu.FilterData" localSheetId="2" hidden="1">'New Master-List'!$A$6:$AI$13</definedName>
    <definedName name="Z_4D13B44F_8E19_4EBD_9AA3_D8ED541B50E6_.wvu.FilterData" localSheetId="2" hidden="1">'New Master-List'!$A$6:$AI$13</definedName>
    <definedName name="Z_4DC72CBF_FA47_4C5C_9141_D77C10A1E003_.wvu.FilterData" localSheetId="2" hidden="1">'New Master-List'!$A$13:$BW$199</definedName>
    <definedName name="Z_506734AA_0F7A_42D8_B46E_52E9AA650EB0_.wvu.FilterData" localSheetId="2" hidden="1">'New Master-List'!$A$6:$AU$8</definedName>
    <definedName name="Z_5186F7F2_4777_40C3_AD0D_624402C91CB3_.wvu.FilterData" localSheetId="2" hidden="1">'New Master-List'!$A$6:$AU$8</definedName>
    <definedName name="Z_51A412B5_0E75_4615_BBB6_5CF03E1A3E32_.wvu.FilterData" localSheetId="2" hidden="1">'New Master-List'!$A$6:$AU$8</definedName>
    <definedName name="Z_51A412B5_0E75_4615_BBB6_5CF03E1A3E32_.wvu.PrintArea" localSheetId="0" hidden="1">'By Industries (NBC)'!$A$1:$J$296</definedName>
    <definedName name="Z_51A412B5_0E75_4615_BBB6_5CF03E1A3E32_.wvu.PrintArea" localSheetId="3" hidden="1">'Consolidate O-D'!$A$1:$J$34</definedName>
    <definedName name="Z_51A412B5_0E75_4615_BBB6_5CF03E1A3E32_.wvu.PrintArea" localSheetId="4" hidden="1">'Consolidate TL'!$A$1:$L$238</definedName>
    <definedName name="Z_51A412B5_0E75_4615_BBB6_5CF03E1A3E32_.wvu.PrintArea" localSheetId="11" hidden="1">'Write off '!$A$1:$M$22</definedName>
    <definedName name="Z_51A412B5_0E75_4615_BBB6_5CF03E1A3E32_.wvu.PrintTitles" localSheetId="3" hidden="1">'Consolidate O-D'!$5:$6</definedName>
    <definedName name="Z_51A412B5_0E75_4615_BBB6_5CF03E1A3E32_.wvu.PrintTitles" localSheetId="4" hidden="1">'Consolidate TL'!$5:$5</definedName>
    <definedName name="Z_52173E46_5818_4524_97F3_CF1EA533F618_.wvu.FilterData" localSheetId="2" hidden="1">'New Master-List'!$A$13:$BW$199</definedName>
    <definedName name="Z_52D7B441_1413_4C9B_9AAC_8135EA03E763_.wvu.FilterData" localSheetId="2" hidden="1">'New Master-List'!$A$6:$AI$13</definedName>
    <definedName name="Z_5366BB8D_DE32_4102_B1E8_8AE9D67AE179_.wvu.FilterData" localSheetId="2" hidden="1">'New Master-List'!$A$13:$BW$199</definedName>
    <definedName name="Z_5741083B_4064_470C_8E03_E65F145C8ABB_.wvu.FilterData" localSheetId="2" hidden="1">'New Master-List'!$A$6:$AU$8</definedName>
    <definedName name="Z_59F54382_296E_45A1_9B5C_21E844B67BBF_.wvu.FilterData" localSheetId="2" hidden="1">'New Master-List'!$A$6:$AU$8</definedName>
    <definedName name="Z_5B2A0C82_4A3C_4E49_B801_C3AC30798416_.wvu.FilterData" localSheetId="2" hidden="1">'New Master-List'!$A$13:$BW$199</definedName>
    <definedName name="Z_5B572498_D74B_4ECE_B9E4_5AC2035D14DD_.wvu.FilterData" localSheetId="2" hidden="1">'New Master-List'!$A$13:$BW$13</definedName>
    <definedName name="Z_5D07AE2D_41E4_4F85_878D_CD1F6A03FDFB_.wvu.FilterData" localSheetId="2" hidden="1">'New Master-List'!$A$13:$BW$13</definedName>
    <definedName name="Z_5D53F77E_0887_43B4_9CDE_29170597BA52_.wvu.FilterData" localSheetId="2" hidden="1">'New Master-List'!$A$13:$BW$199</definedName>
    <definedName name="Z_5EF78199_8B9A_416E_8787_716AC4833393_.wvu.FilterData" localSheetId="2" hidden="1">'New Master-List'!$A$6:$AU$8</definedName>
    <definedName name="Z_5F1820EB_3E9A_4EB0_8686_41F743271FFD_.wvu.FilterData" localSheetId="2" hidden="1">'New Master-List'!$A$6:$AI$13</definedName>
    <definedName name="Z_61CE75AA_B849_4D18_8838_F82995C6B087_.wvu.FilterData" localSheetId="2" hidden="1">'New Master-List'!$A$13:$BW$199</definedName>
    <definedName name="Z_61CE75AA_B849_4D18_8838_F82995C6B087_.wvu.PrintArea" localSheetId="0" hidden="1">'By Industries (NBC)'!$A$1:$J$296</definedName>
    <definedName name="Z_61CE75AA_B849_4D18_8838_F82995C6B087_.wvu.PrintArea" localSheetId="3" hidden="1">'Consolidate O-D'!$A$1:$J$34</definedName>
    <definedName name="Z_61CE75AA_B849_4D18_8838_F82995C6B087_.wvu.PrintArea" localSheetId="4" hidden="1">'Consolidate TL'!$A$1:$L$238</definedName>
    <definedName name="Z_61CE75AA_B849_4D18_8838_F82995C6B087_.wvu.PrintArea" localSheetId="11" hidden="1">'Write off '!$A$1:$M$22</definedName>
    <definedName name="Z_61CE75AA_B849_4D18_8838_F82995C6B087_.wvu.PrintTitles" localSheetId="3" hidden="1">'Consolidate O-D'!$5:$6</definedName>
    <definedName name="Z_61CE75AA_B849_4D18_8838_F82995C6B087_.wvu.PrintTitles" localSheetId="4" hidden="1">'Consolidate TL'!$5:$5</definedName>
    <definedName name="Z_624261C4_BC85_4B13_8BE1_096534FB28C4_.wvu.FilterData" localSheetId="2" hidden="1">'New Master-List'!$A$6:$AU$8</definedName>
    <definedName name="Z_63023269_E977_4B91_8070_6CC78B74E2A5_.wvu.FilterData" localSheetId="2" hidden="1">'New Master-List'!$A$6:$AU$8</definedName>
    <definedName name="Z_6332A3EE_2C6D_4E40_8559_CA85020125D2_.wvu.FilterData" localSheetId="2" hidden="1">'New Master-List'!$A$6:$AI$13</definedName>
    <definedName name="Z_639AF89B_2E92_49A6_B524_D64A730B67B6_.wvu.FilterData" localSheetId="2" hidden="1">'New Master-List'!$A$13:$BW$199</definedName>
    <definedName name="Z_63FB3B7C_C63A_4D68_BC28_B956E051CB8A_.wvu.FilterData" localSheetId="2" hidden="1">'New Master-List'!$A$13:$BW$199</definedName>
    <definedName name="Z_65B3DB06_7273_49D2_856A_6D1E264570BB_.wvu.FilterData" localSheetId="2" hidden="1">'New Master-List'!$A$6:$AI$13</definedName>
    <definedName name="Z_66D695CB_CD1C_4DCD_B8E4_D470133C5986_.wvu.FilterData" localSheetId="2" hidden="1">'New Master-List'!$A$6:$BW$6</definedName>
    <definedName name="Z_67534347_99EB_4E96_961C_28AE535F463B_.wvu.FilterData" localSheetId="2" hidden="1">'New Master-List'!$A$13:$BW$13</definedName>
    <definedName name="Z_68380F68_8B1A_4C93_BDA3_F9C0D91A69AD_.wvu.FilterData" localSheetId="2" hidden="1">'New Master-List'!$A$6:$AU$8</definedName>
    <definedName name="Z_68C0FA9D_80AF_4202_AD8C_F9DA2AEFCDF4_.wvu.FilterData" localSheetId="2" hidden="1">'New Master-List'!$A$13:$BW$199</definedName>
    <definedName name="Z_68F032AC_6830_4E1E_8827_601595799303_.wvu.FilterData" localSheetId="2" hidden="1">'New Master-List'!$A$13:$BW$199</definedName>
    <definedName name="Z_698E002C_778E_493F_83F9_A3962C1EDB01_.wvu.FilterData" localSheetId="2" hidden="1">'New Master-List'!$A$13:$BW$199</definedName>
    <definedName name="Z_699FAD99_7D0C_44E4_A243_2852B9E80B49_.wvu.FilterData" localSheetId="2" hidden="1">'New Master-List'!$A$13:$BW$199</definedName>
    <definedName name="Z_6EF26E68_1B9A_4748_A66C_9D8C184CAF14_.wvu.FilterData" localSheetId="2" hidden="1">'New Master-List'!$A$6:$AU$8</definedName>
    <definedName name="Z_6EF26E68_1B9A_4748_A66C_9D8C184CAF14_.wvu.PrintArea" localSheetId="3" hidden="1">'Consolidate O-D'!$A$1:$K$34</definedName>
    <definedName name="Z_6EF26E68_1B9A_4748_A66C_9D8C184CAF14_.wvu.PrintArea" localSheetId="4" hidden="1">'Consolidate TL'!$A$1:$P$5</definedName>
    <definedName name="Z_6EF26E68_1B9A_4748_A66C_9D8C184CAF14_.wvu.PrintTitles" localSheetId="3" hidden="1">'Consolidate O-D'!$5:$6</definedName>
    <definedName name="Z_6EF26E68_1B9A_4748_A66C_9D8C184CAF14_.wvu.PrintTitles" localSheetId="4" hidden="1">'Consolidate TL'!$5:$5</definedName>
    <definedName name="Z_7084A8C6_F359_434B_BC58_35FF43D7B95A_.wvu.FilterData" localSheetId="2" hidden="1">'New Master-List'!$A$13:$BW$199</definedName>
    <definedName name="Z_721B7622_AA16_4195_8AF4_4B8D9D9AB8FC_.wvu.FilterData" localSheetId="2" hidden="1">'New Master-List'!$A$13:$BW$199</definedName>
    <definedName name="Z_759D34B5_BCA8_474F_9C3F_DDEEC0769414_.wvu.FilterData" localSheetId="2" hidden="1">'New Master-List'!$A$13:$BW$199</definedName>
    <definedName name="Z_7631AB21_BAD4_410B_9EB7_37E4C039E55D_.wvu.FilterData" localSheetId="2" hidden="1">'New Master-List'!$A$6:$AU$8</definedName>
    <definedName name="Z_7631AB21_BAD4_410B_9EB7_37E4C039E55D_.wvu.PrintArea" localSheetId="0" hidden="1">'By Industries (NBC)'!$A$1:$J$296</definedName>
    <definedName name="Z_7631AB21_BAD4_410B_9EB7_37E4C039E55D_.wvu.PrintArea" localSheetId="3" hidden="1">'Consolidate O-D'!$A$1:$J$34</definedName>
    <definedName name="Z_7631AB21_BAD4_410B_9EB7_37E4C039E55D_.wvu.PrintArea" localSheetId="4" hidden="1">'Consolidate TL'!$A$1:$L$238</definedName>
    <definedName name="Z_7631AB21_BAD4_410B_9EB7_37E4C039E55D_.wvu.PrintArea" localSheetId="11" hidden="1">'Write off '!$A$1:$M$22</definedName>
    <definedName name="Z_7631AB21_BAD4_410B_9EB7_37E4C039E55D_.wvu.PrintTitles" localSheetId="3" hidden="1">'Consolidate O-D'!$5:$6</definedName>
    <definedName name="Z_7631AB21_BAD4_410B_9EB7_37E4C039E55D_.wvu.PrintTitles" localSheetId="4" hidden="1">'Consolidate TL'!$5:$5</definedName>
    <definedName name="Z_764D611F_3B91_44E8_91AA_21907D10E357_.wvu.FilterData" localSheetId="2" hidden="1">'New Master-List'!$A$6:$AU$8</definedName>
    <definedName name="Z_769D2862_FB99_4599_BD07_2FC1AE77F785_.wvu.FilterData" localSheetId="2" hidden="1">'New Master-List'!$A$13:$BW$199</definedName>
    <definedName name="Z_7728D18E_C34D_4CBF_9FE7_423B4F7E6562_.wvu.FilterData" localSheetId="2" hidden="1">'New Master-List'!$A$13:$BW$13</definedName>
    <definedName name="Z_7856E8F2_96BC_4BD5_B34D_0BB9D6CAA319_.wvu.FilterData" localSheetId="2" hidden="1">'New Master-List'!$A$13:$BW$199</definedName>
    <definedName name="Z_78AC77B2_670E_4198_AD70_1C87540684C3_.wvu.FilterData" localSheetId="2" hidden="1">'New Master-List'!$A$13:$BW$13</definedName>
    <definedName name="Z_79032882_E138_4CB1_906B_457D5443D788_.wvu.FilterData" localSheetId="2" hidden="1">'New Master-List'!$A$13:$BW$199</definedName>
    <definedName name="Z_794509E5_94CB_485D_AADB_EAEF111044E4_.wvu.FilterData" localSheetId="2" hidden="1">'New Master-List'!$A$6:$AU$8</definedName>
    <definedName name="Z_7B7CC372_DA9B_4967_9208_07AF7AF70CD1_.wvu.FilterData" localSheetId="2" hidden="1">'New Master-List'!$A$6:$AU$8</definedName>
    <definedName name="Z_7CC7C62D_A22C_4B0A_BD88_EF6DD9A5FB42_.wvu.FilterData" localSheetId="2" hidden="1">'New Master-List'!$A$6:$AU$8</definedName>
    <definedName name="Z_7D2CF447_E309_40E8_A840_4F7EDDCA5F03_.wvu.FilterData" localSheetId="2" hidden="1">'New Master-List'!$A$6:$AI$13</definedName>
    <definedName name="Z_7D39E396_D64D_4B20_BCE5_38A76F5AE145_.wvu.FilterData" localSheetId="2" hidden="1">'New Master-List'!$A$6:$BW$6</definedName>
    <definedName name="Z_7D8C6C95_39C1_44CF_8333_A8CB09F3EB4B_.wvu.FilterData" localSheetId="2" hidden="1">'New Master-List'!$A$13:$BW$199</definedName>
    <definedName name="Z_7D95FE88_52D3_4AF2_A747_7A28402A32C2_.wvu.FilterData" localSheetId="2" hidden="1">'New Master-List'!$A$13:$BW$199</definedName>
    <definedName name="Z_7D95FE88_52D3_4AF2_A747_7A28402A32C2_.wvu.PrintArea" localSheetId="0" hidden="1">'By Industries (NBC)'!$A$1:$J$296</definedName>
    <definedName name="Z_7D95FE88_52D3_4AF2_A747_7A28402A32C2_.wvu.PrintArea" localSheetId="3" hidden="1">'Consolidate O-D'!$A$1:$J$34</definedName>
    <definedName name="Z_7D95FE88_52D3_4AF2_A747_7A28402A32C2_.wvu.PrintArea" localSheetId="11" hidden="1">'Write off '!$A$1:$M$22</definedName>
    <definedName name="Z_7D95FE88_52D3_4AF2_A747_7A28402A32C2_.wvu.PrintTitles" localSheetId="3" hidden="1">'Consolidate O-D'!$5:$6</definedName>
    <definedName name="Z_7D95FE88_52D3_4AF2_A747_7A28402A32C2_.wvu.PrintTitles" localSheetId="4" hidden="1">'Consolidate TL'!$5:$5</definedName>
    <definedName name="Z_7F377F0A_82BE_4ABB_B9D4_914FFA48E35F_.wvu.FilterData" localSheetId="2" hidden="1">'New Master-List'!$A$13:$BW$199</definedName>
    <definedName name="Z_7F784530_9B10_42D7_8F54_8EB6B060482F_.wvu.FilterData" localSheetId="2" hidden="1">'New Master-List'!$A$6:$AI$13</definedName>
    <definedName name="Z_7FA5B39F_5870_40BC_A0DA_DC9EC3C2C2BD_.wvu.FilterData" localSheetId="2" hidden="1">'New Master-List'!$A$13:$BW$199</definedName>
    <definedName name="Z_807BF2A2_03C9_4ABB_87C2_E99D71FF1CBE_.wvu.FilterData" localSheetId="2" hidden="1">'New Master-List'!$A$6:$AI$13</definedName>
    <definedName name="Z_80E06DBA_C6F3_475B_8D63_21743367E2AD_.wvu.FilterData" localSheetId="2" hidden="1">'New Master-List'!$A$13:$BW$199</definedName>
    <definedName name="Z_80E06DBA_C6F3_475B_8D63_21743367E2AD_.wvu.PrintArea" localSheetId="0" hidden="1">'By Industries (NBC)'!$A$1:$J$296</definedName>
    <definedName name="Z_80E06DBA_C6F3_475B_8D63_21743367E2AD_.wvu.PrintArea" localSheetId="3" hidden="1">'Consolidate O-D'!$A$1:$J$34</definedName>
    <definedName name="Z_80E06DBA_C6F3_475B_8D63_21743367E2AD_.wvu.PrintArea" localSheetId="4" hidden="1">'Consolidate TL'!$A$1:$L$238</definedName>
    <definedName name="Z_80E06DBA_C6F3_475B_8D63_21743367E2AD_.wvu.PrintArea" localSheetId="11" hidden="1">'Write off '!$A$1:$M$22</definedName>
    <definedName name="Z_80E06DBA_C6F3_475B_8D63_21743367E2AD_.wvu.PrintTitles" localSheetId="3" hidden="1">'Consolidate O-D'!$5:$6</definedName>
    <definedName name="Z_80E06DBA_C6F3_475B_8D63_21743367E2AD_.wvu.PrintTitles" localSheetId="4" hidden="1">'Consolidate TL'!$5:$5</definedName>
    <definedName name="Z_836B3D21_4F3F_479C_B04F_42A2B419A2E7_.wvu.FilterData" localSheetId="2" hidden="1">'New Master-List'!$A$6:$AU$8</definedName>
    <definedName name="Z_8404D767_15F4_458A_9991_67E19BBCC2AC_.wvu.FilterData" localSheetId="2" hidden="1">'New Master-List'!$A$6:$AI$13</definedName>
    <definedName name="Z_88117B05_121D_4DD2_A6EA_6462930E0F04_.wvu.FilterData" localSheetId="2" hidden="1">'New Master-List'!$A$6:$AU$8</definedName>
    <definedName name="Z_8910C45C_9CF1_4730_8DED_5E414D871885_.wvu.FilterData" localSheetId="2" hidden="1">'New Master-List'!$A$13:$BW$199</definedName>
    <definedName name="Z_89F080F0_D742_4DAA_B3E2_3389B693BA7C_.wvu.FilterData" localSheetId="2" hidden="1">'New Master-List'!$A$13:$BW$199</definedName>
    <definedName name="Z_8AF18E21_1031_46CF_B2BC_F1B32D8B514B_.wvu.PrintArea" localSheetId="0" hidden="1">'By Industries (NBC)'!$A$1:$J$290</definedName>
    <definedName name="Z_8AF18E21_1031_46CF_B2BC_F1B32D8B514B_.wvu.PrintArea" localSheetId="3" hidden="1">'Consolidate O-D'!$A$1:$J$31</definedName>
    <definedName name="Z_8AF18E21_1031_46CF_B2BC_F1B32D8B514B_.wvu.PrintArea" localSheetId="1" hidden="1">'Support Cre-Ind'!$A$1:$L$474</definedName>
    <definedName name="Z_8F72FB3B_AAEB_416C_A499_AE52FEED59A6_.wvu.FilterData" localSheetId="2" hidden="1">'New Master-List'!$A$6:$AI$13</definedName>
    <definedName name="Z_90EE0A90_BF8B_4321_A3C1_204B6CFC74C3_.wvu.FilterData" localSheetId="2" hidden="1">'New Master-List'!$A$6:$BW$6</definedName>
    <definedName name="Z_910BB888_3E42_45DE_9F5D_77EFF60D5D90_.wvu.FilterData" localSheetId="2" hidden="1">'New Master-List'!$A$6:$AU$8</definedName>
    <definedName name="Z_91376831_5BB6_411B_BA51_C180FE20A3B8_.wvu.FilterData" localSheetId="2" hidden="1">'New Master-List'!$A$6:$AU$8</definedName>
    <definedName name="Z_915C6359_FC62_4DB5_A66C_62915F137739_.wvu.FilterData" localSheetId="2" hidden="1">'New Master-List'!$A$6:$BW$6</definedName>
    <definedName name="Z_91B20AAC_72A6_40BD_8C97_C43FE46071C4_.wvu.FilterData" localSheetId="2" hidden="1">'New Master-List'!$A$6:$AI$13</definedName>
    <definedName name="Z_920636FC_15D4_4534_B027_755A75A2B2F2_.wvu.FilterData" localSheetId="2" hidden="1">'New Master-List'!$A$13:$BW$13</definedName>
    <definedName name="Z_92600319_6DB0_4854_818E_8997018D4450_.wvu.FilterData" localSheetId="2" hidden="1">'New Master-List'!$A$6:$AI$13</definedName>
    <definedName name="Z_93FA6717_356B_4FD2_BD84_B16296951C4E_.wvu.FilterData" localSheetId="2" hidden="1">'New Master-List'!$A$6:$AI$13</definedName>
    <definedName name="Z_94138B01_5760_48C3_A8D5_2B8C582EF19A_.wvu.FilterData" localSheetId="2" hidden="1">'New Master-List'!$A$13:$BW$199</definedName>
    <definedName name="Z_9770D4F6_594B_423F_97BE_DB95851EAD0C_.wvu.FilterData" localSheetId="2" hidden="1">'New Master-List'!$A$13:$BW$199</definedName>
    <definedName name="Z_982047EE_CE4E_45FE_BFA8_5EFB69BF45FB_.wvu.FilterData" localSheetId="2" hidden="1">'New Master-List'!$A$6:$AI$13</definedName>
    <definedName name="Z_98D3DDB6_797A_47DD_9C96_BB16B2207A0C_.wvu.FilterData" localSheetId="2" hidden="1">'New Master-List'!$A$6:$AU$8</definedName>
    <definedName name="Z_98D3DDB6_797A_47DD_9C96_BB16B2207A0C_.wvu.PrintArea" localSheetId="0" hidden="1">'By Industries (NBC)'!$A$1:$J$296</definedName>
    <definedName name="Z_98D3DDB6_797A_47DD_9C96_BB16B2207A0C_.wvu.PrintArea" localSheetId="3" hidden="1">'Consolidate O-D'!$A$1:$J$34</definedName>
    <definedName name="Z_98D3DDB6_797A_47DD_9C96_BB16B2207A0C_.wvu.PrintArea" localSheetId="4" hidden="1">'Consolidate TL'!$A$1:$L$238</definedName>
    <definedName name="Z_98D3DDB6_797A_47DD_9C96_BB16B2207A0C_.wvu.PrintArea" localSheetId="11" hidden="1">'Write off '!$A$1:$M$22</definedName>
    <definedName name="Z_98D3DDB6_797A_47DD_9C96_BB16B2207A0C_.wvu.PrintTitles" localSheetId="3" hidden="1">'Consolidate O-D'!$5:$6</definedName>
    <definedName name="Z_98D3DDB6_797A_47DD_9C96_BB16B2207A0C_.wvu.PrintTitles" localSheetId="4" hidden="1">'Consolidate TL'!$5:$5</definedName>
    <definedName name="Z_99035F08_61ED_470F_B3B9_1C756A719D67_.wvu.FilterData" localSheetId="2" hidden="1">'New Master-List'!$A$6:$AI$13</definedName>
    <definedName name="Z_994961F8_B63E_47F6_B0C5_98F862423FE5_.wvu.FilterData" localSheetId="2" hidden="1">'New Master-List'!$A$13:$BW$13</definedName>
    <definedName name="Z_994961F8_B63E_47F6_B0C5_98F862423FE5_.wvu.PrintArea" localSheetId="0" hidden="1">'By Industries (NBC)'!$A$1:$J$296</definedName>
    <definedName name="Z_994961F8_B63E_47F6_B0C5_98F862423FE5_.wvu.PrintArea" localSheetId="3" hidden="1">'Consolidate O-D'!$A$1:$J$34</definedName>
    <definedName name="Z_994961F8_B63E_47F6_B0C5_98F862423FE5_.wvu.PrintArea" localSheetId="4" hidden="1">'Consolidate TL'!$A$1:$L$238</definedName>
    <definedName name="Z_994961F8_B63E_47F6_B0C5_98F862423FE5_.wvu.PrintArea" localSheetId="11" hidden="1">'Write off '!$A$1:$M$22</definedName>
    <definedName name="Z_994961F8_B63E_47F6_B0C5_98F862423FE5_.wvu.PrintTitles" localSheetId="3" hidden="1">'Consolidate O-D'!$5:$6</definedName>
    <definedName name="Z_994961F8_B63E_47F6_B0C5_98F862423FE5_.wvu.PrintTitles" localSheetId="4" hidden="1">'Consolidate TL'!$5:$5</definedName>
    <definedName name="Z_9A64BDA5_D997_47AD_B4D0_C9322F9B1134_.wvu.FilterData" localSheetId="2" hidden="1">'New Master-List'!$A$13:$BW$199</definedName>
    <definedName name="Z_9BA226E9_1840_4D58_8634_C7CD130BA9DE_.wvu.FilterData" localSheetId="2" hidden="1">'New Master-List'!$A$6:$AU$8</definedName>
    <definedName name="Z_9BA226E9_1840_4D58_8634_C7CD130BA9DE_.wvu.PrintArea" localSheetId="0" hidden="1">'By Industries (NBC)'!$A$1:$J$296</definedName>
    <definedName name="Z_9BA226E9_1840_4D58_8634_C7CD130BA9DE_.wvu.PrintArea" localSheetId="3" hidden="1">'Consolidate O-D'!$A$1:$J$34</definedName>
    <definedName name="Z_9BA226E9_1840_4D58_8634_C7CD130BA9DE_.wvu.PrintArea" localSheetId="4" hidden="1">'Consolidate TL'!$A$1:$L$238</definedName>
    <definedName name="Z_9BA226E9_1840_4D58_8634_C7CD130BA9DE_.wvu.PrintArea" localSheetId="11" hidden="1">'Write off '!$A$1:$M$22</definedName>
    <definedName name="Z_9BA226E9_1840_4D58_8634_C7CD130BA9DE_.wvu.PrintTitles" localSheetId="3" hidden="1">'Consolidate O-D'!$5:$6</definedName>
    <definedName name="Z_9BA226E9_1840_4D58_8634_C7CD130BA9DE_.wvu.PrintTitles" localSheetId="4" hidden="1">'Consolidate TL'!$5:$5</definedName>
    <definedName name="Z_9BD0B63B_EA9F_4F7D_A8CD_930FD091F2E3_.wvu.FilterData" localSheetId="2" hidden="1">'New Master-List'!$A$6:$AI$13</definedName>
    <definedName name="Z_9C61A900_C21C_47B7_B8B3_5772C2A60A28_.wvu.FilterData" localSheetId="2" hidden="1">'New Master-List'!$A$13:$BW$13</definedName>
    <definedName name="Z_9D9B7E59_5F42_4FA3_B57F_15819100D353_.wvu.FilterData" localSheetId="2" hidden="1">'New Master-List'!$A$13:$BW$199</definedName>
    <definedName name="Z_9E1CA0B1_6F6E_43BB_B782_B7708293F7F5_.wvu.FilterData" localSheetId="2" hidden="1">'New Master-List'!$A$6:$AU$8</definedName>
    <definedName name="Z_9E97762A_0304_432A_9ADF_601BBB939F9C_.wvu.FilterData" localSheetId="2" hidden="1">'New Master-List'!$A$13:$BW$13</definedName>
    <definedName name="Z_9ED09EA6_4579_48A9_AD5B_8A08B9AAA8BE_.wvu.FilterData" localSheetId="2" hidden="1">'New Master-List'!$A$13:$BW$199</definedName>
    <definedName name="Z_9ED09EA6_4579_48A9_AD5B_8A08B9AAA8BE_.wvu.PrintArea" localSheetId="0" hidden="1">'By Industries (NBC)'!$A$1:$J$290</definedName>
    <definedName name="Z_9ED09EA6_4579_48A9_AD5B_8A08B9AAA8BE_.wvu.PrintArea" localSheetId="3" hidden="1">'Consolidate O-D'!$A$1:$J$33</definedName>
    <definedName name="Z_9ED09EA6_4579_48A9_AD5B_8A08B9AAA8BE_.wvu.PrintArea" localSheetId="2" hidden="1">'New Master-List'!$A$1:$AG$231</definedName>
    <definedName name="Z_9ED09EA6_4579_48A9_AD5B_8A08B9AAA8BE_.wvu.PrintArea" localSheetId="1" hidden="1">'Support Cre-Ind'!$A$1:$L$474</definedName>
    <definedName name="Z_9F0E170B_2F9E_4D18_9F45_1320D3DDCDB2_.wvu.FilterData" localSheetId="2" hidden="1">'New Master-List'!$A$6:$AI$13</definedName>
    <definedName name="Z_9F9188FB_8109_47DE_9CDC_322FDE453469_.wvu.FilterData" localSheetId="2" hidden="1">'New Master-List'!$A$13:$BW$199</definedName>
    <definedName name="Z_A0FD7649_D32D_4E89_BC53_B6254C0467C0_.wvu.FilterData" localSheetId="2" hidden="1">'New Master-List'!$A$6:$AI$13</definedName>
    <definedName name="Z_A1D515A7_1E5B_4509_BA26_4ABAA82FF869_.wvu.FilterData" localSheetId="2" hidden="1">'New Master-List'!$A$6:$AU$8</definedName>
    <definedName name="Z_A1D515A7_1E5B_4509_BA26_4ABAA82FF869_.wvu.PrintArea" localSheetId="0" hidden="1">'By Industries (NBC)'!$A$1:$J$296</definedName>
    <definedName name="Z_A1D515A7_1E5B_4509_BA26_4ABAA82FF869_.wvu.PrintArea" localSheetId="3" hidden="1">'Consolidate O-D'!$A$1:$J$34</definedName>
    <definedName name="Z_A1D515A7_1E5B_4509_BA26_4ABAA82FF869_.wvu.PrintArea" localSheetId="4" hidden="1">'Consolidate TL'!$A$1:$L$238</definedName>
    <definedName name="Z_A1D515A7_1E5B_4509_BA26_4ABAA82FF869_.wvu.PrintArea" localSheetId="11" hidden="1">'Write off '!$A$1:$M$22</definedName>
    <definedName name="Z_A1D515A7_1E5B_4509_BA26_4ABAA82FF869_.wvu.PrintTitles" localSheetId="3" hidden="1">'Consolidate O-D'!$5:$6</definedName>
    <definedName name="Z_A1D515A7_1E5B_4509_BA26_4ABAA82FF869_.wvu.PrintTitles" localSheetId="4" hidden="1">'Consolidate TL'!$5:$5</definedName>
    <definedName name="Z_A2925DB9_C8BE_46B9_8C32_E9B1ADFCC2C8_.wvu.FilterData" localSheetId="2" hidden="1">'New Master-List'!$A$6:$AU$8</definedName>
    <definedName name="Z_A481A24B_3DE9_44C0_8823_F3A03D119AD5_.wvu.FilterData" localSheetId="2" hidden="1">'New Master-List'!$A$6:$AU$8</definedName>
    <definedName name="Z_A4A332BD_1654_490B_8AAB_0B14A8D09E6A_.wvu.FilterData" localSheetId="2" hidden="1">'New Master-List'!$A$13:$BW$199</definedName>
    <definedName name="Z_A5738A80_F8A5_4702_AAA4_F6737A648807_.wvu.FilterData" localSheetId="2" hidden="1">'New Master-List'!$A$13:$BW$13</definedName>
    <definedName name="Z_A7D0DA2E_68F0_4C43_A51F_CE7FAECADB3C_.wvu.FilterData" localSheetId="2" hidden="1">'New Master-List'!$A$6:$AU$8</definedName>
    <definedName name="Z_A7D2EFA8_F3C2_49AC_846E_510F13A5267C_.wvu.FilterData" localSheetId="2" hidden="1">'New Master-List'!$A$13:$BW$199</definedName>
    <definedName name="Z_A8FB9BD8_F0F8_4484_BB9E_E64E2A272A05_.wvu.FilterData" localSheetId="2" hidden="1">'New Master-List'!$A$6:$AU$8</definedName>
    <definedName name="Z_ABB9B280_44C3_4EF9_89AE_2EF63B859EAF_.wvu.FilterData" localSheetId="2" hidden="1">'New Master-List'!$A$6:$BW$6</definedName>
    <definedName name="Z_AD634856_FDF7_4DD8_8DC5_36C324FF0C87_.wvu.FilterData" localSheetId="2" hidden="1">'New Master-List'!$A$13:$BW$199</definedName>
    <definedName name="Z_AD634856_FDF7_4DD8_8DC5_36C324FF0C87_.wvu.PrintArea" localSheetId="0" hidden="1">'By Industries (NBC)'!$A$1:$J$296</definedName>
    <definedName name="Z_AD634856_FDF7_4DD8_8DC5_36C324FF0C87_.wvu.PrintArea" localSheetId="3" hidden="1">'Consolidate O-D'!$A$1:$J$34</definedName>
    <definedName name="Z_AD634856_FDF7_4DD8_8DC5_36C324FF0C87_.wvu.PrintArea" localSheetId="4" hidden="1">'Consolidate TL'!$A$1:$L$238</definedName>
    <definedName name="Z_AD634856_FDF7_4DD8_8DC5_36C324FF0C87_.wvu.PrintArea" localSheetId="11" hidden="1">'Write off '!$A$1:$M$22</definedName>
    <definedName name="Z_AD634856_FDF7_4DD8_8DC5_36C324FF0C87_.wvu.PrintTitles" localSheetId="3" hidden="1">'Consolidate O-D'!$5:$6</definedName>
    <definedName name="Z_AD634856_FDF7_4DD8_8DC5_36C324FF0C87_.wvu.PrintTitles" localSheetId="4" hidden="1">'Consolidate TL'!$5:$5</definedName>
    <definedName name="Z_AD785446_B60D_47FF_9EB3_0EDDDABE7EA3_.wvu.FilterData" localSheetId="2" hidden="1">'New Master-List'!$A$13:$BW$199</definedName>
    <definedName name="Z_AEFC0C8F_B3E9_4C6E_BCEF_0747DCF9684F_.wvu.FilterData" localSheetId="2" hidden="1">'New Master-List'!$A$13:$BW$199</definedName>
    <definedName name="Z_B1361AB2_6E72_48D7_A5BE_E87D80A24F6F_.wvu.FilterData" localSheetId="2" hidden="1">'New Master-List'!$A$6:$AU$8</definedName>
    <definedName name="Z_B1B123FF_3C6F_4D2A_B4A4_59C896624908_.wvu.FilterData" localSheetId="2" hidden="1">'New Master-List'!$A$13:$BW$199</definedName>
    <definedName name="Z_B1C24D8C_88FF_446D_99B0_A8209B67E82C_.wvu.FilterData" localSheetId="2" hidden="1">'New Master-List'!$A$13:$BW$13</definedName>
    <definedName name="Z_B24FFDA9_1A24_4071_8CF0_ED0A7A513A10_.wvu.FilterData" localSheetId="2" hidden="1">'New Master-List'!$A$6:$AI$13</definedName>
    <definedName name="Z_B2F02384_913E_498C_9ADF_CD9D499946E4_.wvu.FilterData" localSheetId="2" hidden="1">'New Master-List'!$A$13:$BW$199</definedName>
    <definedName name="Z_B3E9E49E_4806_46BE_BF4C_31B5276F7700_.wvu.FilterData" localSheetId="2" hidden="1">'New Master-List'!$A$6:$AU$8</definedName>
    <definedName name="Z_B4C8030C_364A_4F2E_9FA6_63156F012420_.wvu.FilterData" localSheetId="2" hidden="1">'New Master-List'!$A$13:$BW$13</definedName>
    <definedName name="Z_B4D07304_887E_4D88_ADEF_5054DF25E815_.wvu.FilterData" localSheetId="2" hidden="1">'New Master-List'!$A$6:$AI$13</definedName>
    <definedName name="Z_B553F772_4FE7_441E_8D91_A41147197032_.wvu.FilterData" localSheetId="2" hidden="1">'New Master-List'!$A$13:$BW$199</definedName>
    <definedName name="Z_B8A1874B_3BEF_4479_AD53_0D9BAC54C7CD_.wvu.FilterData" localSheetId="2" hidden="1">'New Master-List'!$A$6:$AU$8</definedName>
    <definedName name="Z_B8A1874B_3BEF_4479_AD53_0D9BAC54C7CD_.wvu.PrintArea" localSheetId="0" hidden="1">'By Industries (NBC)'!$A$1:$J$296</definedName>
    <definedName name="Z_B8A1874B_3BEF_4479_AD53_0D9BAC54C7CD_.wvu.PrintArea" localSheetId="3" hidden="1">'Consolidate O-D'!$A$1:$J$34</definedName>
    <definedName name="Z_B8A1874B_3BEF_4479_AD53_0D9BAC54C7CD_.wvu.PrintArea" localSheetId="4" hidden="1">'Consolidate TL'!$A$1:$L$240</definedName>
    <definedName name="Z_B8A1874B_3BEF_4479_AD53_0D9BAC54C7CD_.wvu.PrintArea" localSheetId="11" hidden="1">'Write off '!$A$1:$M$22</definedName>
    <definedName name="Z_B8A1874B_3BEF_4479_AD53_0D9BAC54C7CD_.wvu.PrintTitles" localSheetId="3" hidden="1">'Consolidate O-D'!$5:$6</definedName>
    <definedName name="Z_B8A1874B_3BEF_4479_AD53_0D9BAC54C7CD_.wvu.PrintTitles" localSheetId="4" hidden="1">'Consolidate TL'!$5:$5</definedName>
    <definedName name="Z_BB008AE0_AB8C_4C62_AF71_333CDD181DFA_.wvu.FilterData" localSheetId="2" hidden="1">'New Master-List'!$A$6:$AI$13</definedName>
    <definedName name="Z_BE0D3147_DAD4_4FF1_B555_CF152F1371ED_.wvu.FilterData" localSheetId="2" hidden="1">'New Master-List'!$A$6:$AI$13</definedName>
    <definedName name="Z_BE325C41_FA86_46F6_B1D8_C2520EA8F209_.wvu.FilterData" localSheetId="2" hidden="1">'New Master-List'!$A$13:$BW$199</definedName>
    <definedName name="Z_BE76667A_60C4_4702_8334_217BF8BB1245_.wvu.FilterData" localSheetId="2" hidden="1">'New Master-List'!$A$6:$BW$6</definedName>
    <definedName name="Z_BE76667A_60C4_4702_8334_217BF8BB1245_.wvu.PrintArea" localSheetId="0" hidden="1">'By Industries (NBC)'!$A$1:$J$296</definedName>
    <definedName name="Z_BE76667A_60C4_4702_8334_217BF8BB1245_.wvu.PrintArea" localSheetId="3" hidden="1">'Consolidate O-D'!$A$1:$J$34</definedName>
    <definedName name="Z_BE76667A_60C4_4702_8334_217BF8BB1245_.wvu.PrintArea" localSheetId="4" hidden="1">'Consolidate TL'!$A$1:$L$5</definedName>
    <definedName name="Z_BE76667A_60C4_4702_8334_217BF8BB1245_.wvu.PrintArea" localSheetId="2" hidden="1">'New Master-List'!$A$1:$AI$245</definedName>
    <definedName name="Z_BE76667A_60C4_4702_8334_217BF8BB1245_.wvu.PrintArea" localSheetId="11" hidden="1">'Write off '!$A$1:$M$22</definedName>
    <definedName name="Z_BE76667A_60C4_4702_8334_217BF8BB1245_.wvu.PrintTitles" localSheetId="3" hidden="1">'Consolidate O-D'!$5:$6</definedName>
    <definedName name="Z_BE76667A_60C4_4702_8334_217BF8BB1245_.wvu.PrintTitles" localSheetId="4" hidden="1">'Consolidate TL'!$5:$5</definedName>
    <definedName name="Z_BF7CF3B9_2E3F_48A3_81F6_43E0F23993F6_.wvu.FilterData" localSheetId="2" hidden="1">'New Master-List'!$A$13:$BW$199</definedName>
    <definedName name="Z_C13B28F0_420F_475D_9E91_10098C6BC332_.wvu.FilterData" localSheetId="2" hidden="1">'New Master-List'!$A$6:$AU$8</definedName>
    <definedName name="Z_C2459592_A0A5_4EF1_91FF_88A92E670FA0_.wvu.FilterData" localSheetId="2" hidden="1">'New Master-List'!$A$6:$AI$13</definedName>
    <definedName name="Z_C25AB5F4_862B_453E_928E_6E8E07EC9358_.wvu.FilterData" localSheetId="2" hidden="1">'New Master-List'!$A$6:$AU$8</definedName>
    <definedName name="Z_C2D8A66D_9F23_4F94_ACCC_5EA492120E1D_.wvu.FilterData" localSheetId="2" hidden="1">'New Master-List'!$A$6:$AU$8</definedName>
    <definedName name="Z_C47DB0CC_B4A5_4BE8_A621_E3BF3F1212CE_.wvu.FilterData" localSheetId="2" hidden="1">'New Master-List'!$A$13:$BW$13</definedName>
    <definedName name="Z_C4A2A821_6F03_4203_BEF3_F9B76EB413B0_.wvu.FilterData" localSheetId="2" hidden="1">'New Master-List'!$A$6:$AU$8</definedName>
    <definedName name="Z_C57D03F9_88DE_4996_9965_888CDFC990C2_.wvu.FilterData" localSheetId="2" hidden="1">'New Master-List'!$A$6:$AU$8</definedName>
    <definedName name="Z_C57D03F9_88DE_4996_9965_888CDFC990C2_.wvu.PrintArea" localSheetId="0" hidden="1">'By Industries (NBC)'!$A$1:$J$296</definedName>
    <definedName name="Z_C57D03F9_88DE_4996_9965_888CDFC990C2_.wvu.PrintArea" localSheetId="3" hidden="1">'Consolidate O-D'!$A$1:$J$34</definedName>
    <definedName name="Z_C57D03F9_88DE_4996_9965_888CDFC990C2_.wvu.PrintArea" localSheetId="4" hidden="1">'Consolidate TL'!$A$1:$L$238</definedName>
    <definedName name="Z_C57D03F9_88DE_4996_9965_888CDFC990C2_.wvu.PrintArea" localSheetId="11" hidden="1">'Write off '!$A$1:$M$22</definedName>
    <definedName name="Z_C57D03F9_88DE_4996_9965_888CDFC990C2_.wvu.PrintTitles" localSheetId="3" hidden="1">'Consolidate O-D'!$5:$6</definedName>
    <definedName name="Z_C57D03F9_88DE_4996_9965_888CDFC990C2_.wvu.PrintTitles" localSheetId="4" hidden="1">'Consolidate TL'!$5:$5</definedName>
    <definedName name="Z_C7D9DED7_C059_43C4_88BB_CE6FFB7D0A38_.wvu.FilterData" localSheetId="2" hidden="1">'New Master-List'!$A$6:$AU$8</definedName>
    <definedName name="Z_CAFB2867_15AC_4845_9D02_848C5FA79F37_.wvu.FilterData" localSheetId="2" hidden="1">'New Master-List'!$A$13:$BW$13</definedName>
    <definedName name="Z_CB3CBE70_F823_4A9A_9BBB_665617F82403_.wvu.FilterData" localSheetId="2" hidden="1">'New Master-List'!$A$6:$AU$8</definedName>
    <definedName name="Z_CB93968F_6E3D_464A_BEB3_BE0C6D5C6BF5_.wvu.FilterData" localSheetId="2" hidden="1">'New Master-List'!$A$6:$AI$13</definedName>
    <definedName name="Z_CBA58163_BC28_4BFE_8A93_FD31FDA97B0A_.wvu.FilterData" localSheetId="2" hidden="1">'New Master-List'!$A$6:$AU$8</definedName>
    <definedName name="Z_CCF1189A_A74C_4DBD_9A74_6D64213D9FDA_.wvu.FilterData" localSheetId="2" hidden="1">'New Master-List'!$A$6:$AI$13</definedName>
    <definedName name="Z_CFA13249_FB11_4954_B07A_8A5DFF771711_.wvu.FilterData" localSheetId="2" hidden="1">'New Master-List'!$A$6:$AI$13</definedName>
    <definedName name="Z_D06B20DF_7481_4250_98AE_E564282C6E3D_.wvu.FilterData" localSheetId="2" hidden="1">'New Master-List'!$A$6:$AI$13</definedName>
    <definedName name="Z_D286EBF2_4948_4854_ABCE_D6455A832A2C_.wvu.FilterData" localSheetId="2" hidden="1">'New Master-List'!$A$6:$AI$13</definedName>
    <definedName name="Z_D41DB639_9C36_4D55_89FC_1C004F0E02DA_.wvu.FilterData" localSheetId="2" hidden="1">'New Master-List'!$A$6:$AU$8</definedName>
    <definedName name="Z_D46BC268_E5F9_4E59_8408_853A7A757C07_.wvu.FilterData" localSheetId="2" hidden="1">'New Master-List'!$A$6:$AI$13</definedName>
    <definedName name="Z_D55B9EFA_2DA7_43E4_8347_D22012329A04_.wvu.FilterData" localSheetId="2" hidden="1">'New Master-List'!$A$6:$AU$8</definedName>
    <definedName name="Z_D628DBB0_CB7A_4291_9BAE_B1E83CB4BBE0_.wvu.FilterData" localSheetId="2" hidden="1">'New Master-List'!$A$6:$AU$8</definedName>
    <definedName name="Z_D70B84BC_AF24_4517_A89D_4FDB06ED100D_.wvu.FilterData" localSheetId="2" hidden="1">'New Master-List'!$A$13:$BW$199</definedName>
    <definedName name="Z_D7313B77_0486_42B0_B53E_4848F2B132B7_.wvu.FilterData" localSheetId="2" hidden="1">'New Master-List'!$A$6:$AU$8</definedName>
    <definedName name="Z_D869979C_7DEC_44C5_A8DF_FAFAEAA61EED_.wvu.FilterData" localSheetId="2" hidden="1">'New Master-List'!$A$13:$BW$199</definedName>
    <definedName name="Z_DB5C611D_B585_4D04_94DC_84E03E7F6427_.wvu.FilterData" localSheetId="2" hidden="1">'New Master-List'!$A$13:$BW$199</definedName>
    <definedName name="Z_DB5C611D_B585_4D04_94DC_84E03E7F6427_.wvu.PrintArea" localSheetId="0" hidden="1">'By Industries (NBC)'!$A$1:$J$296</definedName>
    <definedName name="Z_DB5C611D_B585_4D04_94DC_84E03E7F6427_.wvu.PrintArea" localSheetId="3" hidden="1">'Consolidate O-D'!$A$1:$J$34</definedName>
    <definedName name="Z_DB5C611D_B585_4D04_94DC_84E03E7F6427_.wvu.PrintArea" localSheetId="4" hidden="1">'Consolidate TL'!$A$1:$L$238</definedName>
    <definedName name="Z_DB5C611D_B585_4D04_94DC_84E03E7F6427_.wvu.PrintArea" localSheetId="11" hidden="1">'Write off '!$A$1:$M$22</definedName>
    <definedName name="Z_DB5C611D_B585_4D04_94DC_84E03E7F6427_.wvu.PrintTitles" localSheetId="3" hidden="1">'Consolidate O-D'!$5:$6</definedName>
    <definedName name="Z_DB5C611D_B585_4D04_94DC_84E03E7F6427_.wvu.PrintTitles" localSheetId="4" hidden="1">'Consolidate TL'!$5:$5</definedName>
    <definedName name="Z_DDBC746E_1C30_4352_9B95_B973EFA77A50_.wvu.FilterData" localSheetId="2" hidden="1">'New Master-List'!$A$13:$BW$199</definedName>
    <definedName name="Z_DE9AE7CE_6D44_4DBE_B604_4AFBEEACB324_.wvu.FilterData" localSheetId="2" hidden="1">'New Master-List'!$A$13:$BW$199</definedName>
    <definedName name="Z_DF1CF9A0_18A2_42AF_8ED0_559DBA724477_.wvu.FilterData" localSheetId="2" hidden="1">'New Master-List'!$A$6:$AU$8</definedName>
    <definedName name="Z_E0FEFCCA_5348_4E94_8AED_9DB04F3DB4F7_.wvu.FilterData" localSheetId="2" hidden="1">'New Master-List'!$A$13:$BW$199</definedName>
    <definedName name="Z_E3A88B45_3EB7_4EFD_B47A_B79E83489CBB_.wvu.FilterData" localSheetId="2" hidden="1">'New Master-List'!$A$13:$BW$13</definedName>
    <definedName name="Z_E4837792_4A99_499B_8EC2_DE4E4D167510_.wvu.FilterData" localSheetId="2" hidden="1">'New Master-List'!$A$6:$AI$13</definedName>
    <definedName name="Z_E4837792_4A99_499B_8EC2_DE4E4D167510_.wvu.PrintArea" localSheetId="0" hidden="1">'By Industries (NBC)'!$A$1:$J$290</definedName>
    <definedName name="Z_E4837792_4A99_499B_8EC2_DE4E4D167510_.wvu.PrintArea" localSheetId="3" hidden="1">'Consolidate O-D'!$A$1:$J$33</definedName>
    <definedName name="Z_E4837792_4A99_499B_8EC2_DE4E4D167510_.wvu.PrintArea" localSheetId="2" hidden="1">'New Master-List'!$A$1:$AG$231</definedName>
    <definedName name="Z_E4837792_4A99_499B_8EC2_DE4E4D167510_.wvu.PrintArea" localSheetId="1" hidden="1">'Support Cre-Ind'!$A$1:$L$474</definedName>
    <definedName name="Z_E4D8AEA0_7D37_4CF1_9F19_1F9F3CB7E99E_.wvu.FilterData" localSheetId="2" hidden="1">'New Master-List'!$A$6:$AU$8</definedName>
    <definedName name="Z_E4D8AEA0_7D37_4CF1_9F19_1F9F3CB7E99E_.wvu.PrintArea" localSheetId="0" hidden="1">'By Industries (NBC)'!$A$1:$J$296</definedName>
    <definedName name="Z_E4D8AEA0_7D37_4CF1_9F19_1F9F3CB7E99E_.wvu.PrintArea" localSheetId="3" hidden="1">'Consolidate O-D'!$A$1:$J$34</definedName>
    <definedName name="Z_E4D8AEA0_7D37_4CF1_9F19_1F9F3CB7E99E_.wvu.PrintArea" localSheetId="4" hidden="1">'Consolidate TL'!$A$1:$L$238</definedName>
    <definedName name="Z_E4D8AEA0_7D37_4CF1_9F19_1F9F3CB7E99E_.wvu.PrintArea" localSheetId="11" hidden="1">'Write off '!$A$1:$M$22</definedName>
    <definedName name="Z_E4D8AEA0_7D37_4CF1_9F19_1F9F3CB7E99E_.wvu.PrintTitles" localSheetId="3" hidden="1">'Consolidate O-D'!$5:$6</definedName>
    <definedName name="Z_E4D8AEA0_7D37_4CF1_9F19_1F9F3CB7E99E_.wvu.PrintTitles" localSheetId="4" hidden="1">'Consolidate TL'!$5:$5</definedName>
    <definedName name="Z_E5BCC4B4_F1B1_40C1_B93E_A6184E1EF716_.wvu.FilterData" localSheetId="2" hidden="1">'New Master-List'!$A$13:$BW$13</definedName>
    <definedName name="Z_E5BCC4B4_F1B1_40C1_B93E_A6184E1EF716_.wvu.PrintArea" localSheetId="0" hidden="1">'By Industries (NBC)'!$A$1:$J$296</definedName>
    <definedName name="Z_E5BCC4B4_F1B1_40C1_B93E_A6184E1EF716_.wvu.PrintArea" localSheetId="3" hidden="1">'Consolidate O-D'!$A$1:$J$34</definedName>
    <definedName name="Z_E5BCC4B4_F1B1_40C1_B93E_A6184E1EF716_.wvu.PrintArea" localSheetId="4" hidden="1">'Consolidate TL'!$A$1:$L$238</definedName>
    <definedName name="Z_E5BCC4B4_F1B1_40C1_B93E_A6184E1EF716_.wvu.PrintArea" localSheetId="11" hidden="1">'Write off '!$A$1:$M$22</definedName>
    <definedName name="Z_E5BCC4B4_F1B1_40C1_B93E_A6184E1EF716_.wvu.PrintTitles" localSheetId="3" hidden="1">'Consolidate O-D'!$5:$6</definedName>
    <definedName name="Z_E5BCC4B4_F1B1_40C1_B93E_A6184E1EF716_.wvu.PrintTitles" localSheetId="4" hidden="1">'Consolidate TL'!$5:$5</definedName>
    <definedName name="Z_E715BBED_7CD0_4F4D_9043_6F34870730CF_.wvu.FilterData" localSheetId="2" hidden="1">'New Master-List'!$A$13:$BW$13</definedName>
    <definedName name="Z_E723D0F6_8A0B_422D_A1F1_A89CE4397B53_.wvu.FilterData" localSheetId="2" hidden="1">'New Master-List'!$A$6:$AI$13</definedName>
    <definedName name="Z_E768193D_5449_4405_83AA_4ABFB92667BF_.wvu.FilterData" localSheetId="2" hidden="1">'New Master-List'!$A$6:$AU$8</definedName>
    <definedName name="Z_E9EF644D_C2C4_4634_8F00_B81A67F6B0C4_.wvu.FilterData" localSheetId="2" hidden="1">'New Master-List'!$A$13:$BW$13</definedName>
    <definedName name="Z_EB7EE49D_F2A0_4869_A94B_3C8A88E45959_.wvu.FilterData" localSheetId="2" hidden="1">'New Master-List'!$A$6:$AU$8</definedName>
    <definedName name="Z_ECC2632F_F62A_4FAF_AECC_1DDADB5FC34F_.wvu.FilterData" localSheetId="2" hidden="1">'New Master-List'!$A$6:$AI$13</definedName>
    <definedName name="Z_ECC2632F_F62A_4FAF_AECC_1DDADB5FC34F_.wvu.PrintArea" localSheetId="3" hidden="1">'Consolidate O-D'!$A$1:$K$34</definedName>
    <definedName name="Z_ECC2632F_F62A_4FAF_AECC_1DDADB5FC34F_.wvu.PrintArea" localSheetId="4" hidden="1">'Consolidate TL'!$A$1:$P$5</definedName>
    <definedName name="Z_ECC2632F_F62A_4FAF_AECC_1DDADB5FC34F_.wvu.PrintTitles" localSheetId="3" hidden="1">'Consolidate O-D'!$5:$6</definedName>
    <definedName name="Z_ECC2632F_F62A_4FAF_AECC_1DDADB5FC34F_.wvu.PrintTitles" localSheetId="4" hidden="1">'Consolidate TL'!$5:$5</definedName>
    <definedName name="Z_EDB2C042_0B84_4517_8CB3_8D7B75AE1F47_.wvu.FilterData" localSheetId="2" hidden="1">'New Master-List'!$A$6:$AI$13</definedName>
    <definedName name="Z_EE2998B0_1EFF_4242_A115_57386FE1A473_.wvu.FilterData" localSheetId="2" hidden="1">'New Master-List'!$A$6:$AI$13</definedName>
    <definedName name="Z_EF2A8BCD_1753_4A6F_AAFB_1F76322C2B19_.wvu.FilterData" localSheetId="2" hidden="1">'New Master-List'!$A$6:$AU$8</definedName>
    <definedName name="Z_EF337EFB_F06A_4C9F_A0BF_A8A02CDB1EF5_.wvu.FilterData" localSheetId="2" hidden="1">'New Master-List'!$A$13:$BW$199</definedName>
    <definedName name="Z_F46B7815_3706_470B_80F2_97F05E8A52D5_.wvu.FilterData" localSheetId="2" hidden="1">'New Master-List'!$A$6:$AU$8</definedName>
    <definedName name="Z_F729E7D6_6F09_4AEC_8A8D_5BB0CE563030_.wvu.FilterData" localSheetId="2" hidden="1">'New Master-List'!$A$6:$AI$13</definedName>
    <definedName name="Z_F729E7D6_6F09_4AEC_8A8D_5BB0CE563030_.wvu.PrintArea" localSheetId="0" hidden="1">'By Industries (NBC)'!$A$1:$J$296</definedName>
    <definedName name="Z_F729E7D6_6F09_4AEC_8A8D_5BB0CE563030_.wvu.PrintArea" localSheetId="3" hidden="1">'Consolidate O-D'!$A$1:$K$34</definedName>
    <definedName name="Z_F729E7D6_6F09_4AEC_8A8D_5BB0CE563030_.wvu.PrintArea" localSheetId="4" hidden="1">'Consolidate TL'!$A$1:$P$5</definedName>
    <definedName name="Z_F729E7D6_6F09_4AEC_8A8D_5BB0CE563030_.wvu.PrintTitles" localSheetId="3" hidden="1">'Consolidate O-D'!$5:$6</definedName>
    <definedName name="Z_F729E7D6_6F09_4AEC_8A8D_5BB0CE563030_.wvu.PrintTitles" localSheetId="4" hidden="1">'Consolidate TL'!$5:$5</definedName>
    <definedName name="Z_F89B8433_E453_4FDE_8E2A_E7E816BD4DFD_.wvu.FilterData" localSheetId="2" hidden="1">'New Master-List'!$A$6:$AU$8</definedName>
    <definedName name="Z_F89B8433_E453_4FDE_8E2A_E7E816BD4DFD_.wvu.PrintArea" localSheetId="0" hidden="1">'By Industries (NBC)'!$A$1:$J$296</definedName>
    <definedName name="Z_F89B8433_E453_4FDE_8E2A_E7E816BD4DFD_.wvu.PrintArea" localSheetId="3" hidden="1">'Consolidate O-D'!$A$1:$K$34</definedName>
    <definedName name="Z_F89B8433_E453_4FDE_8E2A_E7E816BD4DFD_.wvu.PrintArea" localSheetId="4" hidden="1">'Consolidate TL'!$A$1:$P$5</definedName>
    <definedName name="Z_F89B8433_E453_4FDE_8E2A_E7E816BD4DFD_.wvu.PrintTitles" localSheetId="3" hidden="1">'Consolidate O-D'!$5:$6</definedName>
    <definedName name="Z_F89B8433_E453_4FDE_8E2A_E7E816BD4DFD_.wvu.PrintTitles" localSheetId="4" hidden="1">'Consolidate TL'!$5:$5</definedName>
    <definedName name="Z_F8AEF607_CF93_4FD8_84A3_2F94B3851352_.wvu.FilterData" localSheetId="2" hidden="1">'New Master-List'!$A$6:$AU$8</definedName>
    <definedName name="Z_F9BE7A94_BF47_4DA0_8627_F2256AE060E4_.wvu.FilterData" localSheetId="2" hidden="1">'New Master-List'!$A$13:$BW$13</definedName>
    <definedName name="Z_FADA8A79_009A_42A7_A286_1B2176E66200_.wvu.FilterData" localSheetId="2" hidden="1">'New Master-List'!$A$13:$BW$13</definedName>
    <definedName name="Z_FB46F7E8_7A82_46E0_869C_95673200FCA5_.wvu.FilterData" localSheetId="2" hidden="1">'New Master-List'!$A$6:$BW$8</definedName>
    <definedName name="Z_FB80B360_98B3_4D7B_B530_099144659D3A_.wvu.FilterData" localSheetId="2" hidden="1">'New Master-List'!$A$6:$AI$13</definedName>
    <definedName name="Z_FCD118A1_10A2_4139_8CE9_39BFAB2BCB55_.wvu.FilterData" localSheetId="2" hidden="1">'New Master-List'!$A$13:$BW$199</definedName>
    <definedName name="Z_FCE2AA43_4DAD_4620_86DF_40DEF48B3968_.wvu.FilterData" localSheetId="2" hidden="1">'New Master-List'!$A$13:$BW$199</definedName>
    <definedName name="Z_FE8504F8_F701_4A76_9472_3E591D4FBFD7_.wvu.FilterData" localSheetId="2" hidden="1">'New Master-List'!$A$6:$AU$8</definedName>
    <definedName name="Z_FFA4BDC2_D124_4133_873E_CA2162FA36E3_.wvu.FilterData" localSheetId="2" hidden="1">'New Master-List'!$A$6:$AU$8</definedName>
  </definedNames>
  <calcPr calcId="152511"/>
  <customWorkbookViews>
    <customWorkbookView name="Sovannarath-14034 - Personal View" guid="{E4D8AEA0-7D37-4CF1-9F19-1F9F3CB7E99E}" mergeInterval="0" personalView="1" maximized="1" xWindow="1" yWindow="1" windowWidth="1362" windowHeight="496" tabRatio="736" activeSheetId="5"/>
    <customWorkbookView name="Ou Sophanpha - Personal View" guid="{AD634856-FDF7-4DD8-8DC5-36C324FF0C87}" mergeInterval="0" personalView="1" maximized="1" xWindow="-8" yWindow="-8" windowWidth="1382" windowHeight="744" tabRatio="736" activeSheetId="3"/>
    <customWorkbookView name="Thai Thya - Personal View" guid="{61CE75AA-B849-4D18-8838-F82995C6B087}" mergeInterval="0" personalView="1" maximized="1" xWindow="-9" yWindow="-9" windowWidth="1938" windowHeight="1050" tabRatio="736" activeSheetId="3"/>
    <customWorkbookView name="Kimheanh-08007 - Personal View" guid="{7D95FE88-52D3-4AF2-A747-7A28402A32C2}" mergeInterval="0" personalView="1" maximized="1" xWindow="1" yWindow="1" windowWidth="1362" windowHeight="496" tabRatio="736" activeSheetId="5"/>
    <customWorkbookView name="Vichea-97003 - Personal View" guid="{6EF26E68-1B9A-4748-A66C-9D8C184CAF14}" mergeInterval="0" personalView="1" maximized="1" xWindow="1" yWindow="1" windowWidth="1020" windowHeight="496" activeSheetId="5"/>
    <customWorkbookView name="Kong Wattana - Personal View" guid="{B8A1874B-3BEF-4479-AD53-0D9BAC54C7CD}" mergeInterval="0" personalView="1" maximized="1" xWindow="-8" yWindow="-8" windowWidth="1382" windowHeight="744" tabRatio="736" activeSheetId="3"/>
    <customWorkbookView name="Sengly-14082 - Personal View" guid="{E5BCC4B4-F1B1-40C1-B93E-A6184E1EF716}" mergeInterval="0" personalView="1" maximized="1" xWindow="1" yWindow="1" windowWidth="1362" windowHeight="496" tabRatio="736" activeSheetId="4"/>
    <customWorkbookView name="Chhengoang-14035 - Personal View" guid="{994961F8-B63E-47F6-B0C5-98F862423FE5}" mergeInterval="0" personalView="1" maximized="1" xWindow="1" yWindow="1" windowWidth="1020" windowHeight="538" activeSheetId="7"/>
    <customWorkbookView name="Sreyneangvina-12013 - Personal View" guid="{F89B8433-E453-4FDE-8E2A-E7E816BD4DFD}" mergeInterval="0" personalView="1" maximized="1" xWindow="1" yWindow="1" windowWidth="1280" windowHeight="752" tabRatio="736" activeSheetId="3"/>
    <customWorkbookView name="Saneth-12004 - Personal View" guid="{9BA226E9-1840-4D58-8634-C7CD130BA9DE}" mergeInterval="0" personalView="1" maximized="1" xWindow="1" yWindow="1" windowWidth="1362" windowHeight="496" tabRatio="736" activeSheetId="4"/>
    <customWorkbookView name="Nary - Personal View" guid="{ECC2632F-F62A-4FAF-AECC-1DDADB5FC34F}" mergeInterval="0" personalView="1" maximized="1" xWindow="1" yWindow="1" windowWidth="1020" windowHeight="547" activeSheetId="3"/>
    <customWorkbookView name="loan2 - Personal View" guid="{FB80B360-98B3-4D7B-B530-099144659D3A}" mergeInterval="0" personalView="1" maximized="1" xWindow="1" yWindow="1" windowWidth="1024" windowHeight="547" activeSheetId="1"/>
    <customWorkbookView name="Sakhina - Personal View" guid="{7F784530-9B10-42D7-8F54-8EB6B060482F}" mergeInterval="0" personalView="1" maximized="1" xWindow="1" yWindow="1" windowWidth="1366" windowHeight="548" activeSheetId="3"/>
    <customWorkbookView name="trainee - Personal View" guid="{8AF18E21-1031-46CF-B2BC-F1B32D8B514B}" mergeInterval="0" personalView="1" maximized="1" xWindow="1" yWindow="1" windowWidth="1276" windowHeight="803" activeSheetId="7"/>
    <customWorkbookView name="chea - Personal View" guid="{E4837792-4A99-499B-8EC2-DE4E4D167510}" mergeInterval="0" personalView="1" maximized="1" xWindow="1" yWindow="1" windowWidth="1024" windowHeight="547" tabRatio="955" activeSheetId="3"/>
    <customWorkbookView name="Narin - Personal View" guid="{16D4A374-74B9-406B-A5BA-2D573E6A0CF2}" mergeInterval="0" personalView="1" maximized="1" xWindow="1" yWindow="1" windowWidth="1362" windowHeight="538" activeSheetId="5"/>
    <customWorkbookView name="User - 個人檢視畫面" guid="{F729E7D6-6F09-4AEC-8A8D-5BB0CE563030}" mergeInterval="0" personalView="1" maximized="1" xWindow="-8" yWindow="-8" windowWidth="1382" windowHeight="744" tabRatio="736" activeSheetId="3"/>
    <customWorkbookView name="Vic-13015 - Personal View" guid="{2896A421-8E5B-4BF0-9CC6-B6380E0DB314}" mergeInterval="0" personalView="1" maximized="1" xWindow="1" yWindow="1" windowWidth="1020" windowHeight="496" tabRatio="736" activeSheetId="5"/>
    <customWorkbookView name="Sovanvatey-14093 - Personal View" guid="{98D3DDB6-797A-47DD-9C96-BB16B2207A0C}" mergeInterval="0" personalView="1" maximized="1" xWindow="1" yWindow="1" windowWidth="1362" windowHeight="496" tabRatio="736" activeSheetId="5"/>
    <customWorkbookView name="Sophanpha-13039 - Personal View" guid="{A1D515A7-1E5B-4509-BA26-4ABAA82FF869}" mergeInterval="0" personalView="1" maximized="1" xWindow="1" yWindow="1" windowWidth="1020" windowHeight="496" tabRatio="736" activeSheetId="3"/>
    <customWorkbookView name="Channary-11003 - Personal View" guid="{80E06DBA-C6F3-475B-8D63-21743367E2AD}" mergeInterval="0" personalView="1" maximized="1" xWindow="1" yWindow="1" windowWidth="1362" windowHeight="496" tabRatio="736" activeSheetId="3"/>
    <customWorkbookView name="Administrator - Personal View" guid="{9ED09EA6-4579-48A9-AD5B-8A08B9AAA8BE}" mergeInterval="0" personalView="1" maximized="1" windowWidth="1362" windowHeight="543" activeSheetId="3"/>
    <customWorkbookView name="Hay Dany - Personal View" guid="{7631AB21-BAD4-410B-9EB7-37E4C039E55D}" mergeInterval="0" personalView="1" maximized="1" xWindow="-8" yWindow="-8" windowWidth="1382" windowHeight="744" tabRatio="736" activeSheetId="7"/>
    <customWorkbookView name="Sakhina-11014 - Personal View" guid="{BE76667A-60C4-4702-8334-217BF8BB1245}" mergeInterval="0" personalView="1" maximized="1" xWindow="1" yWindow="1" windowWidth="1366" windowHeight="506" tabRatio="736" activeSheetId="1"/>
    <customWorkbookView name="Sreythla-14112 - Personal View" guid="{3FE5399F-6D96-46C9-B56D-C9200CDFFBCC}" mergeInterval="0" personalView="1" maximized="1" xWindow="1" yWindow="1" windowWidth="1362" windowHeight="496" tabRatio="736" activeSheetId="5"/>
    <customWorkbookView name="Kaychea Sovisal - Personal View" guid="{DB5C611D-B585-4D04-94DC-84E03E7F6427}" mergeInterval="0" personalView="1" maximized="1" xWindow="-8" yWindow="-8" windowWidth="1382" windowHeight="744" tabRatio="736" activeSheetId="2"/>
    <customWorkbookView name="Eng Sreyleap - Personal View" guid="{0C6DA001-EF29-43B3-B8E5-B7C6D16AED4F}" mergeInterval="0" personalView="1" maximized="1" xWindow="-8" yWindow="-8" windowWidth="1382" windowHeight="744" tabRatio="736" activeSheetId="5"/>
    <customWorkbookView name="Senghorng-00000 - Personal View" guid="{C57D03F9-88DE-4996-9965-888CDFC990C2}" mergeInterval="0" personalView="1" maximized="1" xWindow="-8" yWindow="-8" windowWidth="1382" windowHeight="744" tabRatio="736" activeSheetId="3"/>
    <customWorkbookView name="Chor Sakhina - Personal View" guid="{51A412B5-0E75-4615-BBB6-5CF03E1A3E32}" mergeInterval="0" personalView="1" maximized="1" xWindow="-8" yWindow="-8" windowWidth="1382" windowHeight="754" tabRatio="736" activeSheetId="6"/>
  </customWorkbookViews>
  <fileRecoveryPr autoRecover="0"/>
</workbook>
</file>

<file path=xl/calcChain.xml><?xml version="1.0" encoding="utf-8"?>
<calcChain xmlns="http://schemas.openxmlformats.org/spreadsheetml/2006/main">
  <c r="I84" i="5" l="1"/>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7" i="5"/>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P199" i="3" l="1"/>
  <c r="Q199" i="3"/>
  <c r="R199" i="3"/>
  <c r="X199" i="3"/>
  <c r="E191" i="3"/>
  <c r="F191" i="3"/>
  <c r="G191" i="3"/>
  <c r="E192" i="3"/>
  <c r="F192" i="3"/>
  <c r="G192" i="3"/>
  <c r="E193" i="3"/>
  <c r="F193" i="3"/>
  <c r="G193" i="3"/>
  <c r="E194" i="3"/>
  <c r="F194" i="3"/>
  <c r="G194" i="3"/>
  <c r="E195" i="3"/>
  <c r="F195" i="3"/>
  <c r="G195" i="3"/>
  <c r="E196" i="3"/>
  <c r="F196" i="3"/>
  <c r="G196" i="3"/>
  <c r="E197" i="3"/>
  <c r="F197" i="3"/>
  <c r="G197" i="3"/>
  <c r="E198" i="3"/>
  <c r="F198" i="3"/>
  <c r="G198" i="3"/>
  <c r="I49" i="7"/>
  <c r="I50" i="7"/>
  <c r="I51" i="7"/>
  <c r="I52" i="7"/>
  <c r="I53" i="7"/>
  <c r="I54" i="7"/>
  <c r="I55" i="7"/>
  <c r="H49" i="7"/>
  <c r="H50" i="7"/>
  <c r="H51" i="7"/>
  <c r="H52" i="7"/>
  <c r="H53" i="7"/>
  <c r="H54" i="7"/>
  <c r="H55" i="7"/>
  <c r="C49" i="7"/>
  <c r="D49" i="7"/>
  <c r="C50" i="7"/>
  <c r="D50" i="7"/>
  <c r="C51" i="7"/>
  <c r="D51" i="7"/>
  <c r="C52" i="7"/>
  <c r="D52" i="7"/>
  <c r="C53" i="7"/>
  <c r="D53" i="7"/>
  <c r="C54" i="7"/>
  <c r="D54" i="7"/>
  <c r="C55" i="7"/>
  <c r="D55" i="7"/>
  <c r="O198" i="3"/>
  <c r="E195" i="5"/>
  <c r="J55" i="7" l="1"/>
  <c r="K55" i="7" s="1"/>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3" i="3" l="1"/>
  <c r="J50" i="7"/>
  <c r="K50" i="7" s="1"/>
  <c r="O196" i="3"/>
  <c r="J53" i="7"/>
  <c r="K53" i="7" s="1"/>
  <c r="O192" i="3"/>
  <c r="J49" i="7"/>
  <c r="K49" i="7" s="1"/>
  <c r="O197" i="3"/>
  <c r="J54" i="7"/>
  <c r="K54" i="7" s="1"/>
  <c r="O195" i="3"/>
  <c r="J52" i="7"/>
  <c r="K52" i="7" s="1"/>
  <c r="O194" i="3"/>
  <c r="J51" i="7"/>
  <c r="K51" i="7" s="1"/>
  <c r="I195" i="5"/>
  <c r="G190" i="3"/>
  <c r="E185" i="3"/>
  <c r="F185" i="3"/>
  <c r="G185" i="3"/>
  <c r="E186" i="3"/>
  <c r="F186" i="3"/>
  <c r="G186" i="3"/>
  <c r="E187" i="3"/>
  <c r="F187" i="3"/>
  <c r="G187" i="3"/>
  <c r="E188" i="3"/>
  <c r="F188" i="3"/>
  <c r="G188" i="3"/>
  <c r="E189" i="3"/>
  <c r="F189" i="3"/>
  <c r="G189" i="3"/>
  <c r="E190" i="3"/>
  <c r="F190" i="3"/>
  <c r="E180" i="3" l="1"/>
  <c r="F180" i="3"/>
  <c r="G180" i="3"/>
  <c r="E181" i="3"/>
  <c r="F181" i="3"/>
  <c r="G181" i="3"/>
  <c r="E182" i="3"/>
  <c r="F182" i="3"/>
  <c r="G182" i="3"/>
  <c r="E183" i="3"/>
  <c r="F183" i="3"/>
  <c r="G183" i="3"/>
  <c r="E184" i="3"/>
  <c r="F184" i="3"/>
  <c r="G184" i="3"/>
  <c r="E179" i="3" l="1"/>
  <c r="F179" i="3"/>
  <c r="G179" i="3"/>
  <c r="E176" i="3"/>
  <c r="F176" i="3"/>
  <c r="G176" i="3"/>
  <c r="E177" i="3"/>
  <c r="F177" i="3"/>
  <c r="G177" i="3"/>
  <c r="E178" i="3"/>
  <c r="F178" i="3"/>
  <c r="G178" i="3"/>
  <c r="E167" i="3" l="1"/>
  <c r="F167" i="3"/>
  <c r="G167" i="3"/>
  <c r="E168" i="3"/>
  <c r="F168" i="3"/>
  <c r="G168" i="3"/>
  <c r="E169" i="3"/>
  <c r="F169" i="3"/>
  <c r="G169" i="3"/>
  <c r="E170" i="3"/>
  <c r="F170" i="3"/>
  <c r="G170" i="3"/>
  <c r="E171" i="3"/>
  <c r="F171" i="3"/>
  <c r="G171" i="3"/>
  <c r="E172" i="3"/>
  <c r="F172" i="3"/>
  <c r="G172" i="3"/>
  <c r="E173" i="3"/>
  <c r="F173" i="3"/>
  <c r="G173" i="3"/>
  <c r="E174" i="3"/>
  <c r="F174" i="3"/>
  <c r="G174" i="3"/>
  <c r="E175" i="3"/>
  <c r="F175" i="3"/>
  <c r="G175" i="3"/>
  <c r="L163" i="3" l="1"/>
  <c r="L164" i="3"/>
  <c r="L165" i="3"/>
  <c r="L166" i="3"/>
  <c r="F165" i="3"/>
  <c r="G165" i="3"/>
  <c r="F163" i="3"/>
  <c r="G163" i="3"/>
  <c r="F164" i="3"/>
  <c r="G164" i="3"/>
  <c r="F166" i="3"/>
  <c r="G166" i="3"/>
  <c r="E163" i="3" l="1"/>
  <c r="E164" i="3"/>
  <c r="E165" i="3"/>
  <c r="E166" i="3"/>
  <c r="M153" i="5" l="1"/>
  <c r="V157" i="3" s="1"/>
  <c r="V212" i="3"/>
  <c r="V214" i="3" s="1"/>
  <c r="O212" i="3"/>
  <c r="S212" i="3" s="1"/>
  <c r="X212" i="3" s="1"/>
  <c r="L212" i="3"/>
  <c r="L214" i="3" s="1"/>
  <c r="J212" i="3"/>
  <c r="G212" i="3"/>
  <c r="F212" i="3"/>
  <c r="E212" i="3"/>
  <c r="L156" i="3"/>
  <c r="L157" i="3"/>
  <c r="L158" i="3"/>
  <c r="L159" i="3"/>
  <c r="L160" i="3"/>
  <c r="L161" i="3"/>
  <c r="L162" i="3"/>
  <c r="E156" i="3"/>
  <c r="F156" i="3"/>
  <c r="G156" i="3"/>
  <c r="E157" i="3"/>
  <c r="F157" i="3"/>
  <c r="G157" i="3"/>
  <c r="E158" i="3"/>
  <c r="F158" i="3"/>
  <c r="G158" i="3"/>
  <c r="E159" i="3"/>
  <c r="F159" i="3"/>
  <c r="G159" i="3"/>
  <c r="E160" i="3"/>
  <c r="F160" i="3"/>
  <c r="G160" i="3"/>
  <c r="E161" i="3"/>
  <c r="F161" i="3"/>
  <c r="G161" i="3"/>
  <c r="E162" i="3"/>
  <c r="F162" i="3"/>
  <c r="G162" i="3"/>
  <c r="M18" i="5"/>
  <c r="M19" i="5"/>
  <c r="M20" i="5"/>
  <c r="M21" i="5"/>
  <c r="M22" i="5"/>
  <c r="M23" i="5"/>
  <c r="M24" i="5"/>
  <c r="M25" i="5"/>
  <c r="M26" i="5"/>
  <c r="M27" i="5"/>
  <c r="M28" i="5"/>
  <c r="M29" i="5"/>
  <c r="M30" i="5"/>
  <c r="M31" i="5"/>
  <c r="M32" i="5"/>
  <c r="M33" i="5"/>
  <c r="M34" i="5"/>
  <c r="M35" i="5"/>
  <c r="M36"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20" i="5"/>
  <c r="M122" i="5"/>
  <c r="M123" i="5"/>
  <c r="M124" i="5"/>
  <c r="M125" i="5"/>
  <c r="M126" i="5"/>
  <c r="M127" i="5"/>
  <c r="M128" i="5"/>
  <c r="M129" i="5"/>
  <c r="M130" i="5"/>
  <c r="M131" i="5"/>
  <c r="M132" i="5"/>
  <c r="M133" i="5"/>
  <c r="M134" i="5"/>
  <c r="M135" i="5"/>
  <c r="M136" i="5"/>
  <c r="M137" i="5"/>
  <c r="M138" i="5"/>
  <c r="M139" i="5"/>
  <c r="M140" i="5"/>
  <c r="M141" i="5"/>
  <c r="M142" i="5"/>
  <c r="M143" i="5"/>
  <c r="M144" i="5"/>
  <c r="M146" i="5"/>
  <c r="M147" i="5"/>
  <c r="M148" i="5"/>
  <c r="M149" i="5"/>
  <c r="M150" i="5"/>
  <c r="M151" i="5"/>
  <c r="M152" i="5"/>
  <c r="V156" i="3" s="1"/>
  <c r="M154" i="5"/>
  <c r="V158" i="3" s="1"/>
  <c r="M155" i="5"/>
  <c r="V159" i="3" s="1"/>
  <c r="M156" i="5"/>
  <c r="V160" i="3" s="1"/>
  <c r="M157" i="5"/>
  <c r="V161" i="3" s="1"/>
  <c r="M158" i="5"/>
  <c r="V162" i="3" s="1"/>
  <c r="M17" i="5"/>
  <c r="H212" i="3" l="1"/>
  <c r="S214" i="3"/>
  <c r="M195" i="5"/>
  <c r="O156" i="3"/>
  <c r="S156" i="3" s="1"/>
  <c r="X156" i="3" s="1"/>
  <c r="O157" i="3"/>
  <c r="S157" i="3" s="1"/>
  <c r="X157" i="3" s="1"/>
  <c r="O161" i="3" l="1"/>
  <c r="S161" i="3" s="1"/>
  <c r="X161" i="3" s="1"/>
  <c r="O160" i="3"/>
  <c r="S160" i="3" s="1"/>
  <c r="X160" i="3" s="1"/>
  <c r="O159" i="3"/>
  <c r="S159" i="3" s="1"/>
  <c r="X159" i="3" s="1"/>
  <c r="O162" i="3"/>
  <c r="S162" i="3" s="1"/>
  <c r="X162" i="3" s="1"/>
  <c r="O158" i="3"/>
  <c r="S158" i="3" s="1"/>
  <c r="X158" i="3" s="1"/>
  <c r="F17" i="4"/>
  <c r="F8" i="4"/>
  <c r="H14" i="10" l="1"/>
  <c r="V155" i="3" l="1"/>
  <c r="L153" i="3"/>
  <c r="L154" i="3"/>
  <c r="L155" i="3"/>
  <c r="E153" i="3"/>
  <c r="F153" i="3"/>
  <c r="G153" i="3"/>
  <c r="E154" i="3"/>
  <c r="F154" i="3"/>
  <c r="G154" i="3"/>
  <c r="E155" i="3"/>
  <c r="F155" i="3"/>
  <c r="G155" i="3"/>
  <c r="V153" i="3"/>
  <c r="V154" i="3"/>
  <c r="O153" i="3" l="1"/>
  <c r="S153" i="3" s="1"/>
  <c r="X153" i="3" s="1"/>
  <c r="O154" i="3"/>
  <c r="S154" i="3" s="1"/>
  <c r="X154" i="3" s="1"/>
  <c r="O155" i="3"/>
  <c r="S155" i="3" s="1"/>
  <c r="X155" i="3" s="1"/>
  <c r="V149" i="3" l="1"/>
  <c r="N149" i="3"/>
  <c r="V148" i="3"/>
  <c r="V150" i="3"/>
  <c r="V151" i="3"/>
  <c r="V152" i="3"/>
  <c r="O69" i="3"/>
  <c r="N128" i="3"/>
  <c r="N148" i="3"/>
  <c r="I15" i="14" l="1"/>
  <c r="H15" i="14"/>
  <c r="F15" i="14"/>
  <c r="E15" i="14"/>
  <c r="I13" i="14"/>
  <c r="H13" i="14"/>
  <c r="F13" i="14"/>
  <c r="E13" i="14"/>
  <c r="H12" i="14"/>
  <c r="H11" i="14"/>
  <c r="I8" i="14"/>
  <c r="H8" i="14"/>
  <c r="F8" i="14"/>
  <c r="E8" i="14"/>
  <c r="H7" i="14"/>
  <c r="I21" i="13"/>
  <c r="H21" i="13"/>
  <c r="F21" i="13"/>
  <c r="E21" i="13"/>
  <c r="I19" i="13"/>
  <c r="H19" i="13"/>
  <c r="F19" i="13"/>
  <c r="E19" i="13"/>
  <c r="I10" i="13"/>
  <c r="H10" i="13"/>
  <c r="F10" i="13"/>
  <c r="E10" i="13"/>
  <c r="I10" i="12"/>
  <c r="H10" i="12"/>
  <c r="F10" i="12"/>
  <c r="E10" i="12"/>
  <c r="I17" i="11"/>
  <c r="H17" i="11"/>
  <c r="F17" i="11"/>
  <c r="E17" i="11"/>
  <c r="I15" i="11"/>
  <c r="H15" i="11"/>
  <c r="F15" i="11"/>
  <c r="E15" i="11"/>
  <c r="I10" i="11"/>
  <c r="H10" i="11"/>
  <c r="F10" i="11"/>
  <c r="E10" i="11"/>
  <c r="E19" i="10"/>
  <c r="H17" i="10"/>
  <c r="H19" i="10" s="1"/>
  <c r="F17" i="10"/>
  <c r="F19" i="10" s="1"/>
  <c r="E17" i="10"/>
  <c r="I9" i="10"/>
  <c r="H9" i="10"/>
  <c r="F9" i="10"/>
  <c r="E9" i="10"/>
  <c r="G88" i="9"/>
  <c r="E88" i="9"/>
  <c r="G87" i="9"/>
  <c r="E87" i="9"/>
  <c r="G86" i="9"/>
  <c r="E86" i="9"/>
  <c r="G85" i="9"/>
  <c r="E85" i="9"/>
  <c r="G80" i="9"/>
  <c r="E80" i="9"/>
  <c r="G74" i="9"/>
  <c r="G72" i="9"/>
  <c r="E72" i="9"/>
  <c r="G69" i="9"/>
  <c r="E69" i="9"/>
  <c r="G68" i="9"/>
  <c r="G64" i="9"/>
  <c r="E64" i="9"/>
  <c r="G61" i="9"/>
  <c r="E61" i="9"/>
  <c r="G58" i="9"/>
  <c r="G56" i="9"/>
  <c r="E56" i="9"/>
  <c r="G52" i="9"/>
  <c r="E52" i="9"/>
  <c r="G51" i="9"/>
  <c r="E51" i="9"/>
  <c r="G50" i="9"/>
  <c r="G48" i="9"/>
  <c r="E48" i="9"/>
  <c r="G47" i="9"/>
  <c r="G46" i="9"/>
  <c r="G43" i="9"/>
  <c r="E43" i="9"/>
  <c r="G42" i="9"/>
  <c r="E42" i="9"/>
  <c r="G41" i="9"/>
  <c r="G39" i="9"/>
  <c r="E39" i="9"/>
  <c r="G38" i="9"/>
  <c r="G36" i="9"/>
  <c r="E36" i="9"/>
  <c r="G35" i="9"/>
  <c r="G33" i="9"/>
  <c r="E33" i="9"/>
  <c r="G32" i="9"/>
  <c r="G29" i="9"/>
  <c r="E29" i="9"/>
  <c r="G25" i="9"/>
  <c r="E25" i="9"/>
  <c r="G24" i="9"/>
  <c r="G22" i="9"/>
  <c r="E22" i="9"/>
  <c r="G19" i="9"/>
  <c r="E19" i="9"/>
  <c r="G18" i="9"/>
  <c r="G17" i="9"/>
  <c r="G15" i="9"/>
  <c r="E15" i="9"/>
  <c r="G14" i="9"/>
  <c r="G13" i="9"/>
  <c r="G9" i="9"/>
  <c r="E9" i="9"/>
  <c r="G8" i="9"/>
  <c r="A3" i="9"/>
  <c r="K83" i="7"/>
  <c r="J83" i="7"/>
  <c r="I83" i="7"/>
  <c r="K78" i="7"/>
  <c r="J78" i="7"/>
  <c r="I78" i="7"/>
  <c r="K70" i="7"/>
  <c r="J70" i="7"/>
  <c r="I70" i="7"/>
  <c r="K64" i="7"/>
  <c r="J64" i="7"/>
  <c r="I64" i="7"/>
  <c r="J48" i="7"/>
  <c r="I48" i="7"/>
  <c r="I56" i="7" s="1"/>
  <c r="H48" i="7"/>
  <c r="D48" i="7"/>
  <c r="C48" i="7"/>
  <c r="K43" i="7"/>
  <c r="J43" i="7"/>
  <c r="I43" i="7"/>
  <c r="K30" i="7"/>
  <c r="J30" i="7"/>
  <c r="I30" i="7"/>
  <c r="K19" i="7"/>
  <c r="J19" i="7"/>
  <c r="I19" i="7"/>
  <c r="K12" i="7"/>
  <c r="J12" i="7"/>
  <c r="I12" i="7"/>
  <c r="M226" i="5"/>
  <c r="M224" i="5"/>
  <c r="I224" i="5"/>
  <c r="H224" i="5"/>
  <c r="G224" i="5"/>
  <c r="F224" i="5"/>
  <c r="E224" i="5"/>
  <c r="M221" i="5"/>
  <c r="I221" i="5"/>
  <c r="H221" i="5"/>
  <c r="G221" i="5"/>
  <c r="F221" i="5"/>
  <c r="E221" i="5"/>
  <c r="I217" i="5"/>
  <c r="H217" i="5"/>
  <c r="G217" i="5"/>
  <c r="F217" i="5"/>
  <c r="E217" i="5"/>
  <c r="M213" i="5"/>
  <c r="I213" i="5"/>
  <c r="H213" i="5"/>
  <c r="G213" i="5"/>
  <c r="F213" i="5"/>
  <c r="E213" i="5"/>
  <c r="M209" i="5"/>
  <c r="M227" i="5" s="1"/>
  <c r="M228" i="5" s="1"/>
  <c r="I209" i="5"/>
  <c r="H209" i="5"/>
  <c r="G209" i="5"/>
  <c r="F209" i="5"/>
  <c r="E209" i="5"/>
  <c r="G195" i="5"/>
  <c r="F195" i="5"/>
  <c r="O152" i="3"/>
  <c r="S152" i="3" s="1"/>
  <c r="X152" i="3" s="1"/>
  <c r="V147" i="3"/>
  <c r="O147" i="3"/>
  <c r="S147" i="3" s="1"/>
  <c r="X147" i="3" s="1"/>
  <c r="V146" i="3"/>
  <c r="V145" i="3"/>
  <c r="V143" i="3"/>
  <c r="V141" i="3"/>
  <c r="V140" i="3"/>
  <c r="V139" i="3"/>
  <c r="V136" i="3"/>
  <c r="D273" i="1" s="1"/>
  <c r="I273" i="1" s="1"/>
  <c r="V135" i="3"/>
  <c r="V132" i="3"/>
  <c r="V131" i="3"/>
  <c r="V128" i="3"/>
  <c r="V127" i="3"/>
  <c r="V121" i="3"/>
  <c r="V120" i="3"/>
  <c r="V118" i="3"/>
  <c r="V117" i="3"/>
  <c r="V116" i="3"/>
  <c r="V114" i="3"/>
  <c r="V113" i="3"/>
  <c r="V112" i="3"/>
  <c r="V110" i="3"/>
  <c r="V109" i="3"/>
  <c r="V108" i="3"/>
  <c r="V103" i="3"/>
  <c r="V102" i="3"/>
  <c r="V99" i="3"/>
  <c r="V98" i="3"/>
  <c r="V95" i="3"/>
  <c r="V94" i="3"/>
  <c r="V91" i="3"/>
  <c r="V90" i="3"/>
  <c r="V86" i="3"/>
  <c r="D138" i="1" s="1"/>
  <c r="I138" i="1" s="1"/>
  <c r="V83" i="3"/>
  <c r="D168" i="1"/>
  <c r="I168" i="1" s="1"/>
  <c r="V78" i="3"/>
  <c r="V77" i="3"/>
  <c r="V74" i="3"/>
  <c r="V73" i="3"/>
  <c r="V70" i="3"/>
  <c r="V68" i="3"/>
  <c r="V66" i="3"/>
  <c r="V64" i="3"/>
  <c r="V62" i="3"/>
  <c r="V60" i="3"/>
  <c r="M14" i="5"/>
  <c r="I14" i="5"/>
  <c r="H14" i="5"/>
  <c r="G14" i="5"/>
  <c r="F14" i="5"/>
  <c r="E14" i="5"/>
  <c r="M10" i="5"/>
  <c r="I10" i="5"/>
  <c r="H10" i="5"/>
  <c r="G10" i="5"/>
  <c r="F10" i="5"/>
  <c r="E10" i="5"/>
  <c r="A4" i="5"/>
  <c r="G20" i="4"/>
  <c r="E20" i="4"/>
  <c r="G19" i="4"/>
  <c r="F19" i="4"/>
  <c r="E19" i="4"/>
  <c r="F9" i="4"/>
  <c r="F20" i="4" s="1"/>
  <c r="E9" i="4"/>
  <c r="V241" i="3"/>
  <c r="T241" i="3"/>
  <c r="S238" i="3"/>
  <c r="R238" i="3"/>
  <c r="P235" i="3"/>
  <c r="T234" i="3"/>
  <c r="S234" i="3"/>
  <c r="R234" i="3"/>
  <c r="X228" i="3"/>
  <c r="V228" i="3"/>
  <c r="U228" i="3"/>
  <c r="T228" i="3"/>
  <c r="S228" i="3"/>
  <c r="R228" i="3"/>
  <c r="Q228" i="3"/>
  <c r="P228" i="3"/>
  <c r="O228" i="3"/>
  <c r="N228" i="3"/>
  <c r="M228" i="3"/>
  <c r="L228" i="3"/>
  <c r="X221" i="3"/>
  <c r="V243" i="3" s="1"/>
  <c r="W221" i="3"/>
  <c r="V221" i="3"/>
  <c r="T243" i="3" s="1"/>
  <c r="U221" i="3"/>
  <c r="S243" i="3" s="1"/>
  <c r="T221" i="3"/>
  <c r="S221" i="3"/>
  <c r="Q243" i="3" s="1"/>
  <c r="R221" i="3"/>
  <c r="Q221" i="3"/>
  <c r="P221" i="3"/>
  <c r="O221" i="3"/>
  <c r="N221" i="3"/>
  <c r="M221" i="3"/>
  <c r="L221" i="3"/>
  <c r="P243" i="3" s="1"/>
  <c r="X218" i="3"/>
  <c r="W218" i="3"/>
  <c r="V218" i="3"/>
  <c r="U218" i="3"/>
  <c r="T218" i="3"/>
  <c r="R218" i="3"/>
  <c r="Q218" i="3"/>
  <c r="P218" i="3"/>
  <c r="O218" i="3"/>
  <c r="N218" i="3"/>
  <c r="M218" i="3"/>
  <c r="L218" i="3"/>
  <c r="S217" i="3"/>
  <c r="S218" i="3" s="1"/>
  <c r="T239" i="3"/>
  <c r="U214" i="3"/>
  <c r="S239" i="3" s="1"/>
  <c r="T214" i="3"/>
  <c r="Q239" i="3"/>
  <c r="R214" i="3"/>
  <c r="Q214" i="3"/>
  <c r="P214" i="3"/>
  <c r="O214" i="3"/>
  <c r="N214" i="3"/>
  <c r="M214" i="3"/>
  <c r="P239" i="3"/>
  <c r="X213" i="3"/>
  <c r="V208" i="3"/>
  <c r="T238" i="3" s="1"/>
  <c r="L208" i="3"/>
  <c r="P238" i="3" s="1"/>
  <c r="R208" i="3"/>
  <c r="P208" i="3"/>
  <c r="L152" i="3"/>
  <c r="G152" i="3"/>
  <c r="F152" i="3"/>
  <c r="E152" i="3"/>
  <c r="O151" i="3"/>
  <c r="S151" i="3" s="1"/>
  <c r="X151" i="3" s="1"/>
  <c r="L151" i="3"/>
  <c r="G151" i="3"/>
  <c r="F151" i="3"/>
  <c r="E151" i="3"/>
  <c r="O150" i="3"/>
  <c r="L150" i="3"/>
  <c r="G150" i="3"/>
  <c r="F150" i="3"/>
  <c r="E150" i="3"/>
  <c r="S149" i="3"/>
  <c r="X149" i="3" s="1"/>
  <c r="L149" i="3"/>
  <c r="G149" i="3"/>
  <c r="F149" i="3"/>
  <c r="E149" i="3"/>
  <c r="S148" i="3"/>
  <c r="X148" i="3" s="1"/>
  <c r="L148" i="3"/>
  <c r="G148" i="3"/>
  <c r="F148" i="3"/>
  <c r="E148" i="3"/>
  <c r="L147" i="3"/>
  <c r="G147" i="3"/>
  <c r="F147" i="3"/>
  <c r="E147" i="3"/>
  <c r="O146" i="3"/>
  <c r="S146" i="3" s="1"/>
  <c r="X146" i="3" s="1"/>
  <c r="L146" i="3"/>
  <c r="G146" i="3"/>
  <c r="F146" i="3"/>
  <c r="E146" i="3"/>
  <c r="O145" i="3"/>
  <c r="S145" i="3" s="1"/>
  <c r="X145" i="3" s="1"/>
  <c r="L145" i="3"/>
  <c r="G145" i="3"/>
  <c r="F145" i="3"/>
  <c r="E145" i="3"/>
  <c r="V144" i="3"/>
  <c r="O144" i="3"/>
  <c r="S144" i="3" s="1"/>
  <c r="X144" i="3" s="1"/>
  <c r="L144" i="3"/>
  <c r="G144" i="3"/>
  <c r="F144" i="3"/>
  <c r="E144" i="3"/>
  <c r="O143" i="3"/>
  <c r="S143" i="3" s="1"/>
  <c r="X143" i="3" s="1"/>
  <c r="L143" i="3"/>
  <c r="G143" i="3"/>
  <c r="F143" i="3"/>
  <c r="E143" i="3"/>
  <c r="V142" i="3"/>
  <c r="O142" i="3"/>
  <c r="S142" i="3" s="1"/>
  <c r="X142" i="3" s="1"/>
  <c r="L142" i="3"/>
  <c r="G142" i="3"/>
  <c r="F142" i="3"/>
  <c r="E142" i="3"/>
  <c r="O141" i="3"/>
  <c r="S141" i="3" s="1"/>
  <c r="X141" i="3" s="1"/>
  <c r="L141" i="3"/>
  <c r="G141" i="3"/>
  <c r="F141" i="3"/>
  <c r="E141" i="3"/>
  <c r="O140" i="3"/>
  <c r="S140" i="3" s="1"/>
  <c r="X140" i="3" s="1"/>
  <c r="L140" i="3"/>
  <c r="G140" i="3"/>
  <c r="F140" i="3"/>
  <c r="E140" i="3"/>
  <c r="N139" i="3"/>
  <c r="S139" i="3" s="1"/>
  <c r="X139" i="3" s="1"/>
  <c r="L139" i="3"/>
  <c r="G139" i="3"/>
  <c r="F139" i="3"/>
  <c r="E139" i="3"/>
  <c r="V138" i="3"/>
  <c r="O138" i="3"/>
  <c r="S138" i="3" s="1"/>
  <c r="X138" i="3" s="1"/>
  <c r="L138" i="3"/>
  <c r="G138" i="3"/>
  <c r="F138" i="3"/>
  <c r="E138" i="3"/>
  <c r="V137" i="3"/>
  <c r="O137" i="3"/>
  <c r="S137" i="3" s="1"/>
  <c r="X137" i="3" s="1"/>
  <c r="L137" i="3"/>
  <c r="G137" i="3"/>
  <c r="F137" i="3"/>
  <c r="E137" i="3"/>
  <c r="N136" i="3"/>
  <c r="C273" i="1" s="1"/>
  <c r="H273" i="1" s="1"/>
  <c r="L136" i="3"/>
  <c r="B273" i="1" s="1"/>
  <c r="G273" i="1" s="1"/>
  <c r="G136" i="3"/>
  <c r="F136" i="3"/>
  <c r="E136" i="3"/>
  <c r="O135" i="3"/>
  <c r="S135" i="3" s="1"/>
  <c r="X135" i="3" s="1"/>
  <c r="L135" i="3"/>
  <c r="G135" i="3"/>
  <c r="F135" i="3"/>
  <c r="E135" i="3"/>
  <c r="V134" i="3"/>
  <c r="N134" i="3"/>
  <c r="S134" i="3" s="1"/>
  <c r="X134" i="3" s="1"/>
  <c r="L134" i="3"/>
  <c r="G134" i="3"/>
  <c r="F134" i="3"/>
  <c r="E134" i="3"/>
  <c r="V133" i="3"/>
  <c r="O133" i="3"/>
  <c r="S133" i="3" s="1"/>
  <c r="X133" i="3" s="1"/>
  <c r="L133" i="3"/>
  <c r="G133" i="3"/>
  <c r="F133" i="3"/>
  <c r="E133" i="3"/>
  <c r="O132" i="3"/>
  <c r="S132" i="3" s="1"/>
  <c r="X132" i="3" s="1"/>
  <c r="L132" i="3"/>
  <c r="G132" i="3"/>
  <c r="F132" i="3"/>
  <c r="E132" i="3"/>
  <c r="O131" i="3"/>
  <c r="S131" i="3" s="1"/>
  <c r="X131" i="3" s="1"/>
  <c r="L131" i="3"/>
  <c r="G131" i="3"/>
  <c r="F131" i="3"/>
  <c r="E131" i="3"/>
  <c r="V130" i="3"/>
  <c r="O130" i="3"/>
  <c r="S130" i="3" s="1"/>
  <c r="X130" i="3" s="1"/>
  <c r="L130" i="3"/>
  <c r="G130" i="3"/>
  <c r="F130" i="3"/>
  <c r="E130" i="3"/>
  <c r="V129" i="3"/>
  <c r="O129" i="3"/>
  <c r="S129" i="3" s="1"/>
  <c r="X129" i="3" s="1"/>
  <c r="L129" i="3"/>
  <c r="G129" i="3"/>
  <c r="F129" i="3"/>
  <c r="E129" i="3"/>
  <c r="S128" i="3"/>
  <c r="X128" i="3" s="1"/>
  <c r="L128" i="3"/>
  <c r="G128" i="3"/>
  <c r="F128" i="3"/>
  <c r="E128" i="3"/>
  <c r="O127" i="3"/>
  <c r="S127" i="3" s="1"/>
  <c r="X127" i="3" s="1"/>
  <c r="L127" i="3"/>
  <c r="G127" i="3"/>
  <c r="F127" i="3"/>
  <c r="E127" i="3"/>
  <c r="V126" i="3"/>
  <c r="O126" i="3"/>
  <c r="S126" i="3" s="1"/>
  <c r="X126" i="3" s="1"/>
  <c r="L126" i="3"/>
  <c r="G126" i="3"/>
  <c r="F126" i="3"/>
  <c r="E126" i="3"/>
  <c r="V125" i="3"/>
  <c r="O125" i="3"/>
  <c r="S125" i="3" s="1"/>
  <c r="X125" i="3" s="1"/>
  <c r="L125" i="3"/>
  <c r="G125" i="3"/>
  <c r="F125" i="3"/>
  <c r="E125" i="3"/>
  <c r="V124" i="3"/>
  <c r="O124" i="3"/>
  <c r="S124" i="3" s="1"/>
  <c r="X124" i="3" s="1"/>
  <c r="L124" i="3"/>
  <c r="G124" i="3"/>
  <c r="F124" i="3"/>
  <c r="E124" i="3"/>
  <c r="V123" i="3"/>
  <c r="O123" i="3"/>
  <c r="S123" i="3" s="1"/>
  <c r="X123" i="3" s="1"/>
  <c r="L123" i="3"/>
  <c r="G123" i="3"/>
  <c r="F123" i="3"/>
  <c r="E123" i="3"/>
  <c r="V122" i="3"/>
  <c r="N122" i="3"/>
  <c r="S122" i="3" s="1"/>
  <c r="X122" i="3" s="1"/>
  <c r="L122" i="3"/>
  <c r="G122" i="3"/>
  <c r="F122" i="3"/>
  <c r="E122" i="3"/>
  <c r="O121" i="3"/>
  <c r="S121" i="3" s="1"/>
  <c r="X121" i="3" s="1"/>
  <c r="L121" i="3"/>
  <c r="G121" i="3"/>
  <c r="F121" i="3"/>
  <c r="E121" i="3"/>
  <c r="O120" i="3"/>
  <c r="S120" i="3" s="1"/>
  <c r="X120" i="3" s="1"/>
  <c r="L120" i="3"/>
  <c r="J120" i="3"/>
  <c r="G120" i="3"/>
  <c r="F120" i="3"/>
  <c r="E120" i="3"/>
  <c r="V119" i="3"/>
  <c r="O119" i="3"/>
  <c r="S119" i="3" s="1"/>
  <c r="X119" i="3" s="1"/>
  <c r="L119" i="3"/>
  <c r="J119" i="3"/>
  <c r="G119" i="3"/>
  <c r="F119" i="3"/>
  <c r="E119" i="3"/>
  <c r="O118" i="3"/>
  <c r="S118" i="3" s="1"/>
  <c r="X118" i="3" s="1"/>
  <c r="L118" i="3"/>
  <c r="J118" i="3"/>
  <c r="G118" i="3"/>
  <c r="F118" i="3"/>
  <c r="E118" i="3"/>
  <c r="O117" i="3"/>
  <c r="S117" i="3" s="1"/>
  <c r="X117" i="3" s="1"/>
  <c r="L117" i="3"/>
  <c r="J117" i="3"/>
  <c r="G117" i="3"/>
  <c r="F117" i="3"/>
  <c r="E117" i="3"/>
  <c r="O116" i="3"/>
  <c r="S116" i="3" s="1"/>
  <c r="X116" i="3" s="1"/>
  <c r="L116" i="3"/>
  <c r="J116" i="3"/>
  <c r="G116" i="3"/>
  <c r="F116" i="3"/>
  <c r="E116" i="3"/>
  <c r="V115" i="3"/>
  <c r="O115" i="3"/>
  <c r="S115" i="3" s="1"/>
  <c r="X115" i="3" s="1"/>
  <c r="L115" i="3"/>
  <c r="J115" i="3"/>
  <c r="G115" i="3"/>
  <c r="F115" i="3"/>
  <c r="E115" i="3"/>
  <c r="O114" i="3"/>
  <c r="S114" i="3" s="1"/>
  <c r="X114" i="3" s="1"/>
  <c r="L114" i="3"/>
  <c r="J114" i="3"/>
  <c r="G114" i="3"/>
  <c r="F114" i="3"/>
  <c r="E114" i="3"/>
  <c r="O113" i="3"/>
  <c r="S113" i="3" s="1"/>
  <c r="X113" i="3" s="1"/>
  <c r="L113" i="3"/>
  <c r="J113" i="3"/>
  <c r="G113" i="3"/>
  <c r="F113" i="3"/>
  <c r="E113" i="3"/>
  <c r="O112" i="3"/>
  <c r="S112" i="3" s="1"/>
  <c r="X112" i="3" s="1"/>
  <c r="L112" i="3"/>
  <c r="J112" i="3"/>
  <c r="G112" i="3"/>
  <c r="F112" i="3"/>
  <c r="E112" i="3"/>
  <c r="V111" i="3"/>
  <c r="O111" i="3"/>
  <c r="S111" i="3" s="1"/>
  <c r="X111" i="3" s="1"/>
  <c r="L111" i="3"/>
  <c r="J111" i="3"/>
  <c r="G111" i="3"/>
  <c r="F111" i="3"/>
  <c r="E111" i="3"/>
  <c r="O110" i="3"/>
  <c r="S110" i="3" s="1"/>
  <c r="X110" i="3" s="1"/>
  <c r="L110" i="3"/>
  <c r="J110" i="3"/>
  <c r="G110" i="3"/>
  <c r="F110" i="3"/>
  <c r="E110" i="3"/>
  <c r="O109" i="3"/>
  <c r="S109" i="3" s="1"/>
  <c r="X109" i="3" s="1"/>
  <c r="L109" i="3"/>
  <c r="J109" i="3"/>
  <c r="G109" i="3"/>
  <c r="F109" i="3"/>
  <c r="E109" i="3"/>
  <c r="O108" i="3"/>
  <c r="S108" i="3" s="1"/>
  <c r="X108" i="3" s="1"/>
  <c r="L108" i="3"/>
  <c r="J108" i="3"/>
  <c r="G108" i="3"/>
  <c r="F108" i="3"/>
  <c r="E108" i="3"/>
  <c r="V107" i="3"/>
  <c r="O107" i="3"/>
  <c r="S107" i="3" s="1"/>
  <c r="X107" i="3" s="1"/>
  <c r="L107" i="3"/>
  <c r="J107" i="3"/>
  <c r="G107" i="3"/>
  <c r="F107" i="3"/>
  <c r="E107" i="3"/>
  <c r="V106" i="3"/>
  <c r="O106" i="3"/>
  <c r="S106" i="3" s="1"/>
  <c r="X106" i="3" s="1"/>
  <c r="L106" i="3"/>
  <c r="J106" i="3"/>
  <c r="G106" i="3"/>
  <c r="F106" i="3"/>
  <c r="E106" i="3"/>
  <c r="V105" i="3"/>
  <c r="O105" i="3"/>
  <c r="S105" i="3" s="1"/>
  <c r="X105" i="3" s="1"/>
  <c r="L105" i="3"/>
  <c r="J105" i="3"/>
  <c r="G105" i="3"/>
  <c r="F105" i="3"/>
  <c r="E105" i="3"/>
  <c r="AI104" i="3"/>
  <c r="V104" i="3"/>
  <c r="O104" i="3"/>
  <c r="S104" i="3" s="1"/>
  <c r="X104" i="3" s="1"/>
  <c r="L104" i="3"/>
  <c r="J104" i="3"/>
  <c r="G104" i="3"/>
  <c r="F104" i="3"/>
  <c r="E104" i="3"/>
  <c r="AI103" i="3"/>
  <c r="O103" i="3"/>
  <c r="S103" i="3" s="1"/>
  <c r="X103" i="3" s="1"/>
  <c r="L103" i="3"/>
  <c r="J103" i="3"/>
  <c r="G103" i="3"/>
  <c r="F103" i="3"/>
  <c r="E103" i="3"/>
  <c r="AI102" i="3"/>
  <c r="O102" i="3"/>
  <c r="S102" i="3" s="1"/>
  <c r="X102" i="3" s="1"/>
  <c r="L102" i="3"/>
  <c r="J102" i="3"/>
  <c r="G102" i="3"/>
  <c r="F102" i="3"/>
  <c r="E102" i="3"/>
  <c r="AI101" i="3"/>
  <c r="V101" i="3"/>
  <c r="O101" i="3"/>
  <c r="S101" i="3" s="1"/>
  <c r="X101" i="3" s="1"/>
  <c r="L101" i="3"/>
  <c r="J101" i="3"/>
  <c r="G101" i="3"/>
  <c r="F101" i="3"/>
  <c r="E101" i="3"/>
  <c r="AI100" i="3"/>
  <c r="V100" i="3"/>
  <c r="O100" i="3"/>
  <c r="S100" i="3" s="1"/>
  <c r="X100" i="3" s="1"/>
  <c r="L100" i="3"/>
  <c r="J100" i="3"/>
  <c r="G100" i="3"/>
  <c r="F100" i="3"/>
  <c r="E100" i="3"/>
  <c r="AI99" i="3"/>
  <c r="O99" i="3"/>
  <c r="S99" i="3" s="1"/>
  <c r="X99" i="3" s="1"/>
  <c r="L99" i="3"/>
  <c r="J99" i="3"/>
  <c r="G99" i="3"/>
  <c r="F99" i="3"/>
  <c r="E99" i="3"/>
  <c r="AI98" i="3"/>
  <c r="O98" i="3"/>
  <c r="S98" i="3" s="1"/>
  <c r="X98" i="3" s="1"/>
  <c r="L98" i="3"/>
  <c r="J98" i="3"/>
  <c r="G98" i="3"/>
  <c r="F98" i="3"/>
  <c r="E98" i="3"/>
  <c r="AI97" i="3"/>
  <c r="V97" i="3"/>
  <c r="O97" i="3"/>
  <c r="S97" i="3" s="1"/>
  <c r="X97" i="3" s="1"/>
  <c r="L97" i="3"/>
  <c r="J97" i="3"/>
  <c r="G97" i="3"/>
  <c r="F97" i="3"/>
  <c r="E97" i="3"/>
  <c r="AI96" i="3"/>
  <c r="V96" i="3"/>
  <c r="O96" i="3"/>
  <c r="S96" i="3" s="1"/>
  <c r="X96" i="3" s="1"/>
  <c r="L96" i="3"/>
  <c r="J96" i="3"/>
  <c r="G96" i="3"/>
  <c r="F96" i="3"/>
  <c r="E96" i="3"/>
  <c r="AI95" i="3"/>
  <c r="O95" i="3"/>
  <c r="S95" i="3" s="1"/>
  <c r="X95" i="3" s="1"/>
  <c r="L95" i="3"/>
  <c r="J95" i="3"/>
  <c r="G95" i="3"/>
  <c r="F95" i="3"/>
  <c r="E95" i="3"/>
  <c r="AI94" i="3"/>
  <c r="O94" i="3"/>
  <c r="S94" i="3" s="1"/>
  <c r="X94" i="3" s="1"/>
  <c r="L94" i="3"/>
  <c r="J94" i="3"/>
  <c r="G94" i="3"/>
  <c r="F94" i="3"/>
  <c r="E94" i="3"/>
  <c r="AI93" i="3"/>
  <c r="V93" i="3"/>
  <c r="O93" i="3"/>
  <c r="S93" i="3" s="1"/>
  <c r="X93" i="3" s="1"/>
  <c r="L93" i="3"/>
  <c r="J93" i="3"/>
  <c r="G93" i="3"/>
  <c r="F93" i="3"/>
  <c r="E93" i="3"/>
  <c r="AI92" i="3"/>
  <c r="V92" i="3"/>
  <c r="O92" i="3"/>
  <c r="S92" i="3" s="1"/>
  <c r="X92" i="3" s="1"/>
  <c r="L92" i="3"/>
  <c r="J92" i="3"/>
  <c r="G92" i="3"/>
  <c r="F92" i="3"/>
  <c r="E92" i="3"/>
  <c r="AI91" i="3"/>
  <c r="O91" i="3"/>
  <c r="S91" i="3" s="1"/>
  <c r="X91" i="3" s="1"/>
  <c r="L91" i="3"/>
  <c r="J91" i="3"/>
  <c r="G91" i="3"/>
  <c r="F91" i="3"/>
  <c r="E91" i="3"/>
  <c r="AI90" i="3"/>
  <c r="O90" i="3"/>
  <c r="S90" i="3" s="1"/>
  <c r="X90" i="3" s="1"/>
  <c r="L90" i="3"/>
  <c r="J90" i="3"/>
  <c r="G90" i="3"/>
  <c r="F90" i="3"/>
  <c r="E90" i="3"/>
  <c r="AI89" i="3"/>
  <c r="V89" i="3"/>
  <c r="O89" i="3"/>
  <c r="S89" i="3" s="1"/>
  <c r="X89" i="3" s="1"/>
  <c r="L89" i="3"/>
  <c r="J89" i="3"/>
  <c r="G89" i="3"/>
  <c r="F89" i="3"/>
  <c r="E89" i="3"/>
  <c r="AI88" i="3"/>
  <c r="AA88" i="3"/>
  <c r="V88" i="3"/>
  <c r="O88" i="3"/>
  <c r="S88" i="3" s="1"/>
  <c r="X88" i="3" s="1"/>
  <c r="L88" i="3"/>
  <c r="J88" i="3"/>
  <c r="G88" i="3"/>
  <c r="F88" i="3"/>
  <c r="E88" i="3"/>
  <c r="AI87" i="3"/>
  <c r="V87" i="3"/>
  <c r="O87" i="3"/>
  <c r="S87" i="3" s="1"/>
  <c r="X87" i="3" s="1"/>
  <c r="L87" i="3"/>
  <c r="J87" i="3"/>
  <c r="G87" i="3"/>
  <c r="F87" i="3"/>
  <c r="E87" i="3"/>
  <c r="AI86" i="3"/>
  <c r="O86" i="3"/>
  <c r="S86" i="3" s="1"/>
  <c r="X86" i="3" s="1"/>
  <c r="L86" i="3"/>
  <c r="B138" i="1" s="1"/>
  <c r="G138" i="1" s="1"/>
  <c r="J86" i="3"/>
  <c r="G86" i="3"/>
  <c r="F86" i="3"/>
  <c r="E86" i="3"/>
  <c r="AI85" i="3"/>
  <c r="V85" i="3"/>
  <c r="O85" i="3"/>
  <c r="S85" i="3" s="1"/>
  <c r="X85" i="3" s="1"/>
  <c r="L85" i="3"/>
  <c r="J85" i="3"/>
  <c r="G85" i="3"/>
  <c r="F85" i="3"/>
  <c r="E85" i="3"/>
  <c r="AI84" i="3"/>
  <c r="O84" i="3"/>
  <c r="S84" i="3" s="1"/>
  <c r="X84" i="3" s="1"/>
  <c r="L84" i="3"/>
  <c r="J84" i="3"/>
  <c r="G84" i="3"/>
  <c r="F84" i="3"/>
  <c r="E84" i="3"/>
  <c r="AI83" i="3"/>
  <c r="O83" i="3"/>
  <c r="S83" i="3" s="1"/>
  <c r="X83" i="3" s="1"/>
  <c r="L83" i="3"/>
  <c r="J83" i="3"/>
  <c r="G83" i="3"/>
  <c r="F83" i="3"/>
  <c r="E83" i="3"/>
  <c r="AI82" i="3"/>
  <c r="V82" i="3"/>
  <c r="O82" i="3"/>
  <c r="S82" i="3" s="1"/>
  <c r="X82" i="3" s="1"/>
  <c r="L82" i="3"/>
  <c r="J82" i="3"/>
  <c r="G82" i="3"/>
  <c r="F82" i="3"/>
  <c r="E82" i="3"/>
  <c r="AI81" i="3"/>
  <c r="V81" i="3"/>
  <c r="O81" i="3"/>
  <c r="S81" i="3" s="1"/>
  <c r="X81" i="3" s="1"/>
  <c r="L81" i="3"/>
  <c r="J81" i="3"/>
  <c r="G81" i="3"/>
  <c r="F81" i="3"/>
  <c r="E81" i="3"/>
  <c r="B168" i="1"/>
  <c r="G168" i="1" s="1"/>
  <c r="AI80" i="3"/>
  <c r="V80" i="3"/>
  <c r="O80" i="3"/>
  <c r="S80" i="3" s="1"/>
  <c r="X80" i="3" s="1"/>
  <c r="L80" i="3"/>
  <c r="J80" i="3"/>
  <c r="G80" i="3"/>
  <c r="F80" i="3"/>
  <c r="E80" i="3"/>
  <c r="AI79" i="3"/>
  <c r="V79" i="3"/>
  <c r="O79" i="3"/>
  <c r="S79" i="3" s="1"/>
  <c r="X79" i="3" s="1"/>
  <c r="L79" i="3"/>
  <c r="J79" i="3"/>
  <c r="G79" i="3"/>
  <c r="F79" i="3"/>
  <c r="E79" i="3"/>
  <c r="AI78" i="3"/>
  <c r="N78" i="3"/>
  <c r="S78" i="3" s="1"/>
  <c r="X78" i="3" s="1"/>
  <c r="L78" i="3"/>
  <c r="J78" i="3"/>
  <c r="G78" i="3"/>
  <c r="F78" i="3"/>
  <c r="E78" i="3"/>
  <c r="AI77" i="3"/>
  <c r="O77" i="3"/>
  <c r="S77" i="3" s="1"/>
  <c r="X77" i="3" s="1"/>
  <c r="L77" i="3"/>
  <c r="J77" i="3"/>
  <c r="G77" i="3"/>
  <c r="F77" i="3"/>
  <c r="E77" i="3"/>
  <c r="AI76" i="3"/>
  <c r="V76" i="3"/>
  <c r="O76" i="3"/>
  <c r="S76" i="3" s="1"/>
  <c r="X76" i="3" s="1"/>
  <c r="L76" i="3"/>
  <c r="J76" i="3"/>
  <c r="G76" i="3"/>
  <c r="F76" i="3"/>
  <c r="E76" i="3"/>
  <c r="AI75" i="3"/>
  <c r="V75" i="3"/>
  <c r="O75" i="3"/>
  <c r="S75" i="3" s="1"/>
  <c r="X75" i="3" s="1"/>
  <c r="L75" i="3"/>
  <c r="J75" i="3"/>
  <c r="G75" i="3"/>
  <c r="F75" i="3"/>
  <c r="E75" i="3"/>
  <c r="AI74" i="3"/>
  <c r="O74" i="3"/>
  <c r="S74" i="3" s="1"/>
  <c r="X74" i="3" s="1"/>
  <c r="L74" i="3"/>
  <c r="J74" i="3"/>
  <c r="G74" i="3"/>
  <c r="F74" i="3"/>
  <c r="E74" i="3"/>
  <c r="AI73" i="3"/>
  <c r="O73" i="3"/>
  <c r="S73" i="3" s="1"/>
  <c r="X73" i="3" s="1"/>
  <c r="L73" i="3"/>
  <c r="J73" i="3"/>
  <c r="G73" i="3"/>
  <c r="F73" i="3"/>
  <c r="E73" i="3"/>
  <c r="AI72" i="3"/>
  <c r="V72" i="3"/>
  <c r="O72" i="3"/>
  <c r="S72" i="3" s="1"/>
  <c r="X72" i="3" s="1"/>
  <c r="L72" i="3"/>
  <c r="J72" i="3"/>
  <c r="G72" i="3"/>
  <c r="F72" i="3"/>
  <c r="E72" i="3"/>
  <c r="AI71" i="3"/>
  <c r="V71" i="3"/>
  <c r="O71" i="3"/>
  <c r="S71" i="3" s="1"/>
  <c r="X71" i="3" s="1"/>
  <c r="L71" i="3"/>
  <c r="J71" i="3"/>
  <c r="G71" i="3"/>
  <c r="F71" i="3"/>
  <c r="E71" i="3"/>
  <c r="AI70" i="3"/>
  <c r="O70" i="3"/>
  <c r="S70" i="3" s="1"/>
  <c r="X70" i="3" s="1"/>
  <c r="L70" i="3"/>
  <c r="J70" i="3"/>
  <c r="G70" i="3"/>
  <c r="F70" i="3"/>
  <c r="E70" i="3"/>
  <c r="AI69" i="3"/>
  <c r="V69" i="3"/>
  <c r="S69" i="3"/>
  <c r="X69" i="3" s="1"/>
  <c r="L69" i="3"/>
  <c r="J69" i="3"/>
  <c r="G69" i="3"/>
  <c r="F69" i="3"/>
  <c r="E69" i="3"/>
  <c r="AI68" i="3"/>
  <c r="O68" i="3"/>
  <c r="S68" i="3" s="1"/>
  <c r="X68" i="3" s="1"/>
  <c r="L68" i="3"/>
  <c r="J68" i="3"/>
  <c r="G68" i="3"/>
  <c r="F68" i="3"/>
  <c r="E68" i="3"/>
  <c r="AI67" i="3"/>
  <c r="V67" i="3"/>
  <c r="O67" i="3"/>
  <c r="S67" i="3" s="1"/>
  <c r="X67" i="3" s="1"/>
  <c r="L67" i="3"/>
  <c r="J67" i="3"/>
  <c r="G67" i="3"/>
  <c r="F67" i="3"/>
  <c r="E67" i="3"/>
  <c r="AI66" i="3"/>
  <c r="O66" i="3"/>
  <c r="S66" i="3" s="1"/>
  <c r="X66" i="3" s="1"/>
  <c r="L66" i="3"/>
  <c r="J66" i="3"/>
  <c r="G66" i="3"/>
  <c r="F66" i="3"/>
  <c r="E66" i="3"/>
  <c r="AI65" i="3"/>
  <c r="V65" i="3"/>
  <c r="O65" i="3"/>
  <c r="S65" i="3" s="1"/>
  <c r="X65" i="3" s="1"/>
  <c r="L65" i="3"/>
  <c r="J65" i="3"/>
  <c r="G65" i="3"/>
  <c r="F65" i="3"/>
  <c r="E65" i="3"/>
  <c r="AI64" i="3"/>
  <c r="N64" i="3"/>
  <c r="S64" i="3" s="1"/>
  <c r="X64" i="3" s="1"/>
  <c r="L64" i="3"/>
  <c r="J64" i="3"/>
  <c r="G64" i="3"/>
  <c r="F64" i="3"/>
  <c r="E64" i="3"/>
  <c r="AI63" i="3"/>
  <c r="V63" i="3"/>
  <c r="O63" i="3"/>
  <c r="S63" i="3" s="1"/>
  <c r="X63" i="3" s="1"/>
  <c r="L63" i="3"/>
  <c r="J63" i="3"/>
  <c r="G63" i="3"/>
  <c r="F63" i="3"/>
  <c r="E63" i="3"/>
  <c r="AI62" i="3"/>
  <c r="O62" i="3"/>
  <c r="S62" i="3" s="1"/>
  <c r="X62" i="3" s="1"/>
  <c r="L62" i="3"/>
  <c r="J62" i="3"/>
  <c r="G62" i="3"/>
  <c r="F62" i="3"/>
  <c r="E62" i="3"/>
  <c r="AI61" i="3"/>
  <c r="V61" i="3"/>
  <c r="O61" i="3"/>
  <c r="S61" i="3" s="1"/>
  <c r="X61" i="3" s="1"/>
  <c r="L61" i="3"/>
  <c r="J61" i="3"/>
  <c r="G61" i="3"/>
  <c r="F61" i="3"/>
  <c r="E61" i="3"/>
  <c r="AI60" i="3"/>
  <c r="O60" i="3"/>
  <c r="S60" i="3" s="1"/>
  <c r="X60" i="3" s="1"/>
  <c r="L60" i="3"/>
  <c r="J60" i="3"/>
  <c r="G60" i="3"/>
  <c r="F60" i="3"/>
  <c r="E60" i="3"/>
  <c r="AI59" i="3"/>
  <c r="V59" i="3"/>
  <c r="O59" i="3"/>
  <c r="S59" i="3" s="1"/>
  <c r="X59" i="3" s="1"/>
  <c r="L59" i="3"/>
  <c r="G59" i="3"/>
  <c r="F59" i="3"/>
  <c r="E59" i="3"/>
  <c r="AI58" i="3"/>
  <c r="V58" i="3"/>
  <c r="O58" i="3"/>
  <c r="S58" i="3" s="1"/>
  <c r="X58" i="3" s="1"/>
  <c r="L58" i="3"/>
  <c r="J58" i="3"/>
  <c r="G58" i="3"/>
  <c r="F58" i="3"/>
  <c r="E58" i="3"/>
  <c r="AI57" i="3"/>
  <c r="V57" i="3"/>
  <c r="D188" i="1" s="1"/>
  <c r="I188" i="1" s="1"/>
  <c r="O57" i="3"/>
  <c r="S57" i="3" s="1"/>
  <c r="X57" i="3" s="1"/>
  <c r="L57" i="3"/>
  <c r="B188" i="1" s="1"/>
  <c r="G188" i="1" s="1"/>
  <c r="J57" i="3"/>
  <c r="G57" i="3"/>
  <c r="F57" i="3"/>
  <c r="E57" i="3"/>
  <c r="AI56" i="3"/>
  <c r="V56" i="3"/>
  <c r="O56" i="3"/>
  <c r="S56" i="3" s="1"/>
  <c r="X56" i="3" s="1"/>
  <c r="L56" i="3"/>
  <c r="J56" i="3"/>
  <c r="G56" i="3"/>
  <c r="F56" i="3"/>
  <c r="E56" i="3"/>
  <c r="AI55" i="3"/>
  <c r="V55" i="3"/>
  <c r="O55" i="3"/>
  <c r="S55" i="3" s="1"/>
  <c r="X55" i="3" s="1"/>
  <c r="L55" i="3"/>
  <c r="J55" i="3"/>
  <c r="G55" i="3"/>
  <c r="F55" i="3"/>
  <c r="E55" i="3"/>
  <c r="AI54" i="3"/>
  <c r="V54" i="3"/>
  <c r="N54" i="3"/>
  <c r="L54" i="3"/>
  <c r="J54" i="3"/>
  <c r="G54" i="3"/>
  <c r="F54" i="3"/>
  <c r="E54" i="3"/>
  <c r="AI53" i="3"/>
  <c r="V53" i="3"/>
  <c r="O53" i="3"/>
  <c r="L53" i="3"/>
  <c r="J53" i="3"/>
  <c r="G53" i="3"/>
  <c r="F53" i="3"/>
  <c r="E53" i="3"/>
  <c r="AI52" i="3"/>
  <c r="V52" i="3"/>
  <c r="O52" i="3"/>
  <c r="S52" i="3" s="1"/>
  <c r="X52" i="3" s="1"/>
  <c r="L52" i="3"/>
  <c r="J52" i="3"/>
  <c r="G52" i="3"/>
  <c r="F52" i="3"/>
  <c r="E52" i="3"/>
  <c r="AI51" i="3"/>
  <c r="V51" i="3"/>
  <c r="O51" i="3"/>
  <c r="S51" i="3" s="1"/>
  <c r="X51" i="3" s="1"/>
  <c r="L51" i="3"/>
  <c r="J51" i="3"/>
  <c r="G51" i="3"/>
  <c r="F51" i="3"/>
  <c r="E51" i="3"/>
  <c r="AI50" i="3"/>
  <c r="V50" i="3"/>
  <c r="O50" i="3"/>
  <c r="S50" i="3" s="1"/>
  <c r="X50" i="3" s="1"/>
  <c r="L50" i="3"/>
  <c r="J50" i="3"/>
  <c r="G50" i="3"/>
  <c r="F50" i="3"/>
  <c r="E50" i="3"/>
  <c r="AI49" i="3"/>
  <c r="V49" i="3"/>
  <c r="O49" i="3"/>
  <c r="S49" i="3" s="1"/>
  <c r="X49" i="3" s="1"/>
  <c r="L49" i="3"/>
  <c r="J49" i="3"/>
  <c r="G49" i="3"/>
  <c r="F49" i="3"/>
  <c r="E49" i="3"/>
  <c r="AI48" i="3"/>
  <c r="V48" i="3"/>
  <c r="D248" i="1" s="1"/>
  <c r="I248" i="1" s="1"/>
  <c r="O48" i="3"/>
  <c r="S48" i="3" s="1"/>
  <c r="X48" i="3" s="1"/>
  <c r="L48" i="3"/>
  <c r="J48" i="3"/>
  <c r="G48" i="3"/>
  <c r="F48" i="3"/>
  <c r="E48" i="3"/>
  <c r="AI47" i="3"/>
  <c r="V47" i="3"/>
  <c r="O47" i="3"/>
  <c r="S47" i="3" s="1"/>
  <c r="X47" i="3" s="1"/>
  <c r="L47" i="3"/>
  <c r="J47" i="3"/>
  <c r="G47" i="3"/>
  <c r="F47" i="3"/>
  <c r="E47" i="3"/>
  <c r="AI46" i="3"/>
  <c r="B46" i="3"/>
  <c r="G46" i="3" s="1"/>
  <c r="AI45" i="3"/>
  <c r="V45" i="3"/>
  <c r="O45" i="3"/>
  <c r="S45" i="3" s="1"/>
  <c r="X45" i="3" s="1"/>
  <c r="L45" i="3"/>
  <c r="J45" i="3"/>
  <c r="G45" i="3"/>
  <c r="F45" i="3"/>
  <c r="E45" i="3"/>
  <c r="AI44" i="3"/>
  <c r="V44" i="3"/>
  <c r="O44" i="3"/>
  <c r="S44" i="3" s="1"/>
  <c r="X44" i="3" s="1"/>
  <c r="L44" i="3"/>
  <c r="J44" i="3"/>
  <c r="G44" i="3"/>
  <c r="F44" i="3"/>
  <c r="E44" i="3"/>
  <c r="AI43" i="3"/>
  <c r="V43" i="3"/>
  <c r="O43" i="3"/>
  <c r="S43" i="3" s="1"/>
  <c r="X43" i="3" s="1"/>
  <c r="L43" i="3"/>
  <c r="J43" i="3"/>
  <c r="G43" i="3"/>
  <c r="F43" i="3"/>
  <c r="E43" i="3"/>
  <c r="AI42" i="3"/>
  <c r="V42" i="3"/>
  <c r="O42" i="3"/>
  <c r="S42" i="3" s="1"/>
  <c r="X42" i="3" s="1"/>
  <c r="L42" i="3"/>
  <c r="J42" i="3"/>
  <c r="G42" i="3"/>
  <c r="F42" i="3"/>
  <c r="E42" i="3"/>
  <c r="AI41" i="3"/>
  <c r="V41" i="3"/>
  <c r="O41" i="3"/>
  <c r="S41" i="3" s="1"/>
  <c r="X41" i="3" s="1"/>
  <c r="L41" i="3"/>
  <c r="J41" i="3"/>
  <c r="G41" i="3"/>
  <c r="F41" i="3"/>
  <c r="E41" i="3"/>
  <c r="AI40" i="3"/>
  <c r="B40" i="3"/>
  <c r="AI39" i="3"/>
  <c r="V39" i="3"/>
  <c r="O39" i="3"/>
  <c r="S39" i="3" s="1"/>
  <c r="X39" i="3" s="1"/>
  <c r="L39" i="3"/>
  <c r="J39" i="3"/>
  <c r="G39" i="3"/>
  <c r="F39" i="3"/>
  <c r="E39" i="3"/>
  <c r="AI38" i="3"/>
  <c r="V38" i="3"/>
  <c r="O38" i="3"/>
  <c r="S38" i="3" s="1"/>
  <c r="X38" i="3" s="1"/>
  <c r="L38" i="3"/>
  <c r="J38" i="3"/>
  <c r="G38" i="3"/>
  <c r="F38" i="3"/>
  <c r="E38" i="3"/>
  <c r="AI37" i="3"/>
  <c r="V37" i="3"/>
  <c r="O37" i="3"/>
  <c r="S37" i="3" s="1"/>
  <c r="X37" i="3" s="1"/>
  <c r="L37" i="3"/>
  <c r="J37" i="3"/>
  <c r="G37" i="3"/>
  <c r="F37" i="3"/>
  <c r="E37" i="3"/>
  <c r="AI36" i="3"/>
  <c r="V36" i="3"/>
  <c r="O36" i="3"/>
  <c r="S36" i="3" s="1"/>
  <c r="X36" i="3" s="1"/>
  <c r="L36" i="3"/>
  <c r="J36" i="3"/>
  <c r="G36" i="3"/>
  <c r="F36" i="3"/>
  <c r="E36" i="3"/>
  <c r="AI35" i="3"/>
  <c r="V35" i="3"/>
  <c r="O35" i="3"/>
  <c r="S35" i="3" s="1"/>
  <c r="X35" i="3" s="1"/>
  <c r="L35" i="3"/>
  <c r="J35" i="3"/>
  <c r="G35" i="3"/>
  <c r="F35" i="3"/>
  <c r="E35" i="3"/>
  <c r="AI34" i="3"/>
  <c r="V34" i="3"/>
  <c r="O34" i="3"/>
  <c r="S34" i="3" s="1"/>
  <c r="X34" i="3" s="1"/>
  <c r="L34" i="3"/>
  <c r="J34" i="3"/>
  <c r="G34" i="3"/>
  <c r="F34" i="3"/>
  <c r="E34" i="3"/>
  <c r="AI33" i="3"/>
  <c r="V33" i="3"/>
  <c r="O33" i="3"/>
  <c r="S33" i="3" s="1"/>
  <c r="X33" i="3" s="1"/>
  <c r="L33" i="3"/>
  <c r="J33" i="3"/>
  <c r="G33" i="3"/>
  <c r="F33" i="3"/>
  <c r="E33" i="3"/>
  <c r="AI32" i="3"/>
  <c r="V32" i="3"/>
  <c r="I181" i="2" s="1"/>
  <c r="I183" i="2" s="1"/>
  <c r="I184" i="2" s="1"/>
  <c r="O32" i="3"/>
  <c r="S32" i="3" s="1"/>
  <c r="X32" i="3" s="1"/>
  <c r="K181" i="2" s="1"/>
  <c r="L32" i="3"/>
  <c r="G181" i="2" s="1"/>
  <c r="G183" i="2" s="1"/>
  <c r="G184" i="2" s="1"/>
  <c r="J32" i="3"/>
  <c r="F181" i="2" s="1"/>
  <c r="G32" i="3"/>
  <c r="F32" i="3"/>
  <c r="E32" i="3"/>
  <c r="AI31" i="3"/>
  <c r="V31" i="3"/>
  <c r="I425" i="2" s="1"/>
  <c r="O31" i="3"/>
  <c r="S31" i="3" s="1"/>
  <c r="X31" i="3" s="1"/>
  <c r="K425" i="2" s="1"/>
  <c r="L31" i="3"/>
  <c r="G425" i="2" s="1"/>
  <c r="J31" i="3"/>
  <c r="F425" i="2" s="1"/>
  <c r="G31" i="3"/>
  <c r="F31" i="3"/>
  <c r="E31" i="3"/>
  <c r="V30" i="3"/>
  <c r="I424" i="2" s="1"/>
  <c r="O30" i="3"/>
  <c r="L30" i="3"/>
  <c r="G424" i="2" s="1"/>
  <c r="J30" i="3"/>
  <c r="F424" i="2" s="1"/>
  <c r="G30" i="3"/>
  <c r="F30" i="3"/>
  <c r="E30" i="3"/>
  <c r="AI29" i="3"/>
  <c r="V29" i="3"/>
  <c r="I76" i="2" s="1"/>
  <c r="O29" i="3"/>
  <c r="S29" i="3" s="1"/>
  <c r="X29" i="3" s="1"/>
  <c r="K76" i="2" s="1"/>
  <c r="L29" i="3"/>
  <c r="G76" i="2" s="1"/>
  <c r="J29" i="3"/>
  <c r="F76" i="2" s="1"/>
  <c r="G29" i="3"/>
  <c r="F29" i="3"/>
  <c r="E29" i="3"/>
  <c r="AI28" i="3"/>
  <c r="V28" i="3"/>
  <c r="I311" i="2" s="1"/>
  <c r="O28" i="3"/>
  <c r="S28" i="3" s="1"/>
  <c r="X28" i="3" s="1"/>
  <c r="K311" i="2" s="1"/>
  <c r="L28" i="3"/>
  <c r="G311" i="2" s="1"/>
  <c r="J28" i="3"/>
  <c r="F311" i="2" s="1"/>
  <c r="G28" i="3"/>
  <c r="F28" i="3"/>
  <c r="E28" i="3"/>
  <c r="AI27" i="3"/>
  <c r="V27" i="3"/>
  <c r="O27" i="3"/>
  <c r="S27" i="3" s="1"/>
  <c r="X27" i="3" s="1"/>
  <c r="L27" i="3"/>
  <c r="J27" i="3"/>
  <c r="G27" i="3"/>
  <c r="F27" i="3"/>
  <c r="E27" i="3"/>
  <c r="AI26" i="3"/>
  <c r="V26" i="3"/>
  <c r="I395" i="2" s="1"/>
  <c r="O26" i="3"/>
  <c r="L26" i="3"/>
  <c r="G395" i="2" s="1"/>
  <c r="J26" i="3"/>
  <c r="F395" i="2" s="1"/>
  <c r="G26" i="3"/>
  <c r="F26" i="3"/>
  <c r="E26" i="3"/>
  <c r="AI25" i="3"/>
  <c r="V25" i="3"/>
  <c r="I426" i="2" s="1"/>
  <c r="O25" i="3"/>
  <c r="S25" i="3" s="1"/>
  <c r="X25" i="3" s="1"/>
  <c r="K426" i="2" s="1"/>
  <c r="L25" i="3"/>
  <c r="G426" i="2" s="1"/>
  <c r="J25" i="3"/>
  <c r="F426" i="2" s="1"/>
  <c r="G25" i="3"/>
  <c r="F25" i="3"/>
  <c r="E25" i="3"/>
  <c r="AI24" i="3"/>
  <c r="V24" i="3"/>
  <c r="I427" i="2" s="1"/>
  <c r="O24" i="3"/>
  <c r="S24" i="3" s="1"/>
  <c r="X24" i="3" s="1"/>
  <c r="K427" i="2" s="1"/>
  <c r="L24" i="3"/>
  <c r="G427" i="2" s="1"/>
  <c r="J24" i="3"/>
  <c r="F427" i="2" s="1"/>
  <c r="G24" i="3"/>
  <c r="F24" i="3"/>
  <c r="E24" i="3"/>
  <c r="AI23" i="3"/>
  <c r="V23" i="3"/>
  <c r="I399" i="2" s="1"/>
  <c r="O23" i="3"/>
  <c r="L23" i="3"/>
  <c r="G399" i="2" s="1"/>
  <c r="J23" i="3"/>
  <c r="F399" i="2" s="1"/>
  <c r="G23" i="3"/>
  <c r="F23" i="3"/>
  <c r="E23" i="3"/>
  <c r="AI22" i="3"/>
  <c r="V22" i="3"/>
  <c r="I400" i="2" s="1"/>
  <c r="O22" i="3"/>
  <c r="S22" i="3" s="1"/>
  <c r="X22" i="3" s="1"/>
  <c r="K400" i="2" s="1"/>
  <c r="L22" i="3"/>
  <c r="J22" i="3"/>
  <c r="F400" i="2" s="1"/>
  <c r="G22" i="3"/>
  <c r="F22" i="3"/>
  <c r="E22" i="3"/>
  <c r="AI21" i="3"/>
  <c r="V21" i="3"/>
  <c r="I455" i="2" s="1"/>
  <c r="O21" i="3"/>
  <c r="S21" i="3" s="1"/>
  <c r="X21" i="3" s="1"/>
  <c r="K455" i="2" s="1"/>
  <c r="L21" i="3"/>
  <c r="G455" i="2" s="1"/>
  <c r="J21" i="3"/>
  <c r="F455" i="2" s="1"/>
  <c r="G21" i="3"/>
  <c r="F21" i="3"/>
  <c r="E21" i="3"/>
  <c r="AI20" i="3"/>
  <c r="V20" i="3"/>
  <c r="I423" i="2" s="1"/>
  <c r="O20" i="3"/>
  <c r="S20" i="3" s="1"/>
  <c r="X20" i="3" s="1"/>
  <c r="K423" i="2" s="1"/>
  <c r="L20" i="3"/>
  <c r="G423" i="2" s="1"/>
  <c r="J20" i="3"/>
  <c r="F423" i="2" s="1"/>
  <c r="G20" i="3"/>
  <c r="F20" i="3"/>
  <c r="E20" i="3"/>
  <c r="AI19" i="3"/>
  <c r="V19" i="3"/>
  <c r="I454" i="2" s="1"/>
  <c r="O19" i="3"/>
  <c r="L19" i="3"/>
  <c r="G454" i="2" s="1"/>
  <c r="J19" i="3"/>
  <c r="F454" i="2" s="1"/>
  <c r="G19" i="3"/>
  <c r="F19" i="3"/>
  <c r="E19" i="3"/>
  <c r="D213" i="1"/>
  <c r="I213" i="1" s="1"/>
  <c r="C213" i="1"/>
  <c r="H213" i="1" s="1"/>
  <c r="B213" i="1"/>
  <c r="G213" i="1" s="1"/>
  <c r="AI18" i="3"/>
  <c r="V18" i="3"/>
  <c r="I452" i="2" s="1"/>
  <c r="U18" i="3"/>
  <c r="T18" i="3"/>
  <c r="O18" i="3"/>
  <c r="H452" i="2" s="1"/>
  <c r="L18" i="3"/>
  <c r="G452" i="2" s="1"/>
  <c r="J18" i="3"/>
  <c r="F452" i="2" s="1"/>
  <c r="G18" i="3"/>
  <c r="F18" i="3"/>
  <c r="E18" i="3"/>
  <c r="AI17" i="3"/>
  <c r="V17" i="3"/>
  <c r="I307" i="2" s="1"/>
  <c r="U17" i="3"/>
  <c r="T17" i="3"/>
  <c r="O17" i="3"/>
  <c r="S17" i="3" s="1"/>
  <c r="X17" i="3" s="1"/>
  <c r="K307" i="2" s="1"/>
  <c r="L17" i="3"/>
  <c r="G307" i="2" s="1"/>
  <c r="J17" i="3"/>
  <c r="F307" i="2" s="1"/>
  <c r="G17" i="3"/>
  <c r="F17" i="3"/>
  <c r="E17" i="3"/>
  <c r="AI16" i="3"/>
  <c r="V16" i="3"/>
  <c r="I420" i="2" s="1"/>
  <c r="U16" i="3"/>
  <c r="T16" i="3"/>
  <c r="O16" i="3"/>
  <c r="L16" i="3"/>
  <c r="G420" i="2" s="1"/>
  <c r="J16" i="3"/>
  <c r="F420" i="2" s="1"/>
  <c r="G16" i="3"/>
  <c r="F16" i="3"/>
  <c r="E16" i="3"/>
  <c r="AI15" i="3"/>
  <c r="V15" i="3"/>
  <c r="U15" i="3"/>
  <c r="T15" i="3"/>
  <c r="O15" i="3"/>
  <c r="L15" i="3"/>
  <c r="J15" i="3"/>
  <c r="F450" i="2" s="1"/>
  <c r="G15" i="3"/>
  <c r="F15" i="3"/>
  <c r="E15" i="3"/>
  <c r="M14" i="3"/>
  <c r="L14" i="3"/>
  <c r="B193" i="1" s="1"/>
  <c r="G193" i="1" s="1"/>
  <c r="J14" i="3"/>
  <c r="F260" i="2" s="1"/>
  <c r="G14" i="3"/>
  <c r="F14" i="3"/>
  <c r="E14" i="3"/>
  <c r="V8" i="3"/>
  <c r="M7" i="3"/>
  <c r="Q233" i="3" s="1"/>
  <c r="L7" i="3"/>
  <c r="P233" i="3" s="1"/>
  <c r="J7" i="3"/>
  <c r="G7" i="3"/>
  <c r="F7" i="3"/>
  <c r="E7" i="3"/>
  <c r="I469" i="2"/>
  <c r="H469" i="2"/>
  <c r="G469" i="2"/>
  <c r="I468" i="2"/>
  <c r="H468" i="2"/>
  <c r="G468" i="2"/>
  <c r="I464" i="2"/>
  <c r="H464" i="2"/>
  <c r="G464" i="2"/>
  <c r="I463" i="2"/>
  <c r="H463" i="2"/>
  <c r="G463" i="2"/>
  <c r="L455" i="2"/>
  <c r="J455" i="2"/>
  <c r="E455" i="2"/>
  <c r="D455" i="2"/>
  <c r="C455" i="2"/>
  <c r="L454" i="2"/>
  <c r="J454" i="2"/>
  <c r="E454" i="2"/>
  <c r="D454" i="2"/>
  <c r="C454" i="2"/>
  <c r="L452" i="2"/>
  <c r="J452" i="2"/>
  <c r="E452" i="2"/>
  <c r="D452" i="2"/>
  <c r="C452" i="2"/>
  <c r="L450" i="2"/>
  <c r="J450" i="2"/>
  <c r="E450" i="2"/>
  <c r="D450" i="2"/>
  <c r="C450" i="2"/>
  <c r="I448" i="2"/>
  <c r="H448" i="2"/>
  <c r="G448" i="2"/>
  <c r="I447" i="2"/>
  <c r="H447" i="2"/>
  <c r="G447" i="2"/>
  <c r="I443" i="2"/>
  <c r="H443" i="2"/>
  <c r="I442" i="2"/>
  <c r="H442" i="2"/>
  <c r="I439" i="2"/>
  <c r="H439" i="2"/>
  <c r="G439" i="2"/>
  <c r="I438" i="2"/>
  <c r="H438" i="2"/>
  <c r="G438" i="2"/>
  <c r="I434" i="2"/>
  <c r="H434" i="2"/>
  <c r="G434" i="2"/>
  <c r="I433" i="2"/>
  <c r="H433" i="2"/>
  <c r="G433" i="2"/>
  <c r="L427" i="2"/>
  <c r="J427" i="2"/>
  <c r="E427" i="2"/>
  <c r="D427" i="2"/>
  <c r="C427" i="2"/>
  <c r="L426" i="2"/>
  <c r="J426" i="2"/>
  <c r="E426" i="2"/>
  <c r="D426" i="2"/>
  <c r="C426" i="2"/>
  <c r="L425" i="2"/>
  <c r="J425" i="2"/>
  <c r="E425" i="2"/>
  <c r="D425" i="2"/>
  <c r="C425" i="2"/>
  <c r="L424" i="2"/>
  <c r="J424" i="2"/>
  <c r="E424" i="2"/>
  <c r="D424" i="2"/>
  <c r="C424" i="2"/>
  <c r="L423" i="2"/>
  <c r="J423" i="2"/>
  <c r="E423" i="2"/>
  <c r="D423" i="2"/>
  <c r="C423" i="2"/>
  <c r="L420" i="2"/>
  <c r="J420" i="2"/>
  <c r="E420" i="2"/>
  <c r="D420" i="2"/>
  <c r="C420" i="2"/>
  <c r="I412" i="2"/>
  <c r="H412" i="2"/>
  <c r="G412" i="2"/>
  <c r="I411" i="2"/>
  <c r="H411" i="2"/>
  <c r="G411" i="2"/>
  <c r="I407" i="2"/>
  <c r="H407" i="2"/>
  <c r="G407" i="2"/>
  <c r="I406" i="2"/>
  <c r="H406" i="2"/>
  <c r="G406" i="2"/>
  <c r="L400" i="2"/>
  <c r="J400" i="2"/>
  <c r="E400" i="2"/>
  <c r="D400" i="2"/>
  <c r="C400" i="2"/>
  <c r="L399" i="2"/>
  <c r="J399" i="2"/>
  <c r="E399" i="2"/>
  <c r="D399" i="2"/>
  <c r="C399" i="2"/>
  <c r="L395" i="2"/>
  <c r="J395" i="2"/>
  <c r="E395" i="2"/>
  <c r="D395" i="2"/>
  <c r="C395" i="2"/>
  <c r="I392" i="2"/>
  <c r="H392" i="2"/>
  <c r="G392" i="2"/>
  <c r="I391" i="2"/>
  <c r="H391" i="2"/>
  <c r="G391" i="2"/>
  <c r="I387" i="2"/>
  <c r="H387" i="2"/>
  <c r="G387" i="2"/>
  <c r="I386" i="2"/>
  <c r="H386" i="2"/>
  <c r="G386" i="2"/>
  <c r="I381" i="2"/>
  <c r="H381" i="2"/>
  <c r="G381" i="2"/>
  <c r="I380" i="2"/>
  <c r="H380" i="2"/>
  <c r="G380" i="2"/>
  <c r="I375" i="2"/>
  <c r="H375" i="2"/>
  <c r="G375" i="2"/>
  <c r="I374" i="2"/>
  <c r="H374" i="2"/>
  <c r="G374" i="2"/>
  <c r="I371" i="2"/>
  <c r="H371" i="2"/>
  <c r="G371" i="2"/>
  <c r="I370" i="2"/>
  <c r="H370" i="2"/>
  <c r="G370" i="2"/>
  <c r="I367" i="2"/>
  <c r="H367" i="2"/>
  <c r="G367" i="2"/>
  <c r="I364" i="2"/>
  <c r="H364" i="2"/>
  <c r="G364" i="2"/>
  <c r="I363" i="2"/>
  <c r="H363" i="2"/>
  <c r="G363" i="2"/>
  <c r="I359" i="2"/>
  <c r="H359" i="2"/>
  <c r="G359" i="2"/>
  <c r="I358" i="2"/>
  <c r="H358" i="2"/>
  <c r="G358" i="2"/>
  <c r="I352" i="2"/>
  <c r="H352" i="2"/>
  <c r="G352" i="2"/>
  <c r="I351" i="2"/>
  <c r="H351" i="2"/>
  <c r="G351" i="2"/>
  <c r="I345" i="2"/>
  <c r="H345" i="2"/>
  <c r="G345" i="2"/>
  <c r="I344" i="2"/>
  <c r="H344" i="2"/>
  <c r="G344" i="2"/>
  <c r="I340" i="2"/>
  <c r="H340" i="2"/>
  <c r="G340" i="2"/>
  <c r="I339" i="2"/>
  <c r="H339" i="2"/>
  <c r="G339" i="2"/>
  <c r="I335" i="2"/>
  <c r="H335" i="2"/>
  <c r="G335" i="2"/>
  <c r="I334" i="2"/>
  <c r="H334" i="2"/>
  <c r="G334" i="2"/>
  <c r="I324" i="2"/>
  <c r="H324" i="2"/>
  <c r="G324" i="2"/>
  <c r="I323" i="2"/>
  <c r="H323" i="2"/>
  <c r="G323" i="2"/>
  <c r="I320" i="2"/>
  <c r="H320" i="2"/>
  <c r="G320" i="2"/>
  <c r="I319" i="2"/>
  <c r="H319" i="2"/>
  <c r="G319" i="2"/>
  <c r="L311" i="2"/>
  <c r="J311" i="2"/>
  <c r="E311" i="2"/>
  <c r="D311" i="2"/>
  <c r="C311" i="2"/>
  <c r="L307" i="2"/>
  <c r="J307" i="2"/>
  <c r="E307" i="2"/>
  <c r="D307" i="2"/>
  <c r="C307" i="2"/>
  <c r="I304" i="2"/>
  <c r="H304" i="2"/>
  <c r="G304" i="2"/>
  <c r="I303" i="2"/>
  <c r="H303" i="2"/>
  <c r="G303" i="2"/>
  <c r="I298" i="2"/>
  <c r="H298" i="2"/>
  <c r="G298" i="2"/>
  <c r="I297" i="2"/>
  <c r="H297" i="2"/>
  <c r="G297" i="2"/>
  <c r="I293" i="2"/>
  <c r="H293" i="2"/>
  <c r="G293" i="2"/>
  <c r="I292" i="2"/>
  <c r="H292" i="2"/>
  <c r="G292" i="2"/>
  <c r="I289" i="2"/>
  <c r="H289" i="2"/>
  <c r="G289" i="2"/>
  <c r="I288" i="2"/>
  <c r="H288" i="2"/>
  <c r="G288" i="2"/>
  <c r="I284" i="2"/>
  <c r="H284" i="2"/>
  <c r="G284" i="2"/>
  <c r="I283" i="2"/>
  <c r="H283" i="2"/>
  <c r="G283" i="2"/>
  <c r="I279" i="2"/>
  <c r="H279" i="2"/>
  <c r="G279" i="2"/>
  <c r="I278" i="2"/>
  <c r="H278" i="2"/>
  <c r="G278" i="2"/>
  <c r="I269" i="2"/>
  <c r="H269" i="2"/>
  <c r="G269" i="2"/>
  <c r="I268" i="2"/>
  <c r="H268" i="2"/>
  <c r="G268" i="2"/>
  <c r="L260" i="2"/>
  <c r="J260" i="2"/>
  <c r="I260" i="2"/>
  <c r="I262" i="2" s="1"/>
  <c r="I263" i="2" s="1"/>
  <c r="E260" i="2"/>
  <c r="D260" i="2"/>
  <c r="C260" i="2"/>
  <c r="I256" i="2"/>
  <c r="H256" i="2"/>
  <c r="G256" i="2"/>
  <c r="I255" i="2"/>
  <c r="H255" i="2"/>
  <c r="G255" i="2"/>
  <c r="I251" i="2"/>
  <c r="H251" i="2"/>
  <c r="G251" i="2"/>
  <c r="I250" i="2"/>
  <c r="H250" i="2"/>
  <c r="G250" i="2"/>
  <c r="I246" i="2"/>
  <c r="H246" i="2"/>
  <c r="G246" i="2"/>
  <c r="I245" i="2"/>
  <c r="H245" i="2"/>
  <c r="G245" i="2"/>
  <c r="I236" i="2"/>
  <c r="H236" i="2"/>
  <c r="G236" i="2"/>
  <c r="I235" i="2"/>
  <c r="H235" i="2"/>
  <c r="G235" i="2"/>
  <c r="I229" i="2"/>
  <c r="H229" i="2"/>
  <c r="G229" i="2"/>
  <c r="I228" i="2"/>
  <c r="H228" i="2"/>
  <c r="G228" i="2"/>
  <c r="I224" i="2"/>
  <c r="H224" i="2"/>
  <c r="G224" i="2"/>
  <c r="I223" i="2"/>
  <c r="H223" i="2"/>
  <c r="G223" i="2"/>
  <c r="I219" i="2"/>
  <c r="H219" i="2"/>
  <c r="G219" i="2"/>
  <c r="I218" i="2"/>
  <c r="H218" i="2"/>
  <c r="G218" i="2"/>
  <c r="I215" i="2"/>
  <c r="H215" i="2"/>
  <c r="G215" i="2"/>
  <c r="I214" i="2"/>
  <c r="H214" i="2"/>
  <c r="G214" i="2"/>
  <c r="I211" i="2"/>
  <c r="H211" i="2"/>
  <c r="G211" i="2"/>
  <c r="I210" i="2"/>
  <c r="H210" i="2"/>
  <c r="G210" i="2"/>
  <c r="I206" i="2"/>
  <c r="H206" i="2"/>
  <c r="G206" i="2"/>
  <c r="I205" i="2"/>
  <c r="H205" i="2"/>
  <c r="G205" i="2"/>
  <c r="I200" i="2"/>
  <c r="H200" i="2"/>
  <c r="G200" i="2"/>
  <c r="I199" i="2"/>
  <c r="H199" i="2"/>
  <c r="G199" i="2"/>
  <c r="I195" i="2"/>
  <c r="H195" i="2"/>
  <c r="G195" i="2"/>
  <c r="I194" i="2"/>
  <c r="H194" i="2"/>
  <c r="G194" i="2"/>
  <c r="I191" i="2"/>
  <c r="H191" i="2"/>
  <c r="G191" i="2"/>
  <c r="I190" i="2"/>
  <c r="H190" i="2"/>
  <c r="G190" i="2"/>
  <c r="L181" i="2"/>
  <c r="J181" i="2"/>
  <c r="E181" i="2"/>
  <c r="D181" i="2"/>
  <c r="C181" i="2"/>
  <c r="I177" i="2"/>
  <c r="H177" i="2"/>
  <c r="G177" i="2"/>
  <c r="I176" i="2"/>
  <c r="H176" i="2"/>
  <c r="G176" i="2"/>
  <c r="I172" i="2"/>
  <c r="H172" i="2"/>
  <c r="G172" i="2"/>
  <c r="I171" i="2"/>
  <c r="H171" i="2"/>
  <c r="G171" i="2"/>
  <c r="I163" i="2"/>
  <c r="H163" i="2"/>
  <c r="G163" i="2"/>
  <c r="I162" i="2"/>
  <c r="H162" i="2"/>
  <c r="G162" i="2"/>
  <c r="I153" i="2"/>
  <c r="H153" i="2"/>
  <c r="G153" i="2"/>
  <c r="I152" i="2"/>
  <c r="H152" i="2"/>
  <c r="G152" i="2"/>
  <c r="I149" i="2"/>
  <c r="H149" i="2"/>
  <c r="G149" i="2"/>
  <c r="I148" i="2"/>
  <c r="H148" i="2"/>
  <c r="G148" i="2"/>
  <c r="I145" i="2"/>
  <c r="H145" i="2"/>
  <c r="G145" i="2"/>
  <c r="I144" i="2"/>
  <c r="H144" i="2"/>
  <c r="G144" i="2"/>
  <c r="I140" i="2"/>
  <c r="H140" i="2"/>
  <c r="G140" i="2"/>
  <c r="I139" i="2"/>
  <c r="H139" i="2"/>
  <c r="G139" i="2"/>
  <c r="I129" i="2"/>
  <c r="H129" i="2"/>
  <c r="G129" i="2"/>
  <c r="I128" i="2"/>
  <c r="H128" i="2"/>
  <c r="G128" i="2"/>
  <c r="I125" i="2"/>
  <c r="H125" i="2"/>
  <c r="G125" i="2"/>
  <c r="I124" i="2"/>
  <c r="H124" i="2"/>
  <c r="G124" i="2"/>
  <c r="I119" i="2"/>
  <c r="H119" i="2"/>
  <c r="G119" i="2"/>
  <c r="I118" i="2"/>
  <c r="H118" i="2"/>
  <c r="G118" i="2"/>
  <c r="I114" i="2"/>
  <c r="H114" i="2"/>
  <c r="G114" i="2"/>
  <c r="I113" i="2"/>
  <c r="H113" i="2"/>
  <c r="G113" i="2"/>
  <c r="I109" i="2"/>
  <c r="H109" i="2"/>
  <c r="G109" i="2"/>
  <c r="I108" i="2"/>
  <c r="H108" i="2"/>
  <c r="G108" i="2"/>
  <c r="I103" i="2"/>
  <c r="H103" i="2"/>
  <c r="G103" i="2"/>
  <c r="I102" i="2"/>
  <c r="H102" i="2"/>
  <c r="G102" i="2"/>
  <c r="I97" i="2"/>
  <c r="H97" i="2"/>
  <c r="G97" i="2"/>
  <c r="I96" i="2"/>
  <c r="H96" i="2"/>
  <c r="G96" i="2"/>
  <c r="I93" i="2"/>
  <c r="H93" i="2"/>
  <c r="G93" i="2"/>
  <c r="I92" i="2"/>
  <c r="H92" i="2"/>
  <c r="G92" i="2"/>
  <c r="I87" i="2"/>
  <c r="H87" i="2"/>
  <c r="G87" i="2"/>
  <c r="I86" i="2"/>
  <c r="H86" i="2"/>
  <c r="G86" i="2"/>
  <c r="L76" i="2"/>
  <c r="J76" i="2"/>
  <c r="E76" i="2"/>
  <c r="D76" i="2"/>
  <c r="C76" i="2"/>
  <c r="I74" i="2"/>
  <c r="H74" i="2"/>
  <c r="G74" i="2"/>
  <c r="I73" i="2"/>
  <c r="H73" i="2"/>
  <c r="G73" i="2"/>
  <c r="I68" i="2"/>
  <c r="H68" i="2"/>
  <c r="G68" i="2"/>
  <c r="I67" i="2"/>
  <c r="H67" i="2"/>
  <c r="G67" i="2"/>
  <c r="I60" i="2"/>
  <c r="H60" i="2"/>
  <c r="G60" i="2"/>
  <c r="I59" i="2"/>
  <c r="H59" i="2"/>
  <c r="G59" i="2"/>
  <c r="I54" i="2"/>
  <c r="H54" i="2"/>
  <c r="G54" i="2"/>
  <c r="I53" i="2"/>
  <c r="H53" i="2"/>
  <c r="G53" i="2"/>
  <c r="I49" i="2"/>
  <c r="H49" i="2"/>
  <c r="G49" i="2"/>
  <c r="I48" i="2"/>
  <c r="H48" i="2"/>
  <c r="G48" i="2"/>
  <c r="I45" i="2"/>
  <c r="H45" i="2"/>
  <c r="G45" i="2"/>
  <c r="I44" i="2"/>
  <c r="H44" i="2"/>
  <c r="G44" i="2"/>
  <c r="I41" i="2"/>
  <c r="H41" i="2"/>
  <c r="G41" i="2"/>
  <c r="I40" i="2"/>
  <c r="H40" i="2"/>
  <c r="G40" i="2"/>
  <c r="I36" i="2"/>
  <c r="H36" i="2"/>
  <c r="G36" i="2"/>
  <c r="I35" i="2"/>
  <c r="H35" i="2"/>
  <c r="G35" i="2"/>
  <c r="I30" i="2"/>
  <c r="H30" i="2"/>
  <c r="G30" i="2"/>
  <c r="I29" i="2"/>
  <c r="H29" i="2"/>
  <c r="G29" i="2"/>
  <c r="I25" i="2"/>
  <c r="H25" i="2"/>
  <c r="G25" i="2"/>
  <c r="I24" i="2"/>
  <c r="H24" i="2"/>
  <c r="G24" i="2"/>
  <c r="I21" i="2"/>
  <c r="H21" i="2"/>
  <c r="G21" i="2"/>
  <c r="I20" i="2"/>
  <c r="H20" i="2"/>
  <c r="G20" i="2"/>
  <c r="I17" i="2"/>
  <c r="H17" i="2"/>
  <c r="I16" i="2"/>
  <c r="H16" i="2"/>
  <c r="I11" i="2"/>
  <c r="H11" i="2"/>
  <c r="G11" i="2"/>
  <c r="I10" i="2"/>
  <c r="H10" i="2"/>
  <c r="G10" i="2"/>
  <c r="A4" i="2"/>
  <c r="H288" i="1"/>
  <c r="E288" i="1"/>
  <c r="D288" i="1"/>
  <c r="B288" i="1"/>
  <c r="G288" i="1" s="1"/>
  <c r="E287" i="1"/>
  <c r="D287" i="1"/>
  <c r="C287" i="1"/>
  <c r="H287" i="1" s="1"/>
  <c r="B287" i="1"/>
  <c r="G287" i="1" s="1"/>
  <c r="E286" i="1"/>
  <c r="D286" i="1"/>
  <c r="C286" i="1"/>
  <c r="H286" i="1" s="1"/>
  <c r="B286" i="1"/>
  <c r="G286" i="1" s="1"/>
  <c r="E285" i="1"/>
  <c r="D285" i="1"/>
  <c r="C285" i="1"/>
  <c r="H285" i="1" s="1"/>
  <c r="B285" i="1"/>
  <c r="G285" i="1" s="1"/>
  <c r="H284" i="1"/>
  <c r="E284" i="1"/>
  <c r="J284" i="1" s="1"/>
  <c r="D284" i="1"/>
  <c r="I284" i="1" s="1"/>
  <c r="B284" i="1"/>
  <c r="G284" i="1" s="1"/>
  <c r="E283" i="1"/>
  <c r="J283" i="1" s="1"/>
  <c r="E282" i="1"/>
  <c r="J282" i="1" s="1"/>
  <c r="D282" i="1"/>
  <c r="I282" i="1" s="1"/>
  <c r="C282" i="1"/>
  <c r="H282" i="1" s="1"/>
  <c r="B282" i="1"/>
  <c r="G282" i="1" s="1"/>
  <c r="E281" i="1"/>
  <c r="J281" i="1" s="1"/>
  <c r="D281" i="1"/>
  <c r="I281" i="1" s="1"/>
  <c r="C281" i="1"/>
  <c r="H281" i="1" s="1"/>
  <c r="B281" i="1"/>
  <c r="G281" i="1" s="1"/>
  <c r="E280" i="1"/>
  <c r="J280" i="1" s="1"/>
  <c r="D280" i="1"/>
  <c r="I280" i="1" s="1"/>
  <c r="C280" i="1"/>
  <c r="H280" i="1" s="1"/>
  <c r="B280" i="1"/>
  <c r="G280" i="1" s="1"/>
  <c r="E279" i="1"/>
  <c r="J279" i="1" s="1"/>
  <c r="D279" i="1"/>
  <c r="I279" i="1" s="1"/>
  <c r="C279" i="1"/>
  <c r="H279" i="1" s="1"/>
  <c r="B279" i="1"/>
  <c r="G279" i="1" s="1"/>
  <c r="E278" i="1"/>
  <c r="J278" i="1" s="1"/>
  <c r="D278" i="1"/>
  <c r="I278" i="1" s="1"/>
  <c r="C278" i="1"/>
  <c r="H278" i="1" s="1"/>
  <c r="B278" i="1"/>
  <c r="G278" i="1" s="1"/>
  <c r="E277" i="1"/>
  <c r="J277" i="1" s="1"/>
  <c r="D277" i="1"/>
  <c r="I277" i="1" s="1"/>
  <c r="C277" i="1"/>
  <c r="H277" i="1" s="1"/>
  <c r="B277" i="1"/>
  <c r="G277" i="1" s="1"/>
  <c r="E276" i="1"/>
  <c r="J276" i="1" s="1"/>
  <c r="D276" i="1"/>
  <c r="I276" i="1" s="1"/>
  <c r="C276" i="1"/>
  <c r="H276" i="1" s="1"/>
  <c r="B276" i="1"/>
  <c r="G276" i="1" s="1"/>
  <c r="E275" i="1"/>
  <c r="J275" i="1" s="1"/>
  <c r="D275" i="1"/>
  <c r="I275" i="1" s="1"/>
  <c r="C275" i="1"/>
  <c r="H275" i="1" s="1"/>
  <c r="B275" i="1"/>
  <c r="G275" i="1" s="1"/>
  <c r="E274" i="1"/>
  <c r="J274" i="1" s="1"/>
  <c r="D274" i="1"/>
  <c r="I274" i="1" s="1"/>
  <c r="C274" i="1"/>
  <c r="H274" i="1" s="1"/>
  <c r="B274" i="1"/>
  <c r="G274" i="1" s="1"/>
  <c r="E273" i="1"/>
  <c r="J273" i="1" s="1"/>
  <c r="E272" i="1"/>
  <c r="J272" i="1" s="1"/>
  <c r="D272" i="1"/>
  <c r="I272" i="1" s="1"/>
  <c r="C272" i="1"/>
  <c r="H272" i="1" s="1"/>
  <c r="B272" i="1"/>
  <c r="G272" i="1" s="1"/>
  <c r="E271" i="1"/>
  <c r="J271" i="1" s="1"/>
  <c r="D271" i="1"/>
  <c r="I271" i="1" s="1"/>
  <c r="C271" i="1"/>
  <c r="H271" i="1" s="1"/>
  <c r="B271" i="1"/>
  <c r="G271" i="1" s="1"/>
  <c r="E270" i="1"/>
  <c r="J270" i="1" s="1"/>
  <c r="D270" i="1"/>
  <c r="I270" i="1" s="1"/>
  <c r="C270" i="1"/>
  <c r="H270" i="1" s="1"/>
  <c r="B270" i="1"/>
  <c r="G270" i="1" s="1"/>
  <c r="E269" i="1"/>
  <c r="J269" i="1" s="1"/>
  <c r="D269" i="1"/>
  <c r="I269" i="1" s="1"/>
  <c r="C269" i="1"/>
  <c r="H269" i="1" s="1"/>
  <c r="B269" i="1"/>
  <c r="G269" i="1" s="1"/>
  <c r="E267" i="1"/>
  <c r="J267" i="1" s="1"/>
  <c r="D267" i="1"/>
  <c r="I267" i="1" s="1"/>
  <c r="C267" i="1"/>
  <c r="H267" i="1" s="1"/>
  <c r="B267" i="1"/>
  <c r="G267" i="1" s="1"/>
  <c r="E266" i="1"/>
  <c r="J266" i="1" s="1"/>
  <c r="D266" i="1"/>
  <c r="I266" i="1" s="1"/>
  <c r="C266" i="1"/>
  <c r="H266" i="1" s="1"/>
  <c r="B266" i="1"/>
  <c r="G266" i="1" s="1"/>
  <c r="E265" i="1"/>
  <c r="J265" i="1" s="1"/>
  <c r="D265" i="1"/>
  <c r="I265" i="1" s="1"/>
  <c r="C265" i="1"/>
  <c r="H265" i="1" s="1"/>
  <c r="B265" i="1"/>
  <c r="G265" i="1" s="1"/>
  <c r="E264" i="1"/>
  <c r="J264" i="1" s="1"/>
  <c r="D264" i="1"/>
  <c r="I264" i="1" s="1"/>
  <c r="C264" i="1"/>
  <c r="H264" i="1" s="1"/>
  <c r="B264" i="1"/>
  <c r="G264" i="1" s="1"/>
  <c r="E263" i="1"/>
  <c r="J263" i="1" s="1"/>
  <c r="D263" i="1"/>
  <c r="I263" i="1" s="1"/>
  <c r="C263" i="1"/>
  <c r="H263" i="1" s="1"/>
  <c r="B263" i="1"/>
  <c r="G263" i="1" s="1"/>
  <c r="E262" i="1"/>
  <c r="J262" i="1" s="1"/>
  <c r="D262" i="1"/>
  <c r="I262" i="1" s="1"/>
  <c r="C262" i="1"/>
  <c r="H262" i="1" s="1"/>
  <c r="B262" i="1"/>
  <c r="G262" i="1" s="1"/>
  <c r="E261" i="1"/>
  <c r="J261" i="1" s="1"/>
  <c r="D261" i="1"/>
  <c r="I261" i="1" s="1"/>
  <c r="C261" i="1"/>
  <c r="H261" i="1" s="1"/>
  <c r="B261" i="1"/>
  <c r="G261" i="1" s="1"/>
  <c r="E260" i="1"/>
  <c r="J260" i="1" s="1"/>
  <c r="D260" i="1"/>
  <c r="I260" i="1" s="1"/>
  <c r="C260" i="1"/>
  <c r="H260" i="1" s="1"/>
  <c r="B260" i="1"/>
  <c r="G260" i="1" s="1"/>
  <c r="E259" i="1"/>
  <c r="J259" i="1" s="1"/>
  <c r="D259" i="1"/>
  <c r="I259" i="1" s="1"/>
  <c r="C259" i="1"/>
  <c r="H259" i="1" s="1"/>
  <c r="B259" i="1"/>
  <c r="G259" i="1" s="1"/>
  <c r="E258" i="1"/>
  <c r="J258" i="1" s="1"/>
  <c r="D258" i="1"/>
  <c r="I258" i="1" s="1"/>
  <c r="C258" i="1"/>
  <c r="H258" i="1" s="1"/>
  <c r="B258" i="1"/>
  <c r="G258" i="1" s="1"/>
  <c r="E257" i="1"/>
  <c r="J257" i="1" s="1"/>
  <c r="D257" i="1"/>
  <c r="I257" i="1" s="1"/>
  <c r="C257" i="1"/>
  <c r="H257" i="1" s="1"/>
  <c r="B257" i="1"/>
  <c r="G257" i="1" s="1"/>
  <c r="E256" i="1"/>
  <c r="J256" i="1" s="1"/>
  <c r="D256" i="1"/>
  <c r="I256" i="1" s="1"/>
  <c r="C256" i="1"/>
  <c r="H256" i="1" s="1"/>
  <c r="B256" i="1"/>
  <c r="G256" i="1" s="1"/>
  <c r="E255" i="1"/>
  <c r="J255" i="1" s="1"/>
  <c r="D255" i="1"/>
  <c r="I255" i="1" s="1"/>
  <c r="C255" i="1"/>
  <c r="H255" i="1" s="1"/>
  <c r="B255" i="1"/>
  <c r="G255" i="1" s="1"/>
  <c r="E254" i="1"/>
  <c r="J254" i="1" s="1"/>
  <c r="D254" i="1"/>
  <c r="I254" i="1" s="1"/>
  <c r="C254" i="1"/>
  <c r="H254" i="1" s="1"/>
  <c r="B254" i="1"/>
  <c r="G254" i="1" s="1"/>
  <c r="E253" i="1"/>
  <c r="J253" i="1" s="1"/>
  <c r="D253" i="1"/>
  <c r="I253" i="1" s="1"/>
  <c r="C253" i="1"/>
  <c r="H253" i="1" s="1"/>
  <c r="B253" i="1"/>
  <c r="G253" i="1" s="1"/>
  <c r="E252" i="1"/>
  <c r="J252" i="1" s="1"/>
  <c r="D252" i="1"/>
  <c r="I252" i="1" s="1"/>
  <c r="C252" i="1"/>
  <c r="H252" i="1" s="1"/>
  <c r="B252" i="1"/>
  <c r="G252" i="1" s="1"/>
  <c r="E251" i="1"/>
  <c r="J251" i="1" s="1"/>
  <c r="D251" i="1"/>
  <c r="I251" i="1" s="1"/>
  <c r="C251" i="1"/>
  <c r="H251" i="1" s="1"/>
  <c r="B251" i="1"/>
  <c r="G251" i="1" s="1"/>
  <c r="E250" i="1"/>
  <c r="J250" i="1" s="1"/>
  <c r="D250" i="1"/>
  <c r="I250" i="1" s="1"/>
  <c r="C250" i="1"/>
  <c r="H250" i="1" s="1"/>
  <c r="B250" i="1"/>
  <c r="G250" i="1" s="1"/>
  <c r="E249" i="1"/>
  <c r="J249" i="1" s="1"/>
  <c r="D249" i="1"/>
  <c r="I249" i="1" s="1"/>
  <c r="C249" i="1"/>
  <c r="H249" i="1" s="1"/>
  <c r="B249" i="1"/>
  <c r="G249" i="1" s="1"/>
  <c r="E248" i="1"/>
  <c r="J248" i="1" s="1"/>
  <c r="E247" i="1"/>
  <c r="J247" i="1" s="1"/>
  <c r="D247" i="1"/>
  <c r="I247" i="1" s="1"/>
  <c r="C247" i="1"/>
  <c r="H247" i="1" s="1"/>
  <c r="B247" i="1"/>
  <c r="G247" i="1" s="1"/>
  <c r="E246" i="1"/>
  <c r="J246" i="1" s="1"/>
  <c r="D246" i="1"/>
  <c r="I246" i="1" s="1"/>
  <c r="C246" i="1"/>
  <c r="H246" i="1" s="1"/>
  <c r="B246" i="1"/>
  <c r="G246" i="1" s="1"/>
  <c r="E245" i="1"/>
  <c r="J245" i="1" s="1"/>
  <c r="D245" i="1"/>
  <c r="I245" i="1" s="1"/>
  <c r="C245" i="1"/>
  <c r="H245" i="1" s="1"/>
  <c r="B245" i="1"/>
  <c r="G245" i="1" s="1"/>
  <c r="E244" i="1"/>
  <c r="J244" i="1" s="1"/>
  <c r="D244" i="1"/>
  <c r="I244" i="1" s="1"/>
  <c r="C244" i="1"/>
  <c r="H244" i="1" s="1"/>
  <c r="B244" i="1"/>
  <c r="G244" i="1" s="1"/>
  <c r="E243" i="1"/>
  <c r="J243" i="1" s="1"/>
  <c r="D243" i="1"/>
  <c r="I243" i="1" s="1"/>
  <c r="C243" i="1"/>
  <c r="H243" i="1" s="1"/>
  <c r="B243" i="1"/>
  <c r="G243" i="1" s="1"/>
  <c r="E242" i="1"/>
  <c r="J242" i="1" s="1"/>
  <c r="D242" i="1"/>
  <c r="I242" i="1" s="1"/>
  <c r="C242" i="1"/>
  <c r="H242" i="1" s="1"/>
  <c r="B242" i="1"/>
  <c r="G242" i="1" s="1"/>
  <c r="E241" i="1"/>
  <c r="J241" i="1" s="1"/>
  <c r="D241" i="1"/>
  <c r="I241" i="1" s="1"/>
  <c r="C241" i="1"/>
  <c r="H241" i="1" s="1"/>
  <c r="B241" i="1"/>
  <c r="G241" i="1" s="1"/>
  <c r="E240" i="1"/>
  <c r="J240" i="1" s="1"/>
  <c r="D240" i="1"/>
  <c r="I240" i="1" s="1"/>
  <c r="C240" i="1"/>
  <c r="H240" i="1" s="1"/>
  <c r="B240" i="1"/>
  <c r="G240" i="1" s="1"/>
  <c r="E239" i="1"/>
  <c r="J239" i="1" s="1"/>
  <c r="D239" i="1"/>
  <c r="I239" i="1" s="1"/>
  <c r="C239" i="1"/>
  <c r="H239" i="1" s="1"/>
  <c r="B239" i="1"/>
  <c r="G239" i="1" s="1"/>
  <c r="E238" i="1"/>
  <c r="J238" i="1" s="1"/>
  <c r="D238" i="1"/>
  <c r="I238" i="1" s="1"/>
  <c r="C238" i="1"/>
  <c r="H238" i="1" s="1"/>
  <c r="B238" i="1"/>
  <c r="G238" i="1" s="1"/>
  <c r="E237" i="1"/>
  <c r="J237" i="1" s="1"/>
  <c r="D237" i="1"/>
  <c r="I237" i="1" s="1"/>
  <c r="C237" i="1"/>
  <c r="H237" i="1" s="1"/>
  <c r="B237" i="1"/>
  <c r="G237" i="1" s="1"/>
  <c r="E236" i="1"/>
  <c r="J236" i="1" s="1"/>
  <c r="D236" i="1"/>
  <c r="I236" i="1" s="1"/>
  <c r="C236" i="1"/>
  <c r="H236" i="1" s="1"/>
  <c r="B236" i="1"/>
  <c r="G236" i="1" s="1"/>
  <c r="E235" i="1"/>
  <c r="J235" i="1" s="1"/>
  <c r="D235" i="1"/>
  <c r="I235" i="1" s="1"/>
  <c r="C235" i="1"/>
  <c r="H235" i="1" s="1"/>
  <c r="B235" i="1"/>
  <c r="G235" i="1" s="1"/>
  <c r="E234" i="1"/>
  <c r="J234" i="1" s="1"/>
  <c r="D234" i="1"/>
  <c r="I234" i="1" s="1"/>
  <c r="C234" i="1"/>
  <c r="H234" i="1" s="1"/>
  <c r="B234" i="1"/>
  <c r="G234" i="1" s="1"/>
  <c r="E233" i="1"/>
  <c r="J233" i="1" s="1"/>
  <c r="D233" i="1"/>
  <c r="I233" i="1" s="1"/>
  <c r="C233" i="1"/>
  <c r="H233" i="1" s="1"/>
  <c r="B233" i="1"/>
  <c r="G233" i="1" s="1"/>
  <c r="E232" i="1"/>
  <c r="J232" i="1" s="1"/>
  <c r="D232" i="1"/>
  <c r="I232" i="1" s="1"/>
  <c r="C232" i="1"/>
  <c r="H232" i="1" s="1"/>
  <c r="B232" i="1"/>
  <c r="G232" i="1" s="1"/>
  <c r="E231" i="1"/>
  <c r="J231" i="1" s="1"/>
  <c r="D231" i="1"/>
  <c r="I231" i="1" s="1"/>
  <c r="C231" i="1"/>
  <c r="H231" i="1" s="1"/>
  <c r="B231" i="1"/>
  <c r="G231" i="1" s="1"/>
  <c r="E230" i="1"/>
  <c r="J230" i="1" s="1"/>
  <c r="D230" i="1"/>
  <c r="I230" i="1" s="1"/>
  <c r="C230" i="1"/>
  <c r="H230" i="1" s="1"/>
  <c r="B230" i="1"/>
  <c r="G230" i="1" s="1"/>
  <c r="E229" i="1"/>
  <c r="J229" i="1" s="1"/>
  <c r="D229" i="1"/>
  <c r="I229" i="1" s="1"/>
  <c r="C229" i="1"/>
  <c r="H229" i="1" s="1"/>
  <c r="B229" i="1"/>
  <c r="G229" i="1" s="1"/>
  <c r="E228" i="1"/>
  <c r="J228" i="1" s="1"/>
  <c r="E227" i="1"/>
  <c r="J227" i="1" s="1"/>
  <c r="D227" i="1"/>
  <c r="I227" i="1" s="1"/>
  <c r="C227" i="1"/>
  <c r="H227" i="1" s="1"/>
  <c r="B227" i="1"/>
  <c r="G227" i="1" s="1"/>
  <c r="E226" i="1"/>
  <c r="J226" i="1" s="1"/>
  <c r="D226" i="1"/>
  <c r="I226" i="1" s="1"/>
  <c r="C226" i="1"/>
  <c r="H226" i="1" s="1"/>
  <c r="B226" i="1"/>
  <c r="G226" i="1" s="1"/>
  <c r="E225" i="1"/>
  <c r="J225" i="1" s="1"/>
  <c r="D225" i="1"/>
  <c r="I225" i="1" s="1"/>
  <c r="C225" i="1"/>
  <c r="H225" i="1" s="1"/>
  <c r="B225" i="1"/>
  <c r="G225" i="1" s="1"/>
  <c r="E224" i="1"/>
  <c r="J224" i="1" s="1"/>
  <c r="D224" i="1"/>
  <c r="I224" i="1" s="1"/>
  <c r="C224" i="1"/>
  <c r="H224" i="1" s="1"/>
  <c r="B224" i="1"/>
  <c r="G224" i="1" s="1"/>
  <c r="E223" i="1"/>
  <c r="J223" i="1" s="1"/>
  <c r="D223" i="1"/>
  <c r="I223" i="1" s="1"/>
  <c r="C223" i="1"/>
  <c r="H223" i="1" s="1"/>
  <c r="B223" i="1"/>
  <c r="G223" i="1" s="1"/>
  <c r="E222" i="1"/>
  <c r="J222" i="1" s="1"/>
  <c r="D222" i="1"/>
  <c r="I222" i="1" s="1"/>
  <c r="C222" i="1"/>
  <c r="H222" i="1" s="1"/>
  <c r="B222" i="1"/>
  <c r="G222" i="1" s="1"/>
  <c r="E221" i="1"/>
  <c r="J221" i="1" s="1"/>
  <c r="D221" i="1"/>
  <c r="I221" i="1" s="1"/>
  <c r="C221" i="1"/>
  <c r="H221" i="1" s="1"/>
  <c r="B221" i="1"/>
  <c r="G221" i="1" s="1"/>
  <c r="E220" i="1"/>
  <c r="J220" i="1" s="1"/>
  <c r="D220" i="1"/>
  <c r="I220" i="1" s="1"/>
  <c r="C220" i="1"/>
  <c r="H220" i="1" s="1"/>
  <c r="B220" i="1"/>
  <c r="G220" i="1" s="1"/>
  <c r="E219" i="1"/>
  <c r="J219" i="1" s="1"/>
  <c r="D219" i="1"/>
  <c r="I219" i="1" s="1"/>
  <c r="C219" i="1"/>
  <c r="H219" i="1" s="1"/>
  <c r="B219" i="1"/>
  <c r="G219" i="1" s="1"/>
  <c r="E218" i="1"/>
  <c r="J218" i="1" s="1"/>
  <c r="D218" i="1"/>
  <c r="I218" i="1" s="1"/>
  <c r="C218" i="1"/>
  <c r="H218" i="1" s="1"/>
  <c r="B218" i="1"/>
  <c r="G218" i="1" s="1"/>
  <c r="E217" i="1"/>
  <c r="J217" i="1" s="1"/>
  <c r="D217" i="1"/>
  <c r="I217" i="1" s="1"/>
  <c r="C217" i="1"/>
  <c r="H217" i="1" s="1"/>
  <c r="B217" i="1"/>
  <c r="G217" i="1" s="1"/>
  <c r="E216" i="1"/>
  <c r="J216" i="1" s="1"/>
  <c r="D216" i="1"/>
  <c r="I216" i="1" s="1"/>
  <c r="C216" i="1"/>
  <c r="H216" i="1" s="1"/>
  <c r="B216" i="1"/>
  <c r="G216" i="1" s="1"/>
  <c r="E215" i="1"/>
  <c r="J215" i="1" s="1"/>
  <c r="D215" i="1"/>
  <c r="I215" i="1" s="1"/>
  <c r="C215" i="1"/>
  <c r="H215" i="1" s="1"/>
  <c r="B215" i="1"/>
  <c r="G215" i="1" s="1"/>
  <c r="E214" i="1"/>
  <c r="J214" i="1" s="1"/>
  <c r="D214" i="1"/>
  <c r="I214" i="1" s="1"/>
  <c r="C214" i="1"/>
  <c r="H214" i="1" s="1"/>
  <c r="B214" i="1"/>
  <c r="G214" i="1" s="1"/>
  <c r="E213" i="1"/>
  <c r="J213" i="1" s="1"/>
  <c r="E212" i="1"/>
  <c r="J212" i="1" s="1"/>
  <c r="D212" i="1"/>
  <c r="I212" i="1" s="1"/>
  <c r="C212" i="1"/>
  <c r="H212" i="1" s="1"/>
  <c r="B212" i="1"/>
  <c r="G212" i="1" s="1"/>
  <c r="E211" i="1"/>
  <c r="J211" i="1" s="1"/>
  <c r="D211" i="1"/>
  <c r="I211" i="1" s="1"/>
  <c r="C211" i="1"/>
  <c r="H211" i="1" s="1"/>
  <c r="B211" i="1"/>
  <c r="G211" i="1" s="1"/>
  <c r="E210" i="1"/>
  <c r="J210" i="1" s="1"/>
  <c r="D210" i="1"/>
  <c r="I210" i="1" s="1"/>
  <c r="C210" i="1"/>
  <c r="H210" i="1" s="1"/>
  <c r="B210" i="1"/>
  <c r="G210" i="1" s="1"/>
  <c r="E209" i="1"/>
  <c r="J209" i="1" s="1"/>
  <c r="D209" i="1"/>
  <c r="I209" i="1" s="1"/>
  <c r="C209" i="1"/>
  <c r="H209" i="1" s="1"/>
  <c r="B209" i="1"/>
  <c r="G209" i="1" s="1"/>
  <c r="E208" i="1"/>
  <c r="J208" i="1" s="1"/>
  <c r="E207" i="1"/>
  <c r="J207" i="1" s="1"/>
  <c r="D207" i="1"/>
  <c r="I207" i="1" s="1"/>
  <c r="C207" i="1"/>
  <c r="H207" i="1" s="1"/>
  <c r="B207" i="1"/>
  <c r="G207" i="1" s="1"/>
  <c r="E206" i="1"/>
  <c r="J206" i="1" s="1"/>
  <c r="D206" i="1"/>
  <c r="I206" i="1" s="1"/>
  <c r="C206" i="1"/>
  <c r="H206" i="1" s="1"/>
  <c r="B206" i="1"/>
  <c r="G206" i="1" s="1"/>
  <c r="E205" i="1"/>
  <c r="J205" i="1" s="1"/>
  <c r="D205" i="1"/>
  <c r="I205" i="1" s="1"/>
  <c r="C205" i="1"/>
  <c r="H205" i="1" s="1"/>
  <c r="B205" i="1"/>
  <c r="G205" i="1" s="1"/>
  <c r="E204" i="1"/>
  <c r="J204" i="1" s="1"/>
  <c r="D204" i="1"/>
  <c r="I204" i="1" s="1"/>
  <c r="C204" i="1"/>
  <c r="H204" i="1" s="1"/>
  <c r="B204" i="1"/>
  <c r="G204" i="1" s="1"/>
  <c r="E203" i="1"/>
  <c r="J203" i="1" s="1"/>
  <c r="D203" i="1"/>
  <c r="I203" i="1" s="1"/>
  <c r="C203" i="1"/>
  <c r="H203" i="1" s="1"/>
  <c r="B203" i="1"/>
  <c r="G203" i="1" s="1"/>
  <c r="E202" i="1"/>
  <c r="J202" i="1" s="1"/>
  <c r="D202" i="1"/>
  <c r="I202" i="1" s="1"/>
  <c r="C202" i="1"/>
  <c r="H202" i="1" s="1"/>
  <c r="B202" i="1"/>
  <c r="G202" i="1" s="1"/>
  <c r="E201" i="1"/>
  <c r="J201" i="1" s="1"/>
  <c r="D201" i="1"/>
  <c r="I201" i="1" s="1"/>
  <c r="C201" i="1"/>
  <c r="H201" i="1" s="1"/>
  <c r="B201" i="1"/>
  <c r="G201" i="1" s="1"/>
  <c r="E200" i="1"/>
  <c r="J200" i="1" s="1"/>
  <c r="D200" i="1"/>
  <c r="I200" i="1" s="1"/>
  <c r="C200" i="1"/>
  <c r="H200" i="1" s="1"/>
  <c r="B200" i="1"/>
  <c r="G200" i="1" s="1"/>
  <c r="E199" i="1"/>
  <c r="J199" i="1" s="1"/>
  <c r="D199" i="1"/>
  <c r="I199" i="1" s="1"/>
  <c r="C199" i="1"/>
  <c r="H199" i="1" s="1"/>
  <c r="B199" i="1"/>
  <c r="G199" i="1" s="1"/>
  <c r="E198" i="1"/>
  <c r="J198" i="1" s="1"/>
  <c r="D198" i="1"/>
  <c r="I198" i="1" s="1"/>
  <c r="C198" i="1"/>
  <c r="H198" i="1" s="1"/>
  <c r="B198" i="1"/>
  <c r="G198" i="1" s="1"/>
  <c r="E197" i="1"/>
  <c r="J197" i="1" s="1"/>
  <c r="D197" i="1"/>
  <c r="I197" i="1" s="1"/>
  <c r="C197" i="1"/>
  <c r="H197" i="1" s="1"/>
  <c r="B197" i="1"/>
  <c r="G197" i="1" s="1"/>
  <c r="E196" i="1"/>
  <c r="J196" i="1" s="1"/>
  <c r="D196" i="1"/>
  <c r="I196" i="1" s="1"/>
  <c r="C196" i="1"/>
  <c r="H196" i="1" s="1"/>
  <c r="B196" i="1"/>
  <c r="G196" i="1" s="1"/>
  <c r="E195" i="1"/>
  <c r="J195" i="1" s="1"/>
  <c r="D195" i="1"/>
  <c r="I195" i="1" s="1"/>
  <c r="C195" i="1"/>
  <c r="H195" i="1" s="1"/>
  <c r="B195" i="1"/>
  <c r="G195" i="1" s="1"/>
  <c r="E194" i="1"/>
  <c r="J194" i="1" s="1"/>
  <c r="D194" i="1"/>
  <c r="I194" i="1" s="1"/>
  <c r="C194" i="1"/>
  <c r="H194" i="1" s="1"/>
  <c r="B194" i="1"/>
  <c r="G194" i="1" s="1"/>
  <c r="E193" i="1"/>
  <c r="J193" i="1" s="1"/>
  <c r="D193" i="1"/>
  <c r="I193" i="1" s="1"/>
  <c r="E192" i="1"/>
  <c r="J192" i="1" s="1"/>
  <c r="D192" i="1"/>
  <c r="I192" i="1" s="1"/>
  <c r="C192" i="1"/>
  <c r="H192" i="1" s="1"/>
  <c r="B192" i="1"/>
  <c r="G192" i="1" s="1"/>
  <c r="E191" i="1"/>
  <c r="J191" i="1" s="1"/>
  <c r="D191" i="1"/>
  <c r="I191" i="1" s="1"/>
  <c r="C191" i="1"/>
  <c r="H191" i="1" s="1"/>
  <c r="B191" i="1"/>
  <c r="G191" i="1" s="1"/>
  <c r="E190" i="1"/>
  <c r="J190" i="1" s="1"/>
  <c r="D190" i="1"/>
  <c r="I190" i="1" s="1"/>
  <c r="C190" i="1"/>
  <c r="H190" i="1" s="1"/>
  <c r="B190" i="1"/>
  <c r="G190" i="1" s="1"/>
  <c r="E189" i="1"/>
  <c r="J189" i="1" s="1"/>
  <c r="D189" i="1"/>
  <c r="I189" i="1" s="1"/>
  <c r="C189" i="1"/>
  <c r="H189" i="1" s="1"/>
  <c r="B189" i="1"/>
  <c r="G189" i="1" s="1"/>
  <c r="E188" i="1"/>
  <c r="J188" i="1" s="1"/>
  <c r="E187" i="1"/>
  <c r="J187" i="1" s="1"/>
  <c r="D187" i="1"/>
  <c r="I187" i="1" s="1"/>
  <c r="C187" i="1"/>
  <c r="H187" i="1" s="1"/>
  <c r="B187" i="1"/>
  <c r="G187" i="1" s="1"/>
  <c r="E186" i="1"/>
  <c r="J186" i="1" s="1"/>
  <c r="D186" i="1"/>
  <c r="I186" i="1" s="1"/>
  <c r="C186" i="1"/>
  <c r="H186" i="1" s="1"/>
  <c r="B186" i="1"/>
  <c r="G186" i="1" s="1"/>
  <c r="E185" i="1"/>
  <c r="J185" i="1" s="1"/>
  <c r="D185" i="1"/>
  <c r="I185" i="1" s="1"/>
  <c r="C185" i="1"/>
  <c r="H185" i="1" s="1"/>
  <c r="B185" i="1"/>
  <c r="G185" i="1" s="1"/>
  <c r="E184" i="1"/>
  <c r="J184" i="1" s="1"/>
  <c r="D184" i="1"/>
  <c r="I184" i="1" s="1"/>
  <c r="C184" i="1"/>
  <c r="H184" i="1" s="1"/>
  <c r="B184" i="1"/>
  <c r="G184" i="1" s="1"/>
  <c r="E183" i="1"/>
  <c r="J183" i="1" s="1"/>
  <c r="D183" i="1"/>
  <c r="I183" i="1" s="1"/>
  <c r="C183" i="1"/>
  <c r="H183" i="1" s="1"/>
  <c r="B183" i="1"/>
  <c r="G183" i="1" s="1"/>
  <c r="E182" i="1"/>
  <c r="J182" i="1" s="1"/>
  <c r="D182" i="1"/>
  <c r="I182" i="1" s="1"/>
  <c r="C182" i="1"/>
  <c r="H182" i="1" s="1"/>
  <c r="B182" i="1"/>
  <c r="G182" i="1" s="1"/>
  <c r="E181" i="1"/>
  <c r="J181" i="1" s="1"/>
  <c r="D181" i="1"/>
  <c r="I181" i="1" s="1"/>
  <c r="C181" i="1"/>
  <c r="H181" i="1" s="1"/>
  <c r="B181" i="1"/>
  <c r="G181" i="1" s="1"/>
  <c r="E180" i="1"/>
  <c r="J180" i="1" s="1"/>
  <c r="D180" i="1"/>
  <c r="I180" i="1" s="1"/>
  <c r="C180" i="1"/>
  <c r="H180" i="1" s="1"/>
  <c r="B180" i="1"/>
  <c r="G180" i="1" s="1"/>
  <c r="E179" i="1"/>
  <c r="J179" i="1" s="1"/>
  <c r="D179" i="1"/>
  <c r="I179" i="1" s="1"/>
  <c r="C179" i="1"/>
  <c r="H179" i="1" s="1"/>
  <c r="B179" i="1"/>
  <c r="G179" i="1" s="1"/>
  <c r="E178" i="1"/>
  <c r="J178" i="1" s="1"/>
  <c r="D178" i="1"/>
  <c r="I178" i="1" s="1"/>
  <c r="C178" i="1"/>
  <c r="H178" i="1" s="1"/>
  <c r="B178" i="1"/>
  <c r="G178" i="1" s="1"/>
  <c r="E177" i="1"/>
  <c r="J177" i="1" s="1"/>
  <c r="D177" i="1"/>
  <c r="I177" i="1" s="1"/>
  <c r="C177" i="1"/>
  <c r="H177" i="1" s="1"/>
  <c r="B177" i="1"/>
  <c r="G177" i="1" s="1"/>
  <c r="E176" i="1"/>
  <c r="J176" i="1" s="1"/>
  <c r="D176" i="1"/>
  <c r="I176" i="1" s="1"/>
  <c r="C176" i="1"/>
  <c r="H176" i="1" s="1"/>
  <c r="B176" i="1"/>
  <c r="G176" i="1" s="1"/>
  <c r="E175" i="1"/>
  <c r="J175" i="1" s="1"/>
  <c r="D175" i="1"/>
  <c r="I175" i="1" s="1"/>
  <c r="C175" i="1"/>
  <c r="H175" i="1" s="1"/>
  <c r="B175" i="1"/>
  <c r="G175" i="1" s="1"/>
  <c r="E174" i="1"/>
  <c r="J174" i="1" s="1"/>
  <c r="D174" i="1"/>
  <c r="I174" i="1" s="1"/>
  <c r="C174" i="1"/>
  <c r="H174" i="1" s="1"/>
  <c r="B174" i="1"/>
  <c r="G174" i="1" s="1"/>
  <c r="E173" i="1"/>
  <c r="J173" i="1" s="1"/>
  <c r="D173" i="1"/>
  <c r="I173" i="1" s="1"/>
  <c r="C173" i="1"/>
  <c r="H173" i="1" s="1"/>
  <c r="B173" i="1"/>
  <c r="G173" i="1" s="1"/>
  <c r="E172" i="1"/>
  <c r="J172" i="1" s="1"/>
  <c r="D172" i="1"/>
  <c r="I172" i="1" s="1"/>
  <c r="C172" i="1"/>
  <c r="H172" i="1" s="1"/>
  <c r="B172" i="1"/>
  <c r="G172" i="1" s="1"/>
  <c r="E171" i="1"/>
  <c r="J171" i="1" s="1"/>
  <c r="D171" i="1"/>
  <c r="I171" i="1" s="1"/>
  <c r="C171" i="1"/>
  <c r="H171" i="1" s="1"/>
  <c r="B171" i="1"/>
  <c r="G171" i="1" s="1"/>
  <c r="E170" i="1"/>
  <c r="J170" i="1" s="1"/>
  <c r="D170" i="1"/>
  <c r="I170" i="1" s="1"/>
  <c r="C170" i="1"/>
  <c r="H170" i="1" s="1"/>
  <c r="B170" i="1"/>
  <c r="G170" i="1" s="1"/>
  <c r="E169" i="1"/>
  <c r="J169" i="1" s="1"/>
  <c r="D169" i="1"/>
  <c r="I169" i="1" s="1"/>
  <c r="C169" i="1"/>
  <c r="H169" i="1" s="1"/>
  <c r="B169" i="1"/>
  <c r="G169" i="1" s="1"/>
  <c r="E168" i="1"/>
  <c r="J168" i="1" s="1"/>
  <c r="E167" i="1"/>
  <c r="J167" i="1" s="1"/>
  <c r="D167" i="1"/>
  <c r="I167" i="1" s="1"/>
  <c r="C167" i="1"/>
  <c r="H167" i="1" s="1"/>
  <c r="B167" i="1"/>
  <c r="G167" i="1" s="1"/>
  <c r="E166" i="1"/>
  <c r="J166" i="1" s="1"/>
  <c r="D166" i="1"/>
  <c r="I166" i="1" s="1"/>
  <c r="C166" i="1"/>
  <c r="H166" i="1" s="1"/>
  <c r="B166" i="1"/>
  <c r="G166" i="1" s="1"/>
  <c r="E165" i="1"/>
  <c r="J165" i="1" s="1"/>
  <c r="D165" i="1"/>
  <c r="I165" i="1" s="1"/>
  <c r="C165" i="1"/>
  <c r="H165" i="1" s="1"/>
  <c r="B165" i="1"/>
  <c r="G165" i="1" s="1"/>
  <c r="E164" i="1"/>
  <c r="J164" i="1" s="1"/>
  <c r="D164" i="1"/>
  <c r="I164" i="1" s="1"/>
  <c r="C164" i="1"/>
  <c r="H164" i="1" s="1"/>
  <c r="B164" i="1"/>
  <c r="G164" i="1" s="1"/>
  <c r="E163" i="1"/>
  <c r="J163" i="1" s="1"/>
  <c r="D163" i="1"/>
  <c r="I163" i="1" s="1"/>
  <c r="C163" i="1"/>
  <c r="H163" i="1" s="1"/>
  <c r="B163" i="1"/>
  <c r="G163" i="1" s="1"/>
  <c r="E162" i="1"/>
  <c r="J162" i="1" s="1"/>
  <c r="D162" i="1"/>
  <c r="I162" i="1" s="1"/>
  <c r="C162" i="1"/>
  <c r="H162" i="1" s="1"/>
  <c r="B162" i="1"/>
  <c r="G162" i="1" s="1"/>
  <c r="E161" i="1"/>
  <c r="J161" i="1" s="1"/>
  <c r="D161" i="1"/>
  <c r="I161" i="1" s="1"/>
  <c r="C161" i="1"/>
  <c r="H161" i="1" s="1"/>
  <c r="B161" i="1"/>
  <c r="G161" i="1" s="1"/>
  <c r="E160" i="1"/>
  <c r="J160" i="1" s="1"/>
  <c r="D160" i="1"/>
  <c r="I160" i="1" s="1"/>
  <c r="C160" i="1"/>
  <c r="H160" i="1" s="1"/>
  <c r="B160" i="1"/>
  <c r="G160" i="1" s="1"/>
  <c r="E159" i="1"/>
  <c r="J159" i="1" s="1"/>
  <c r="D159" i="1"/>
  <c r="I159" i="1" s="1"/>
  <c r="C159" i="1"/>
  <c r="H159" i="1" s="1"/>
  <c r="B159" i="1"/>
  <c r="G159" i="1" s="1"/>
  <c r="E158" i="1"/>
  <c r="J158" i="1" s="1"/>
  <c r="D158" i="1"/>
  <c r="I158" i="1" s="1"/>
  <c r="C158" i="1"/>
  <c r="H158" i="1" s="1"/>
  <c r="B158" i="1"/>
  <c r="G158" i="1" s="1"/>
  <c r="E157" i="1"/>
  <c r="J157" i="1" s="1"/>
  <c r="D157" i="1"/>
  <c r="I157" i="1" s="1"/>
  <c r="C157" i="1"/>
  <c r="H157" i="1" s="1"/>
  <c r="B157" i="1"/>
  <c r="G157" i="1" s="1"/>
  <c r="E156" i="1"/>
  <c r="J156" i="1" s="1"/>
  <c r="D156" i="1"/>
  <c r="I156" i="1" s="1"/>
  <c r="C156" i="1"/>
  <c r="H156" i="1" s="1"/>
  <c r="B156" i="1"/>
  <c r="G156" i="1" s="1"/>
  <c r="E155" i="1"/>
  <c r="J155" i="1" s="1"/>
  <c r="D155" i="1"/>
  <c r="I155" i="1" s="1"/>
  <c r="C155" i="1"/>
  <c r="H155" i="1" s="1"/>
  <c r="B155" i="1"/>
  <c r="G155" i="1" s="1"/>
  <c r="E154" i="1"/>
  <c r="J154" i="1" s="1"/>
  <c r="D154" i="1"/>
  <c r="I154" i="1" s="1"/>
  <c r="C154" i="1"/>
  <c r="H154" i="1" s="1"/>
  <c r="B154" i="1"/>
  <c r="G154" i="1" s="1"/>
  <c r="E153" i="1"/>
  <c r="J153" i="1" s="1"/>
  <c r="D153" i="1"/>
  <c r="I153" i="1" s="1"/>
  <c r="C153" i="1"/>
  <c r="H153" i="1" s="1"/>
  <c r="B153" i="1"/>
  <c r="G153" i="1" s="1"/>
  <c r="E152" i="1"/>
  <c r="J152" i="1" s="1"/>
  <c r="D152" i="1"/>
  <c r="I152" i="1" s="1"/>
  <c r="C152" i="1"/>
  <c r="H152" i="1" s="1"/>
  <c r="B152" i="1"/>
  <c r="G152" i="1" s="1"/>
  <c r="E151" i="1"/>
  <c r="J151" i="1" s="1"/>
  <c r="D151" i="1"/>
  <c r="I151" i="1" s="1"/>
  <c r="C151" i="1"/>
  <c r="H151" i="1" s="1"/>
  <c r="B151" i="1"/>
  <c r="G151" i="1" s="1"/>
  <c r="E150" i="1"/>
  <c r="J150" i="1" s="1"/>
  <c r="D150" i="1"/>
  <c r="I150" i="1" s="1"/>
  <c r="C150" i="1"/>
  <c r="H150" i="1" s="1"/>
  <c r="B150" i="1"/>
  <c r="G150" i="1" s="1"/>
  <c r="E149" i="1"/>
  <c r="J149" i="1" s="1"/>
  <c r="D149" i="1"/>
  <c r="I149" i="1" s="1"/>
  <c r="C149" i="1"/>
  <c r="H149" i="1" s="1"/>
  <c r="B149" i="1"/>
  <c r="G149" i="1" s="1"/>
  <c r="E148" i="1"/>
  <c r="J148" i="1" s="1"/>
  <c r="D148" i="1"/>
  <c r="I148" i="1" s="1"/>
  <c r="C148" i="1"/>
  <c r="H148" i="1" s="1"/>
  <c r="B148" i="1"/>
  <c r="G148" i="1" s="1"/>
  <c r="E147" i="1"/>
  <c r="J147" i="1" s="1"/>
  <c r="D147" i="1"/>
  <c r="I147" i="1" s="1"/>
  <c r="C147" i="1"/>
  <c r="H147" i="1" s="1"/>
  <c r="B147" i="1"/>
  <c r="G147" i="1" s="1"/>
  <c r="E146" i="1"/>
  <c r="J146" i="1" s="1"/>
  <c r="D146" i="1"/>
  <c r="I146" i="1" s="1"/>
  <c r="C146" i="1"/>
  <c r="H146" i="1" s="1"/>
  <c r="B146" i="1"/>
  <c r="G146" i="1" s="1"/>
  <c r="E145" i="1"/>
  <c r="J145" i="1" s="1"/>
  <c r="D145" i="1"/>
  <c r="I145" i="1" s="1"/>
  <c r="C145" i="1"/>
  <c r="H145" i="1" s="1"/>
  <c r="B145" i="1"/>
  <c r="G145" i="1" s="1"/>
  <c r="E144" i="1"/>
  <c r="J144" i="1" s="1"/>
  <c r="D144" i="1"/>
  <c r="I144" i="1" s="1"/>
  <c r="C144" i="1"/>
  <c r="H144" i="1" s="1"/>
  <c r="B144" i="1"/>
  <c r="G144" i="1" s="1"/>
  <c r="E143" i="1"/>
  <c r="J143" i="1" s="1"/>
  <c r="D143" i="1"/>
  <c r="I143" i="1" s="1"/>
  <c r="C143" i="1"/>
  <c r="H143" i="1" s="1"/>
  <c r="B143" i="1"/>
  <c r="G143" i="1" s="1"/>
  <c r="E142" i="1"/>
  <c r="J142" i="1" s="1"/>
  <c r="D142" i="1"/>
  <c r="I142" i="1" s="1"/>
  <c r="C142" i="1"/>
  <c r="H142" i="1" s="1"/>
  <c r="B142" i="1"/>
  <c r="G142" i="1" s="1"/>
  <c r="E141" i="1"/>
  <c r="J141" i="1" s="1"/>
  <c r="D141" i="1"/>
  <c r="I141" i="1" s="1"/>
  <c r="C141" i="1"/>
  <c r="H141" i="1" s="1"/>
  <c r="B141" i="1"/>
  <c r="G141" i="1" s="1"/>
  <c r="E140" i="1"/>
  <c r="J140" i="1" s="1"/>
  <c r="D140" i="1"/>
  <c r="I140" i="1" s="1"/>
  <c r="C140" i="1"/>
  <c r="H140" i="1" s="1"/>
  <c r="B140" i="1"/>
  <c r="G140" i="1" s="1"/>
  <c r="E139" i="1"/>
  <c r="J139" i="1" s="1"/>
  <c r="D139" i="1"/>
  <c r="I139" i="1" s="1"/>
  <c r="C139" i="1"/>
  <c r="H139" i="1" s="1"/>
  <c r="B139" i="1"/>
  <c r="G139" i="1" s="1"/>
  <c r="E138" i="1"/>
  <c r="J138" i="1" s="1"/>
  <c r="E137" i="1"/>
  <c r="J137" i="1" s="1"/>
  <c r="D137" i="1"/>
  <c r="I137" i="1" s="1"/>
  <c r="C137" i="1"/>
  <c r="H137" i="1" s="1"/>
  <c r="B137" i="1"/>
  <c r="G137" i="1" s="1"/>
  <c r="E136" i="1"/>
  <c r="J136" i="1" s="1"/>
  <c r="D136" i="1"/>
  <c r="I136" i="1" s="1"/>
  <c r="C136" i="1"/>
  <c r="H136" i="1" s="1"/>
  <c r="B136" i="1"/>
  <c r="G136" i="1" s="1"/>
  <c r="E135" i="1"/>
  <c r="J135" i="1" s="1"/>
  <c r="D135" i="1"/>
  <c r="I135" i="1" s="1"/>
  <c r="C135" i="1"/>
  <c r="H135" i="1" s="1"/>
  <c r="B135" i="1"/>
  <c r="G135" i="1" s="1"/>
  <c r="E134" i="1"/>
  <c r="J134" i="1" s="1"/>
  <c r="D134" i="1"/>
  <c r="I134" i="1" s="1"/>
  <c r="C134" i="1"/>
  <c r="H134" i="1" s="1"/>
  <c r="B134" i="1"/>
  <c r="G134" i="1" s="1"/>
  <c r="E133" i="1"/>
  <c r="J133" i="1" s="1"/>
  <c r="D133" i="1"/>
  <c r="I133" i="1" s="1"/>
  <c r="C133" i="1"/>
  <c r="H133" i="1" s="1"/>
  <c r="B133" i="1"/>
  <c r="G133" i="1" s="1"/>
  <c r="E132" i="1"/>
  <c r="J132" i="1" s="1"/>
  <c r="D132" i="1"/>
  <c r="I132" i="1" s="1"/>
  <c r="C132" i="1"/>
  <c r="H132" i="1" s="1"/>
  <c r="B132" i="1"/>
  <c r="G132" i="1" s="1"/>
  <c r="E131" i="1"/>
  <c r="J131" i="1" s="1"/>
  <c r="D131" i="1"/>
  <c r="I131" i="1" s="1"/>
  <c r="C131" i="1"/>
  <c r="H131" i="1" s="1"/>
  <c r="B131" i="1"/>
  <c r="G131" i="1" s="1"/>
  <c r="E130" i="1"/>
  <c r="J130" i="1" s="1"/>
  <c r="D130" i="1"/>
  <c r="I130" i="1" s="1"/>
  <c r="C130" i="1"/>
  <c r="H130" i="1" s="1"/>
  <c r="B130" i="1"/>
  <c r="G130" i="1" s="1"/>
  <c r="E129" i="1"/>
  <c r="J129" i="1" s="1"/>
  <c r="D129" i="1"/>
  <c r="I129" i="1" s="1"/>
  <c r="C129" i="1"/>
  <c r="H129" i="1" s="1"/>
  <c r="B129" i="1"/>
  <c r="G129" i="1" s="1"/>
  <c r="E128" i="1"/>
  <c r="J128" i="1" s="1"/>
  <c r="D128" i="1"/>
  <c r="I128" i="1" s="1"/>
  <c r="C128" i="1"/>
  <c r="H128" i="1" s="1"/>
  <c r="B128" i="1"/>
  <c r="G128" i="1" s="1"/>
  <c r="E127" i="1"/>
  <c r="J127" i="1" s="1"/>
  <c r="D127" i="1"/>
  <c r="I127" i="1" s="1"/>
  <c r="C127" i="1"/>
  <c r="H127" i="1" s="1"/>
  <c r="B127" i="1"/>
  <c r="G127" i="1" s="1"/>
  <c r="E126" i="1"/>
  <c r="J126" i="1" s="1"/>
  <c r="D126" i="1"/>
  <c r="I126" i="1" s="1"/>
  <c r="C126" i="1"/>
  <c r="H126" i="1" s="1"/>
  <c r="B126" i="1"/>
  <c r="G126" i="1" s="1"/>
  <c r="E125" i="1"/>
  <c r="J125" i="1" s="1"/>
  <c r="D125" i="1"/>
  <c r="I125" i="1" s="1"/>
  <c r="C125" i="1"/>
  <c r="H125" i="1" s="1"/>
  <c r="B125" i="1"/>
  <c r="G125" i="1" s="1"/>
  <c r="E124" i="1"/>
  <c r="J124" i="1" s="1"/>
  <c r="D124" i="1"/>
  <c r="I124" i="1" s="1"/>
  <c r="C124" i="1"/>
  <c r="H124" i="1" s="1"/>
  <c r="B124" i="1"/>
  <c r="G124" i="1" s="1"/>
  <c r="E123" i="1"/>
  <c r="J123" i="1" s="1"/>
  <c r="D123" i="1"/>
  <c r="I123" i="1" s="1"/>
  <c r="C123" i="1"/>
  <c r="H123" i="1" s="1"/>
  <c r="B123" i="1"/>
  <c r="G123" i="1" s="1"/>
  <c r="E122" i="1"/>
  <c r="J122" i="1" s="1"/>
  <c r="D122" i="1"/>
  <c r="I122" i="1" s="1"/>
  <c r="C122" i="1"/>
  <c r="H122" i="1" s="1"/>
  <c r="B122" i="1"/>
  <c r="G122" i="1" s="1"/>
  <c r="E121" i="1"/>
  <c r="J121" i="1" s="1"/>
  <c r="D121" i="1"/>
  <c r="I121" i="1" s="1"/>
  <c r="C121" i="1"/>
  <c r="H121" i="1" s="1"/>
  <c r="B121" i="1"/>
  <c r="G121" i="1" s="1"/>
  <c r="E120" i="1"/>
  <c r="J120" i="1" s="1"/>
  <c r="D120" i="1"/>
  <c r="I120" i="1" s="1"/>
  <c r="C120" i="1"/>
  <c r="H120" i="1" s="1"/>
  <c r="B120" i="1"/>
  <c r="G120" i="1" s="1"/>
  <c r="E119" i="1"/>
  <c r="J119" i="1" s="1"/>
  <c r="D119" i="1"/>
  <c r="I119" i="1" s="1"/>
  <c r="C119" i="1"/>
  <c r="H119" i="1" s="1"/>
  <c r="B119" i="1"/>
  <c r="G119" i="1" s="1"/>
  <c r="E118" i="1"/>
  <c r="J118" i="1" s="1"/>
  <c r="D118" i="1"/>
  <c r="I118" i="1" s="1"/>
  <c r="C118" i="1"/>
  <c r="H118" i="1" s="1"/>
  <c r="B118" i="1"/>
  <c r="G118" i="1" s="1"/>
  <c r="E117" i="1"/>
  <c r="J117" i="1" s="1"/>
  <c r="D117" i="1"/>
  <c r="I117" i="1" s="1"/>
  <c r="C117" i="1"/>
  <c r="H117" i="1" s="1"/>
  <c r="B117" i="1"/>
  <c r="G117" i="1" s="1"/>
  <c r="E116" i="1"/>
  <c r="J116" i="1" s="1"/>
  <c r="D116" i="1"/>
  <c r="I116" i="1" s="1"/>
  <c r="C116" i="1"/>
  <c r="H116" i="1" s="1"/>
  <c r="B116" i="1"/>
  <c r="G116" i="1" s="1"/>
  <c r="E115" i="1"/>
  <c r="J115" i="1" s="1"/>
  <c r="D115" i="1"/>
  <c r="I115" i="1" s="1"/>
  <c r="C115" i="1"/>
  <c r="H115" i="1" s="1"/>
  <c r="B115" i="1"/>
  <c r="G115" i="1" s="1"/>
  <c r="E114" i="1"/>
  <c r="J114" i="1" s="1"/>
  <c r="D114" i="1"/>
  <c r="I114" i="1" s="1"/>
  <c r="C114" i="1"/>
  <c r="H114" i="1" s="1"/>
  <c r="B114" i="1"/>
  <c r="G114" i="1" s="1"/>
  <c r="E113" i="1"/>
  <c r="J113" i="1" s="1"/>
  <c r="D113" i="1"/>
  <c r="I113" i="1" s="1"/>
  <c r="C113" i="1"/>
  <c r="H113" i="1" s="1"/>
  <c r="B113" i="1"/>
  <c r="G113" i="1" s="1"/>
  <c r="E112" i="1"/>
  <c r="J112" i="1" s="1"/>
  <c r="D112" i="1"/>
  <c r="I112" i="1" s="1"/>
  <c r="C112" i="1"/>
  <c r="H112" i="1" s="1"/>
  <c r="B112" i="1"/>
  <c r="G112" i="1" s="1"/>
  <c r="E111" i="1"/>
  <c r="J111" i="1" s="1"/>
  <c r="D111" i="1"/>
  <c r="I111" i="1" s="1"/>
  <c r="C111" i="1"/>
  <c r="H111" i="1" s="1"/>
  <c r="B111" i="1"/>
  <c r="G111" i="1" s="1"/>
  <c r="E110" i="1"/>
  <c r="J110" i="1" s="1"/>
  <c r="D110" i="1"/>
  <c r="I110" i="1" s="1"/>
  <c r="C110" i="1"/>
  <c r="H110" i="1" s="1"/>
  <c r="B110" i="1"/>
  <c r="G110" i="1" s="1"/>
  <c r="E109" i="1"/>
  <c r="J109" i="1" s="1"/>
  <c r="D109" i="1"/>
  <c r="I109" i="1" s="1"/>
  <c r="C109" i="1"/>
  <c r="H109" i="1" s="1"/>
  <c r="B109" i="1"/>
  <c r="G109" i="1" s="1"/>
  <c r="E108" i="1"/>
  <c r="J108" i="1" s="1"/>
  <c r="D108" i="1"/>
  <c r="I108" i="1" s="1"/>
  <c r="C108" i="1"/>
  <c r="H108" i="1" s="1"/>
  <c r="B108" i="1"/>
  <c r="G108" i="1" s="1"/>
  <c r="E107" i="1"/>
  <c r="J107" i="1" s="1"/>
  <c r="D107" i="1"/>
  <c r="I107" i="1" s="1"/>
  <c r="C107" i="1"/>
  <c r="H107" i="1" s="1"/>
  <c r="B107" i="1"/>
  <c r="G107" i="1" s="1"/>
  <c r="E106" i="1"/>
  <c r="J106" i="1" s="1"/>
  <c r="D106" i="1"/>
  <c r="I106" i="1" s="1"/>
  <c r="C106" i="1"/>
  <c r="H106" i="1" s="1"/>
  <c r="B106" i="1"/>
  <c r="G106" i="1" s="1"/>
  <c r="E105" i="1"/>
  <c r="J105" i="1" s="1"/>
  <c r="D105" i="1"/>
  <c r="I105" i="1" s="1"/>
  <c r="C105" i="1"/>
  <c r="H105" i="1" s="1"/>
  <c r="B105" i="1"/>
  <c r="G105" i="1" s="1"/>
  <c r="E104" i="1"/>
  <c r="J104" i="1" s="1"/>
  <c r="D104" i="1"/>
  <c r="I104" i="1" s="1"/>
  <c r="C104" i="1"/>
  <c r="H104" i="1" s="1"/>
  <c r="B104" i="1"/>
  <c r="G104" i="1" s="1"/>
  <c r="E103" i="1"/>
  <c r="J103" i="1" s="1"/>
  <c r="D103" i="1"/>
  <c r="I103" i="1" s="1"/>
  <c r="C103" i="1"/>
  <c r="H103" i="1" s="1"/>
  <c r="B103" i="1"/>
  <c r="G103" i="1" s="1"/>
  <c r="E102" i="1"/>
  <c r="J102" i="1" s="1"/>
  <c r="D102" i="1"/>
  <c r="I102" i="1" s="1"/>
  <c r="C102" i="1"/>
  <c r="H102" i="1" s="1"/>
  <c r="B102" i="1"/>
  <c r="G102" i="1" s="1"/>
  <c r="E101" i="1"/>
  <c r="J101" i="1" s="1"/>
  <c r="D101" i="1"/>
  <c r="I101" i="1" s="1"/>
  <c r="C101" i="1"/>
  <c r="H101" i="1" s="1"/>
  <c r="B101" i="1"/>
  <c r="G101" i="1" s="1"/>
  <c r="E100" i="1"/>
  <c r="J100" i="1" s="1"/>
  <c r="D100" i="1"/>
  <c r="I100" i="1" s="1"/>
  <c r="C100" i="1"/>
  <c r="H100" i="1" s="1"/>
  <c r="B100" i="1"/>
  <c r="G100" i="1" s="1"/>
  <c r="E99" i="1"/>
  <c r="J99" i="1" s="1"/>
  <c r="D99" i="1"/>
  <c r="I99" i="1" s="1"/>
  <c r="C99" i="1"/>
  <c r="H99" i="1" s="1"/>
  <c r="B99" i="1"/>
  <c r="G99" i="1" s="1"/>
  <c r="E98" i="1"/>
  <c r="J98" i="1" s="1"/>
  <c r="D98" i="1"/>
  <c r="I98" i="1" s="1"/>
  <c r="E97" i="1"/>
  <c r="J97" i="1" s="1"/>
  <c r="D97" i="1"/>
  <c r="I97" i="1" s="1"/>
  <c r="C97" i="1"/>
  <c r="H97" i="1" s="1"/>
  <c r="B97" i="1"/>
  <c r="G97" i="1" s="1"/>
  <c r="E96" i="1"/>
  <c r="J96" i="1" s="1"/>
  <c r="D96" i="1"/>
  <c r="I96" i="1" s="1"/>
  <c r="C96" i="1"/>
  <c r="H96" i="1" s="1"/>
  <c r="B96" i="1"/>
  <c r="G96" i="1" s="1"/>
  <c r="E95" i="1"/>
  <c r="J95" i="1" s="1"/>
  <c r="D95" i="1"/>
  <c r="I95" i="1" s="1"/>
  <c r="C95" i="1"/>
  <c r="H95" i="1" s="1"/>
  <c r="B95" i="1"/>
  <c r="G95" i="1" s="1"/>
  <c r="E94" i="1"/>
  <c r="J94" i="1" s="1"/>
  <c r="D94" i="1"/>
  <c r="I94" i="1" s="1"/>
  <c r="C94" i="1"/>
  <c r="H94" i="1" s="1"/>
  <c r="B94" i="1"/>
  <c r="G94" i="1" s="1"/>
  <c r="E93" i="1"/>
  <c r="J93" i="1" s="1"/>
  <c r="D93" i="1"/>
  <c r="I93" i="1" s="1"/>
  <c r="C93" i="1"/>
  <c r="H93" i="1" s="1"/>
  <c r="B93" i="1"/>
  <c r="G93" i="1" s="1"/>
  <c r="E92" i="1"/>
  <c r="J92" i="1" s="1"/>
  <c r="D92" i="1"/>
  <c r="I92" i="1" s="1"/>
  <c r="C92" i="1"/>
  <c r="H92" i="1" s="1"/>
  <c r="B92" i="1"/>
  <c r="G92" i="1" s="1"/>
  <c r="E91" i="1"/>
  <c r="J91" i="1" s="1"/>
  <c r="D91" i="1"/>
  <c r="I91" i="1" s="1"/>
  <c r="C91" i="1"/>
  <c r="H91" i="1" s="1"/>
  <c r="B91" i="1"/>
  <c r="G91" i="1" s="1"/>
  <c r="E90" i="1"/>
  <c r="J90" i="1" s="1"/>
  <c r="D90" i="1"/>
  <c r="I90" i="1" s="1"/>
  <c r="C90" i="1"/>
  <c r="H90" i="1" s="1"/>
  <c r="B90" i="1"/>
  <c r="G90" i="1" s="1"/>
  <c r="E89" i="1"/>
  <c r="J89" i="1" s="1"/>
  <c r="D89" i="1"/>
  <c r="I89" i="1" s="1"/>
  <c r="C89" i="1"/>
  <c r="H89" i="1" s="1"/>
  <c r="B89" i="1"/>
  <c r="G89" i="1" s="1"/>
  <c r="E88" i="1"/>
  <c r="J88" i="1" s="1"/>
  <c r="K88" i="1" s="1"/>
  <c r="D88" i="1"/>
  <c r="I88" i="1" s="1"/>
  <c r="C88" i="1"/>
  <c r="H88" i="1" s="1"/>
  <c r="B88" i="1"/>
  <c r="G88" i="1" s="1"/>
  <c r="E87" i="1"/>
  <c r="J87" i="1" s="1"/>
  <c r="D87" i="1"/>
  <c r="I87" i="1" s="1"/>
  <c r="C87" i="1"/>
  <c r="H87" i="1" s="1"/>
  <c r="B87" i="1"/>
  <c r="G87" i="1" s="1"/>
  <c r="E86" i="1"/>
  <c r="J86" i="1" s="1"/>
  <c r="D86" i="1"/>
  <c r="I86" i="1" s="1"/>
  <c r="C86" i="1"/>
  <c r="H86" i="1" s="1"/>
  <c r="B86" i="1"/>
  <c r="G86" i="1" s="1"/>
  <c r="E85" i="1"/>
  <c r="J85" i="1" s="1"/>
  <c r="D85" i="1"/>
  <c r="I85" i="1" s="1"/>
  <c r="C85" i="1"/>
  <c r="H85" i="1" s="1"/>
  <c r="B85" i="1"/>
  <c r="G85" i="1" s="1"/>
  <c r="E84" i="1"/>
  <c r="J84" i="1" s="1"/>
  <c r="D84" i="1"/>
  <c r="I84" i="1" s="1"/>
  <c r="C84" i="1"/>
  <c r="H84" i="1" s="1"/>
  <c r="B84" i="1"/>
  <c r="G84" i="1" s="1"/>
  <c r="E83" i="1"/>
  <c r="J83" i="1" s="1"/>
  <c r="D83" i="1"/>
  <c r="I83" i="1" s="1"/>
  <c r="C83" i="1"/>
  <c r="H83" i="1" s="1"/>
  <c r="B83" i="1"/>
  <c r="G83" i="1" s="1"/>
  <c r="E82" i="1"/>
  <c r="J82" i="1" s="1"/>
  <c r="D82" i="1"/>
  <c r="I82" i="1" s="1"/>
  <c r="C82" i="1"/>
  <c r="H82" i="1" s="1"/>
  <c r="B82" i="1"/>
  <c r="G82" i="1" s="1"/>
  <c r="E81" i="1"/>
  <c r="J81" i="1" s="1"/>
  <c r="D81" i="1"/>
  <c r="I81" i="1" s="1"/>
  <c r="C81" i="1"/>
  <c r="H81" i="1" s="1"/>
  <c r="B81" i="1"/>
  <c r="G81" i="1" s="1"/>
  <c r="E80" i="1"/>
  <c r="J80" i="1" s="1"/>
  <c r="D80" i="1"/>
  <c r="I80" i="1" s="1"/>
  <c r="C80" i="1"/>
  <c r="H80" i="1" s="1"/>
  <c r="B80" i="1"/>
  <c r="G80" i="1" s="1"/>
  <c r="E79" i="1"/>
  <c r="J79" i="1" s="1"/>
  <c r="D79" i="1"/>
  <c r="I79" i="1" s="1"/>
  <c r="C79" i="1"/>
  <c r="H79" i="1" s="1"/>
  <c r="B79" i="1"/>
  <c r="G79" i="1" s="1"/>
  <c r="E78" i="1"/>
  <c r="J78" i="1" s="1"/>
  <c r="D78" i="1"/>
  <c r="I78" i="1" s="1"/>
  <c r="C78" i="1"/>
  <c r="H78" i="1" s="1"/>
  <c r="B78" i="1"/>
  <c r="G78" i="1" s="1"/>
  <c r="E77" i="1"/>
  <c r="J77" i="1" s="1"/>
  <c r="D77" i="1"/>
  <c r="I77" i="1" s="1"/>
  <c r="C77" i="1"/>
  <c r="H77" i="1" s="1"/>
  <c r="B77" i="1"/>
  <c r="G77" i="1" s="1"/>
  <c r="E76" i="1"/>
  <c r="J76" i="1" s="1"/>
  <c r="D76" i="1"/>
  <c r="I76" i="1" s="1"/>
  <c r="C76" i="1"/>
  <c r="H76" i="1" s="1"/>
  <c r="B76" i="1"/>
  <c r="G76" i="1" s="1"/>
  <c r="E75" i="1"/>
  <c r="J75" i="1" s="1"/>
  <c r="D75" i="1"/>
  <c r="I75" i="1" s="1"/>
  <c r="C75" i="1"/>
  <c r="H75" i="1" s="1"/>
  <c r="B75" i="1"/>
  <c r="G75" i="1" s="1"/>
  <c r="E74" i="1"/>
  <c r="J74" i="1" s="1"/>
  <c r="D74" i="1"/>
  <c r="I74" i="1" s="1"/>
  <c r="C74" i="1"/>
  <c r="H74" i="1" s="1"/>
  <c r="B74" i="1"/>
  <c r="G74" i="1" s="1"/>
  <c r="E73" i="1"/>
  <c r="J73" i="1" s="1"/>
  <c r="D73" i="1"/>
  <c r="I73" i="1" s="1"/>
  <c r="C73" i="1"/>
  <c r="H73" i="1" s="1"/>
  <c r="B73" i="1"/>
  <c r="G73" i="1" s="1"/>
  <c r="E72" i="1"/>
  <c r="J72" i="1" s="1"/>
  <c r="D72" i="1"/>
  <c r="I72" i="1" s="1"/>
  <c r="C72" i="1"/>
  <c r="H72" i="1" s="1"/>
  <c r="B72" i="1"/>
  <c r="G72" i="1" s="1"/>
  <c r="E71" i="1"/>
  <c r="J71" i="1" s="1"/>
  <c r="D71" i="1"/>
  <c r="I71" i="1" s="1"/>
  <c r="C71" i="1"/>
  <c r="H71" i="1" s="1"/>
  <c r="B71" i="1"/>
  <c r="G71" i="1" s="1"/>
  <c r="E70" i="1"/>
  <c r="J70" i="1" s="1"/>
  <c r="D70" i="1"/>
  <c r="I70" i="1" s="1"/>
  <c r="C70" i="1"/>
  <c r="H70" i="1" s="1"/>
  <c r="B70" i="1"/>
  <c r="G70" i="1" s="1"/>
  <c r="E69" i="1"/>
  <c r="J69" i="1" s="1"/>
  <c r="D69" i="1"/>
  <c r="I69" i="1" s="1"/>
  <c r="C69" i="1"/>
  <c r="H69" i="1" s="1"/>
  <c r="B69" i="1"/>
  <c r="G69" i="1" s="1"/>
  <c r="E68" i="1"/>
  <c r="J68" i="1" s="1"/>
  <c r="E67" i="1"/>
  <c r="J67" i="1" s="1"/>
  <c r="D67" i="1"/>
  <c r="I67" i="1" s="1"/>
  <c r="C67" i="1"/>
  <c r="H67" i="1" s="1"/>
  <c r="B67" i="1"/>
  <c r="G67" i="1" s="1"/>
  <c r="E66" i="1"/>
  <c r="J66" i="1" s="1"/>
  <c r="D66" i="1"/>
  <c r="I66" i="1" s="1"/>
  <c r="C66" i="1"/>
  <c r="H66" i="1" s="1"/>
  <c r="B66" i="1"/>
  <c r="G66" i="1" s="1"/>
  <c r="E65" i="1"/>
  <c r="J65" i="1" s="1"/>
  <c r="D65" i="1"/>
  <c r="I65" i="1" s="1"/>
  <c r="C65" i="1"/>
  <c r="H65" i="1" s="1"/>
  <c r="B65" i="1"/>
  <c r="G65" i="1" s="1"/>
  <c r="E64" i="1"/>
  <c r="J64" i="1" s="1"/>
  <c r="D64" i="1"/>
  <c r="I64" i="1" s="1"/>
  <c r="C64" i="1"/>
  <c r="H64" i="1" s="1"/>
  <c r="B64" i="1"/>
  <c r="G64" i="1" s="1"/>
  <c r="E63" i="1"/>
  <c r="J63" i="1" s="1"/>
  <c r="D63" i="1"/>
  <c r="I63" i="1" s="1"/>
  <c r="C63" i="1"/>
  <c r="H63" i="1" s="1"/>
  <c r="B63" i="1"/>
  <c r="G63" i="1" s="1"/>
  <c r="E62" i="1"/>
  <c r="J62" i="1" s="1"/>
  <c r="D62" i="1"/>
  <c r="I62" i="1" s="1"/>
  <c r="C62" i="1"/>
  <c r="H62" i="1" s="1"/>
  <c r="B62" i="1"/>
  <c r="G62" i="1" s="1"/>
  <c r="E61" i="1"/>
  <c r="J61" i="1" s="1"/>
  <c r="D61" i="1"/>
  <c r="I61" i="1" s="1"/>
  <c r="C61" i="1"/>
  <c r="H61" i="1" s="1"/>
  <c r="B61" i="1"/>
  <c r="G61" i="1" s="1"/>
  <c r="E60" i="1"/>
  <c r="J60" i="1" s="1"/>
  <c r="D60" i="1"/>
  <c r="I60" i="1" s="1"/>
  <c r="C60" i="1"/>
  <c r="H60" i="1" s="1"/>
  <c r="B60" i="1"/>
  <c r="G60" i="1" s="1"/>
  <c r="E59" i="1"/>
  <c r="J59" i="1" s="1"/>
  <c r="D59" i="1"/>
  <c r="I59" i="1" s="1"/>
  <c r="C59" i="1"/>
  <c r="H59" i="1" s="1"/>
  <c r="B59" i="1"/>
  <c r="G59" i="1" s="1"/>
  <c r="E58" i="1"/>
  <c r="J58" i="1" s="1"/>
  <c r="D58" i="1"/>
  <c r="I58" i="1" s="1"/>
  <c r="C58" i="1"/>
  <c r="H58" i="1" s="1"/>
  <c r="B58" i="1"/>
  <c r="G58" i="1" s="1"/>
  <c r="E57" i="1"/>
  <c r="J57" i="1" s="1"/>
  <c r="D57" i="1"/>
  <c r="I57" i="1" s="1"/>
  <c r="C57" i="1"/>
  <c r="H57" i="1" s="1"/>
  <c r="B57" i="1"/>
  <c r="G57" i="1" s="1"/>
  <c r="E56" i="1"/>
  <c r="J56" i="1" s="1"/>
  <c r="D56" i="1"/>
  <c r="I56" i="1" s="1"/>
  <c r="C56" i="1"/>
  <c r="H56" i="1" s="1"/>
  <c r="B56" i="1"/>
  <c r="G56" i="1" s="1"/>
  <c r="E55" i="1"/>
  <c r="J55" i="1" s="1"/>
  <c r="D55" i="1"/>
  <c r="I55" i="1" s="1"/>
  <c r="C55" i="1"/>
  <c r="H55" i="1" s="1"/>
  <c r="B55" i="1"/>
  <c r="G55" i="1" s="1"/>
  <c r="E54" i="1"/>
  <c r="J54" i="1" s="1"/>
  <c r="D54" i="1"/>
  <c r="I54" i="1" s="1"/>
  <c r="C54" i="1"/>
  <c r="H54" i="1" s="1"/>
  <c r="B54" i="1"/>
  <c r="G54" i="1" s="1"/>
  <c r="E53" i="1"/>
  <c r="J53" i="1" s="1"/>
  <c r="D53" i="1"/>
  <c r="I53" i="1" s="1"/>
  <c r="C53" i="1"/>
  <c r="H53" i="1" s="1"/>
  <c r="B53" i="1"/>
  <c r="G53" i="1" s="1"/>
  <c r="E52" i="1"/>
  <c r="J52" i="1" s="1"/>
  <c r="D52" i="1"/>
  <c r="I52" i="1" s="1"/>
  <c r="C52" i="1"/>
  <c r="H52" i="1" s="1"/>
  <c r="B52" i="1"/>
  <c r="G52" i="1" s="1"/>
  <c r="E51" i="1"/>
  <c r="J51" i="1" s="1"/>
  <c r="D51" i="1"/>
  <c r="I51" i="1" s="1"/>
  <c r="C51" i="1"/>
  <c r="H51" i="1" s="1"/>
  <c r="B51" i="1"/>
  <c r="G51" i="1" s="1"/>
  <c r="E50" i="1"/>
  <c r="J50" i="1" s="1"/>
  <c r="D50" i="1"/>
  <c r="I50" i="1" s="1"/>
  <c r="C50" i="1"/>
  <c r="H50" i="1" s="1"/>
  <c r="B50" i="1"/>
  <c r="G50" i="1" s="1"/>
  <c r="E49" i="1"/>
  <c r="J49" i="1" s="1"/>
  <c r="D49" i="1"/>
  <c r="I49" i="1" s="1"/>
  <c r="C49" i="1"/>
  <c r="H49" i="1" s="1"/>
  <c r="B49" i="1"/>
  <c r="G49" i="1" s="1"/>
  <c r="E48" i="1"/>
  <c r="J48" i="1" s="1"/>
  <c r="D48" i="1"/>
  <c r="I48" i="1" s="1"/>
  <c r="C48" i="1"/>
  <c r="H48" i="1" s="1"/>
  <c r="B48" i="1"/>
  <c r="G48" i="1" s="1"/>
  <c r="E47" i="1"/>
  <c r="J47" i="1" s="1"/>
  <c r="D47" i="1"/>
  <c r="I47" i="1" s="1"/>
  <c r="C47" i="1"/>
  <c r="H47" i="1" s="1"/>
  <c r="B47" i="1"/>
  <c r="G47" i="1" s="1"/>
  <c r="E46" i="1"/>
  <c r="J46" i="1" s="1"/>
  <c r="D46" i="1"/>
  <c r="I46" i="1" s="1"/>
  <c r="C46" i="1"/>
  <c r="H46" i="1" s="1"/>
  <c r="B46" i="1"/>
  <c r="G46" i="1" s="1"/>
  <c r="E45" i="1"/>
  <c r="J45" i="1" s="1"/>
  <c r="D45" i="1"/>
  <c r="I45" i="1" s="1"/>
  <c r="C45" i="1"/>
  <c r="H45" i="1" s="1"/>
  <c r="B45" i="1"/>
  <c r="G45" i="1" s="1"/>
  <c r="E44" i="1"/>
  <c r="J44" i="1" s="1"/>
  <c r="D44" i="1"/>
  <c r="I44" i="1" s="1"/>
  <c r="C44" i="1"/>
  <c r="H44" i="1" s="1"/>
  <c r="B44" i="1"/>
  <c r="G44" i="1" s="1"/>
  <c r="E43" i="1"/>
  <c r="J43" i="1" s="1"/>
  <c r="D43" i="1"/>
  <c r="I43" i="1" s="1"/>
  <c r="C43" i="1"/>
  <c r="H43" i="1" s="1"/>
  <c r="B43" i="1"/>
  <c r="G43" i="1" s="1"/>
  <c r="E42" i="1"/>
  <c r="J42" i="1" s="1"/>
  <c r="D42" i="1"/>
  <c r="I42" i="1" s="1"/>
  <c r="C42" i="1"/>
  <c r="H42" i="1" s="1"/>
  <c r="B42" i="1"/>
  <c r="G42" i="1" s="1"/>
  <c r="E41" i="1"/>
  <c r="J41" i="1" s="1"/>
  <c r="D41" i="1"/>
  <c r="I41" i="1" s="1"/>
  <c r="C41" i="1"/>
  <c r="H41" i="1" s="1"/>
  <c r="B41" i="1"/>
  <c r="G41" i="1" s="1"/>
  <c r="E40" i="1"/>
  <c r="J40" i="1" s="1"/>
  <c r="D40" i="1"/>
  <c r="I40" i="1" s="1"/>
  <c r="C40" i="1"/>
  <c r="H40" i="1" s="1"/>
  <c r="B40" i="1"/>
  <c r="G40" i="1" s="1"/>
  <c r="E39" i="1"/>
  <c r="J39" i="1" s="1"/>
  <c r="D39" i="1"/>
  <c r="I39" i="1" s="1"/>
  <c r="C39" i="1"/>
  <c r="H39" i="1" s="1"/>
  <c r="B39" i="1"/>
  <c r="G39" i="1" s="1"/>
  <c r="E38" i="1"/>
  <c r="J38" i="1" s="1"/>
  <c r="D38" i="1"/>
  <c r="I38" i="1" s="1"/>
  <c r="C38" i="1"/>
  <c r="H38" i="1" s="1"/>
  <c r="B38" i="1"/>
  <c r="G38" i="1" s="1"/>
  <c r="E37" i="1"/>
  <c r="J37" i="1" s="1"/>
  <c r="D37" i="1"/>
  <c r="I37" i="1" s="1"/>
  <c r="C37" i="1"/>
  <c r="H37" i="1" s="1"/>
  <c r="B37" i="1"/>
  <c r="G37" i="1" s="1"/>
  <c r="E36" i="1"/>
  <c r="J36" i="1" s="1"/>
  <c r="D36" i="1"/>
  <c r="I36" i="1" s="1"/>
  <c r="C36" i="1"/>
  <c r="H36" i="1" s="1"/>
  <c r="B36" i="1"/>
  <c r="G36" i="1" s="1"/>
  <c r="E35" i="1"/>
  <c r="J35" i="1" s="1"/>
  <c r="D35" i="1"/>
  <c r="I35" i="1" s="1"/>
  <c r="C35" i="1"/>
  <c r="H35" i="1" s="1"/>
  <c r="B35" i="1"/>
  <c r="G35" i="1" s="1"/>
  <c r="E34" i="1"/>
  <c r="J34" i="1" s="1"/>
  <c r="D34" i="1"/>
  <c r="I34" i="1" s="1"/>
  <c r="C34" i="1"/>
  <c r="H34" i="1" s="1"/>
  <c r="B34" i="1"/>
  <c r="G34" i="1" s="1"/>
  <c r="E33" i="1"/>
  <c r="J33" i="1" s="1"/>
  <c r="D33" i="1"/>
  <c r="I33" i="1" s="1"/>
  <c r="C33" i="1"/>
  <c r="H33" i="1" s="1"/>
  <c r="B33" i="1"/>
  <c r="G33" i="1" s="1"/>
  <c r="E32" i="1"/>
  <c r="J32" i="1" s="1"/>
  <c r="D32" i="1"/>
  <c r="I32" i="1" s="1"/>
  <c r="C32" i="1"/>
  <c r="H32" i="1" s="1"/>
  <c r="B32" i="1"/>
  <c r="G32" i="1" s="1"/>
  <c r="E31" i="1"/>
  <c r="J31" i="1" s="1"/>
  <c r="D31" i="1"/>
  <c r="I31" i="1" s="1"/>
  <c r="C31" i="1"/>
  <c r="H31" i="1" s="1"/>
  <c r="B31" i="1"/>
  <c r="G31" i="1" s="1"/>
  <c r="E30" i="1"/>
  <c r="J30" i="1" s="1"/>
  <c r="D30" i="1"/>
  <c r="I30" i="1" s="1"/>
  <c r="C30" i="1"/>
  <c r="H30" i="1" s="1"/>
  <c r="B30" i="1"/>
  <c r="G30" i="1" s="1"/>
  <c r="E29" i="1"/>
  <c r="J29" i="1" s="1"/>
  <c r="D29" i="1"/>
  <c r="I29" i="1" s="1"/>
  <c r="C29" i="1"/>
  <c r="H29" i="1" s="1"/>
  <c r="B29" i="1"/>
  <c r="G29" i="1" s="1"/>
  <c r="E28" i="1"/>
  <c r="J28" i="1" s="1"/>
  <c r="D28" i="1"/>
  <c r="I28" i="1" s="1"/>
  <c r="C28" i="1"/>
  <c r="H28" i="1" s="1"/>
  <c r="B28" i="1"/>
  <c r="G28" i="1" s="1"/>
  <c r="E27" i="1"/>
  <c r="J27" i="1" s="1"/>
  <c r="D27" i="1"/>
  <c r="I27" i="1" s="1"/>
  <c r="C27" i="1"/>
  <c r="H27" i="1" s="1"/>
  <c r="B27" i="1"/>
  <c r="G27" i="1" s="1"/>
  <c r="E26" i="1"/>
  <c r="J26" i="1" s="1"/>
  <c r="D26" i="1"/>
  <c r="I26" i="1" s="1"/>
  <c r="C26" i="1"/>
  <c r="H26" i="1" s="1"/>
  <c r="B26" i="1"/>
  <c r="G26" i="1" s="1"/>
  <c r="E25" i="1"/>
  <c r="J25" i="1" s="1"/>
  <c r="D25" i="1"/>
  <c r="I25" i="1" s="1"/>
  <c r="C25" i="1"/>
  <c r="H25" i="1" s="1"/>
  <c r="B25" i="1"/>
  <c r="G25" i="1" s="1"/>
  <c r="E24" i="1"/>
  <c r="J24" i="1" s="1"/>
  <c r="D24" i="1"/>
  <c r="I24" i="1" s="1"/>
  <c r="C24" i="1"/>
  <c r="H24" i="1" s="1"/>
  <c r="B24" i="1"/>
  <c r="G24" i="1" s="1"/>
  <c r="E23" i="1"/>
  <c r="J23" i="1" s="1"/>
  <c r="D23" i="1"/>
  <c r="I23" i="1" s="1"/>
  <c r="C23" i="1"/>
  <c r="H23" i="1" s="1"/>
  <c r="B23" i="1"/>
  <c r="G23" i="1" s="1"/>
  <c r="E22" i="1"/>
  <c r="J22" i="1" s="1"/>
  <c r="D22" i="1"/>
  <c r="I22" i="1" s="1"/>
  <c r="C22" i="1"/>
  <c r="H22" i="1" s="1"/>
  <c r="B22" i="1"/>
  <c r="G22" i="1" s="1"/>
  <c r="E21" i="1"/>
  <c r="J21" i="1" s="1"/>
  <c r="D21" i="1"/>
  <c r="I21" i="1" s="1"/>
  <c r="C21" i="1"/>
  <c r="H21" i="1" s="1"/>
  <c r="B21" i="1"/>
  <c r="G21" i="1" s="1"/>
  <c r="E20" i="1"/>
  <c r="J20" i="1" s="1"/>
  <c r="D20" i="1"/>
  <c r="I20" i="1" s="1"/>
  <c r="C20" i="1"/>
  <c r="H20" i="1" s="1"/>
  <c r="B20" i="1"/>
  <c r="G20" i="1" s="1"/>
  <c r="E19" i="1"/>
  <c r="J19" i="1" s="1"/>
  <c r="D19" i="1"/>
  <c r="I19" i="1" s="1"/>
  <c r="C19" i="1"/>
  <c r="H19" i="1" s="1"/>
  <c r="B19" i="1"/>
  <c r="G19" i="1" s="1"/>
  <c r="E18" i="1"/>
  <c r="J18" i="1" s="1"/>
  <c r="D18" i="1"/>
  <c r="I18" i="1" s="1"/>
  <c r="C18" i="1"/>
  <c r="H18" i="1" s="1"/>
  <c r="B18" i="1"/>
  <c r="G18" i="1" s="1"/>
  <c r="E17" i="1"/>
  <c r="J17" i="1" s="1"/>
  <c r="D17" i="1"/>
  <c r="I17" i="1" s="1"/>
  <c r="C17" i="1"/>
  <c r="H17" i="1" s="1"/>
  <c r="B17" i="1"/>
  <c r="G17" i="1" s="1"/>
  <c r="E16" i="1"/>
  <c r="J16" i="1" s="1"/>
  <c r="D16" i="1"/>
  <c r="I16" i="1" s="1"/>
  <c r="C16" i="1"/>
  <c r="H16" i="1" s="1"/>
  <c r="B16" i="1"/>
  <c r="G16" i="1" s="1"/>
  <c r="E15" i="1"/>
  <c r="J15" i="1" s="1"/>
  <c r="D15" i="1"/>
  <c r="I15" i="1" s="1"/>
  <c r="C15" i="1"/>
  <c r="H15" i="1" s="1"/>
  <c r="B15" i="1"/>
  <c r="G15" i="1" s="1"/>
  <c r="E14" i="1"/>
  <c r="J14" i="1" s="1"/>
  <c r="D14" i="1"/>
  <c r="I14" i="1" s="1"/>
  <c r="C14" i="1"/>
  <c r="H14" i="1" s="1"/>
  <c r="B14" i="1"/>
  <c r="G14" i="1" s="1"/>
  <c r="E13" i="1"/>
  <c r="J13" i="1" s="1"/>
  <c r="D13" i="1"/>
  <c r="I13" i="1" s="1"/>
  <c r="C13" i="1"/>
  <c r="H13" i="1" s="1"/>
  <c r="B13" i="1"/>
  <c r="G13" i="1" s="1"/>
  <c r="E12" i="1"/>
  <c r="J12" i="1" s="1"/>
  <c r="D12" i="1"/>
  <c r="I12" i="1" s="1"/>
  <c r="C12" i="1"/>
  <c r="H12" i="1" s="1"/>
  <c r="B12" i="1"/>
  <c r="G12" i="1" s="1"/>
  <c r="E11" i="1"/>
  <c r="J11" i="1" s="1"/>
  <c r="D11" i="1"/>
  <c r="I11" i="1" s="1"/>
  <c r="C11" i="1"/>
  <c r="H11" i="1" s="1"/>
  <c r="B11" i="1"/>
  <c r="G11" i="1" s="1"/>
  <c r="E10" i="1"/>
  <c r="J10" i="1" s="1"/>
  <c r="D10" i="1"/>
  <c r="I10" i="1" s="1"/>
  <c r="C10" i="1"/>
  <c r="H10" i="1" s="1"/>
  <c r="B10" i="1"/>
  <c r="G10" i="1" s="1"/>
  <c r="E9" i="1"/>
  <c r="J9" i="1" s="1"/>
  <c r="D9" i="1"/>
  <c r="I9" i="1" s="1"/>
  <c r="C9" i="1"/>
  <c r="H9" i="1" s="1"/>
  <c r="B9" i="1"/>
  <c r="G9" i="1" s="1"/>
  <c r="E8" i="1"/>
  <c r="J8" i="1" s="1"/>
  <c r="D8" i="1"/>
  <c r="I8" i="1" s="1"/>
  <c r="C8" i="1"/>
  <c r="H8" i="1" s="1"/>
  <c r="B8" i="1"/>
  <c r="G8" i="1" s="1"/>
  <c r="E7" i="1"/>
  <c r="J7" i="1" s="1"/>
  <c r="D7" i="1"/>
  <c r="I7" i="1" s="1"/>
  <c r="C7" i="1"/>
  <c r="H7" i="1" s="1"/>
  <c r="B7" i="1"/>
  <c r="G7" i="1" s="1"/>
  <c r="E6" i="1"/>
  <c r="J6" i="1" s="1"/>
  <c r="D6" i="1"/>
  <c r="I6" i="1" s="1"/>
  <c r="C6" i="1"/>
  <c r="H6" i="1" s="1"/>
  <c r="B6" i="1"/>
  <c r="G6" i="1" s="1"/>
  <c r="E5" i="1"/>
  <c r="D5" i="1"/>
  <c r="C5" i="1"/>
  <c r="B5" i="1"/>
  <c r="J4" i="1"/>
  <c r="I4" i="1"/>
  <c r="H4" i="1"/>
  <c r="G4" i="1"/>
  <c r="T199" i="3" l="1"/>
  <c r="T229" i="3" s="1"/>
  <c r="N199" i="3"/>
  <c r="K48" i="7"/>
  <c r="K56" i="7" s="1"/>
  <c r="J56" i="7"/>
  <c r="S150" i="3"/>
  <c r="X150" i="3" s="1"/>
  <c r="O199" i="3"/>
  <c r="F50" i="7"/>
  <c r="F54" i="7"/>
  <c r="F53" i="7"/>
  <c r="F51" i="7"/>
  <c r="F55" i="7"/>
  <c r="F52" i="7"/>
  <c r="L199" i="3"/>
  <c r="Q234" i="3"/>
  <c r="M199" i="3"/>
  <c r="U199" i="3"/>
  <c r="U229" i="3" s="1"/>
  <c r="K31" i="7"/>
  <c r="K71" i="7"/>
  <c r="E396" i="2"/>
  <c r="K20" i="7"/>
  <c r="X214" i="3"/>
  <c r="V239" i="3" s="1"/>
  <c r="J396" i="2"/>
  <c r="F396" i="2"/>
  <c r="J156" i="2"/>
  <c r="C326" i="2"/>
  <c r="C396" i="2"/>
  <c r="L396" i="2"/>
  <c r="G396" i="2"/>
  <c r="G156" i="2"/>
  <c r="G157" i="2" s="1"/>
  <c r="G158" i="2" s="1"/>
  <c r="L326" i="2"/>
  <c r="D396" i="2"/>
  <c r="E326" i="2"/>
  <c r="K156" i="2"/>
  <c r="D156" i="2"/>
  <c r="J326" i="2"/>
  <c r="B98" i="1"/>
  <c r="G98" i="1" s="1"/>
  <c r="D326" i="2"/>
  <c r="F156" i="2"/>
  <c r="F326" i="2"/>
  <c r="E156" i="2"/>
  <c r="F49" i="7"/>
  <c r="C156" i="2"/>
  <c r="L156" i="2"/>
  <c r="I156" i="2"/>
  <c r="I157" i="2" s="1"/>
  <c r="I158" i="2" s="1"/>
  <c r="K65" i="7"/>
  <c r="K13" i="7"/>
  <c r="K84" i="7"/>
  <c r="K44" i="7"/>
  <c r="K79" i="7"/>
  <c r="F196" i="5"/>
  <c r="R229" i="3"/>
  <c r="Q208" i="3"/>
  <c r="Q229" i="3" s="1"/>
  <c r="G196" i="5"/>
  <c r="H228" i="5"/>
  <c r="H229" i="5" s="1"/>
  <c r="F228" i="5"/>
  <c r="E228" i="5"/>
  <c r="I228" i="5"/>
  <c r="E196" i="5"/>
  <c r="G228" i="5"/>
  <c r="I196" i="5"/>
  <c r="J457" i="2"/>
  <c r="H417" i="2"/>
  <c r="H428" i="2" s="1"/>
  <c r="H429" i="2" s="1"/>
  <c r="H271" i="2"/>
  <c r="H273" i="2" s="1"/>
  <c r="H274" i="2" s="1"/>
  <c r="H397" i="2"/>
  <c r="O46" i="3"/>
  <c r="S46" i="3" s="1"/>
  <c r="X46" i="3" s="1"/>
  <c r="F77" i="2"/>
  <c r="G309" i="2"/>
  <c r="I453" i="2"/>
  <c r="L81" i="2"/>
  <c r="G260" i="2"/>
  <c r="G262" i="2" s="1"/>
  <c r="G263" i="2" s="1"/>
  <c r="D419" i="2"/>
  <c r="E422" i="2"/>
  <c r="C228" i="1"/>
  <c r="H228" i="1" s="1"/>
  <c r="D81" i="2"/>
  <c r="E166" i="2"/>
  <c r="F306" i="2"/>
  <c r="G421" i="2"/>
  <c r="J238" i="2"/>
  <c r="I308" i="2"/>
  <c r="J312" i="2"/>
  <c r="L419" i="2"/>
  <c r="C456" i="2"/>
  <c r="F133" i="2"/>
  <c r="E310" i="2"/>
  <c r="F398" i="2"/>
  <c r="F418" i="2"/>
  <c r="V40" i="3"/>
  <c r="I457" i="2"/>
  <c r="H77" i="2"/>
  <c r="F81" i="2"/>
  <c r="L238" i="2"/>
  <c r="H306" i="2"/>
  <c r="H313" i="2" s="1"/>
  <c r="H314" i="2" s="1"/>
  <c r="K308" i="2"/>
  <c r="G310" i="2"/>
  <c r="D312" i="2"/>
  <c r="H398" i="2"/>
  <c r="J417" i="2"/>
  <c r="H418" i="2"/>
  <c r="F419" i="2"/>
  <c r="G422" i="2"/>
  <c r="C451" i="2"/>
  <c r="K453" i="2"/>
  <c r="E456" i="2"/>
  <c r="E40" i="3"/>
  <c r="J77" i="2"/>
  <c r="H81" i="2"/>
  <c r="H82" i="2" s="1"/>
  <c r="H83" i="2" s="1"/>
  <c r="J133" i="2"/>
  <c r="I166" i="2"/>
  <c r="I167" i="2" s="1"/>
  <c r="F238" i="2"/>
  <c r="D271" i="2"/>
  <c r="L271" i="2"/>
  <c r="J306" i="2"/>
  <c r="E308" i="2"/>
  <c r="C309" i="2"/>
  <c r="K309" i="2"/>
  <c r="I310" i="2"/>
  <c r="F312" i="2"/>
  <c r="D397" i="2"/>
  <c r="L397" i="2"/>
  <c r="J398" i="2"/>
  <c r="D417" i="2"/>
  <c r="L417" i="2"/>
  <c r="J418" i="2"/>
  <c r="H419" i="2"/>
  <c r="C421" i="2"/>
  <c r="K421" i="2"/>
  <c r="I422" i="2"/>
  <c r="E451" i="2"/>
  <c r="E453" i="2"/>
  <c r="L456" i="2"/>
  <c r="G40" i="3"/>
  <c r="P229" i="3"/>
  <c r="I456" i="2"/>
  <c r="I451" i="2"/>
  <c r="H133" i="2"/>
  <c r="H134" i="2" s="1"/>
  <c r="H135" i="2" s="1"/>
  <c r="G166" i="2"/>
  <c r="G167" i="2" s="1"/>
  <c r="G168" i="2" s="1"/>
  <c r="D238" i="2"/>
  <c r="J271" i="2"/>
  <c r="C308" i="2"/>
  <c r="I309" i="2"/>
  <c r="L312" i="2"/>
  <c r="J397" i="2"/>
  <c r="I421" i="2"/>
  <c r="G441" i="2"/>
  <c r="G442" i="2" s="1"/>
  <c r="G443" i="2" s="1"/>
  <c r="C453" i="2"/>
  <c r="C193" i="1"/>
  <c r="H193" i="1" s="1"/>
  <c r="E15" i="2"/>
  <c r="D77" i="2"/>
  <c r="L77" i="2"/>
  <c r="J81" i="2"/>
  <c r="D133" i="2"/>
  <c r="L133" i="2"/>
  <c r="C166" i="2"/>
  <c r="K166" i="2"/>
  <c r="H238" i="2"/>
  <c r="H239" i="2" s="1"/>
  <c r="H240" i="2" s="1"/>
  <c r="F271" i="2"/>
  <c r="D306" i="2"/>
  <c r="L306" i="2"/>
  <c r="G308" i="2"/>
  <c r="E309" i="2"/>
  <c r="C310" i="2"/>
  <c r="K310" i="2"/>
  <c r="H312" i="2"/>
  <c r="F397" i="2"/>
  <c r="D398" i="2"/>
  <c r="L398" i="2"/>
  <c r="F417" i="2"/>
  <c r="D418" i="2"/>
  <c r="L418" i="2"/>
  <c r="J419" i="2"/>
  <c r="E421" i="2"/>
  <c r="C422" i="2"/>
  <c r="K422" i="2"/>
  <c r="L451" i="2"/>
  <c r="G453" i="2"/>
  <c r="D457" i="2"/>
  <c r="H7" i="3"/>
  <c r="D228" i="1"/>
  <c r="I228" i="1" s="1"/>
  <c r="L40" i="3"/>
  <c r="F46" i="3"/>
  <c r="H46" i="3" s="1"/>
  <c r="J46" i="3"/>
  <c r="G456" i="2"/>
  <c r="G457" i="2"/>
  <c r="G451" i="2"/>
  <c r="C98" i="1"/>
  <c r="H98" i="1" s="1"/>
  <c r="G15" i="2"/>
  <c r="G16" i="2" s="1"/>
  <c r="G17" i="2" s="1"/>
  <c r="C77" i="2"/>
  <c r="G77" i="2"/>
  <c r="G78" i="2" s="1"/>
  <c r="G79" i="2" s="1"/>
  <c r="K77" i="2"/>
  <c r="E81" i="2"/>
  <c r="I81" i="2"/>
  <c r="I82" i="2" s="1"/>
  <c r="I83" i="2" s="1"/>
  <c r="E133" i="2"/>
  <c r="I133" i="2"/>
  <c r="I134" i="2" s="1"/>
  <c r="I135" i="2" s="1"/>
  <c r="D166" i="2"/>
  <c r="H166" i="2"/>
  <c r="H167" i="2" s="1"/>
  <c r="H168" i="2" s="1"/>
  <c r="L166" i="2"/>
  <c r="E238" i="2"/>
  <c r="I238" i="2"/>
  <c r="I239" i="2" s="1"/>
  <c r="I240" i="2" s="1"/>
  <c r="C271" i="2"/>
  <c r="G271" i="2"/>
  <c r="G273" i="2" s="1"/>
  <c r="G274" i="2" s="1"/>
  <c r="K271" i="2"/>
  <c r="E306" i="2"/>
  <c r="I306" i="2"/>
  <c r="I313" i="2" s="1"/>
  <c r="I314" i="2" s="1"/>
  <c r="F308" i="2"/>
  <c r="J308" i="2"/>
  <c r="D309" i="2"/>
  <c r="H309" i="2"/>
  <c r="L309" i="2"/>
  <c r="F310" i="2"/>
  <c r="J310" i="2"/>
  <c r="C312" i="2"/>
  <c r="G312" i="2"/>
  <c r="K312" i="2"/>
  <c r="E397" i="2"/>
  <c r="I397" i="2"/>
  <c r="C398" i="2"/>
  <c r="G398" i="2"/>
  <c r="K398" i="2"/>
  <c r="C417" i="2"/>
  <c r="G417" i="2"/>
  <c r="G428" i="2" s="1"/>
  <c r="G429" i="2" s="1"/>
  <c r="K417" i="2"/>
  <c r="E418" i="2"/>
  <c r="I418" i="2"/>
  <c r="C419" i="2"/>
  <c r="G419" i="2"/>
  <c r="K419" i="2"/>
  <c r="D421" i="2"/>
  <c r="H421" i="2"/>
  <c r="L421" i="2"/>
  <c r="F422" i="2"/>
  <c r="J422" i="2"/>
  <c r="E441" i="2"/>
  <c r="J451" i="2"/>
  <c r="D453" i="2"/>
  <c r="H453" i="2"/>
  <c r="L453" i="2"/>
  <c r="D456" i="2"/>
  <c r="C457" i="2"/>
  <c r="L457" i="2"/>
  <c r="S7" i="3"/>
  <c r="X7" i="3" s="1"/>
  <c r="X8" i="3" s="1"/>
  <c r="G450" i="2"/>
  <c r="F40" i="3"/>
  <c r="O40" i="3"/>
  <c r="S40" i="3" s="1"/>
  <c r="X40" i="3" s="1"/>
  <c r="E46" i="3"/>
  <c r="L46" i="3"/>
  <c r="H457" i="2"/>
  <c r="K451" i="2"/>
  <c r="V46" i="3"/>
  <c r="E77" i="2"/>
  <c r="I77" i="2"/>
  <c r="I78" i="2" s="1"/>
  <c r="I79" i="2" s="1"/>
  <c r="C81" i="2"/>
  <c r="G81" i="2"/>
  <c r="G82" i="2" s="1"/>
  <c r="G83" i="2" s="1"/>
  <c r="K81" i="2"/>
  <c r="C133" i="2"/>
  <c r="G133" i="2"/>
  <c r="G134" i="2" s="1"/>
  <c r="G135" i="2" s="1"/>
  <c r="K133" i="2"/>
  <c r="F166" i="2"/>
  <c r="J166" i="2"/>
  <c r="C238" i="2"/>
  <c r="G238" i="2"/>
  <c r="G239" i="2" s="1"/>
  <c r="G240" i="2" s="1"/>
  <c r="K238" i="2"/>
  <c r="E271" i="2"/>
  <c r="I271" i="2"/>
  <c r="I273" i="2" s="1"/>
  <c r="I274" i="2" s="1"/>
  <c r="C306" i="2"/>
  <c r="G306" i="2"/>
  <c r="G313" i="2" s="1"/>
  <c r="G314" i="2" s="1"/>
  <c r="K306" i="2"/>
  <c r="D308" i="2"/>
  <c r="H308" i="2"/>
  <c r="L308" i="2"/>
  <c r="F309" i="2"/>
  <c r="J309" i="2"/>
  <c r="D310" i="2"/>
  <c r="H310" i="2"/>
  <c r="L310" i="2"/>
  <c r="E312" i="2"/>
  <c r="I312" i="2"/>
  <c r="C397" i="2"/>
  <c r="G397" i="2"/>
  <c r="K397" i="2"/>
  <c r="E398" i="2"/>
  <c r="I398" i="2"/>
  <c r="E417" i="2"/>
  <c r="I417" i="2"/>
  <c r="I428" i="2" s="1"/>
  <c r="I429" i="2" s="1"/>
  <c r="C418" i="2"/>
  <c r="G418" i="2"/>
  <c r="K418" i="2"/>
  <c r="E419" i="2"/>
  <c r="I419" i="2"/>
  <c r="F421" i="2"/>
  <c r="J421" i="2"/>
  <c r="D422" i="2"/>
  <c r="H422" i="2"/>
  <c r="L422" i="2"/>
  <c r="D451" i="2"/>
  <c r="F453" i="2"/>
  <c r="J453" i="2"/>
  <c r="J456" i="2"/>
  <c r="E457" i="2"/>
  <c r="J40" i="3"/>
  <c r="F456" i="2"/>
  <c r="F457" i="2"/>
  <c r="F451" i="2"/>
  <c r="F48" i="7"/>
  <c r="H260" i="2"/>
  <c r="H262" i="2" s="1"/>
  <c r="H263" i="2" s="1"/>
  <c r="M196" i="5"/>
  <c r="D68" i="1"/>
  <c r="I68" i="1" s="1"/>
  <c r="D208" i="1"/>
  <c r="I208" i="1" s="1"/>
  <c r="H181" i="2"/>
  <c r="H183" i="2" s="1"/>
  <c r="H184" i="2" s="1"/>
  <c r="I396" i="2"/>
  <c r="B68" i="1"/>
  <c r="G68" i="1" s="1"/>
  <c r="C268" i="1"/>
  <c r="H268" i="1" s="1"/>
  <c r="H37" i="3"/>
  <c r="H60" i="3"/>
  <c r="H68" i="3"/>
  <c r="H75" i="3"/>
  <c r="H81" i="3"/>
  <c r="H83" i="3"/>
  <c r="H93" i="3"/>
  <c r="C208" i="1"/>
  <c r="H208" i="1" s="1"/>
  <c r="H451" i="2"/>
  <c r="H427" i="2"/>
  <c r="C188" i="1"/>
  <c r="H188" i="1" s="1"/>
  <c r="H122" i="3"/>
  <c r="C68" i="1"/>
  <c r="H68" i="1" s="1"/>
  <c r="H426" i="2"/>
  <c r="H307" i="2"/>
  <c r="B248" i="1"/>
  <c r="G248" i="1" s="1"/>
  <c r="H78" i="3"/>
  <c r="H119" i="3"/>
  <c r="H129" i="3"/>
  <c r="H137" i="3"/>
  <c r="D268" i="1"/>
  <c r="I268" i="1" s="1"/>
  <c r="H53" i="3"/>
  <c r="H56" i="3"/>
  <c r="H115" i="3"/>
  <c r="C168" i="1"/>
  <c r="H168" i="1" s="1"/>
  <c r="C248" i="1"/>
  <c r="H248" i="1" s="1"/>
  <c r="H44" i="3"/>
  <c r="H121" i="3"/>
  <c r="H423" i="2"/>
  <c r="H51" i="3"/>
  <c r="H52" i="3"/>
  <c r="H57" i="3"/>
  <c r="H58" i="3"/>
  <c r="H103" i="3"/>
  <c r="H104" i="3"/>
  <c r="H123" i="3"/>
  <c r="H400" i="2"/>
  <c r="H425" i="2"/>
  <c r="H18" i="3"/>
  <c r="H23" i="3"/>
  <c r="H24" i="3"/>
  <c r="H31" i="3"/>
  <c r="H32" i="3"/>
  <c r="H33" i="3"/>
  <c r="H62" i="3"/>
  <c r="H70" i="3"/>
  <c r="H73" i="3"/>
  <c r="H97" i="3"/>
  <c r="H113" i="3"/>
  <c r="H117" i="3"/>
  <c r="H131" i="3"/>
  <c r="G326" i="2"/>
  <c r="G328" i="2" s="1"/>
  <c r="G329" i="2" s="1"/>
  <c r="H28" i="3"/>
  <c r="H29" i="3"/>
  <c r="H30" i="3"/>
  <c r="H47" i="3"/>
  <c r="H48" i="3"/>
  <c r="H71" i="3"/>
  <c r="H76" i="3"/>
  <c r="H86" i="3"/>
  <c r="H87" i="3"/>
  <c r="H99" i="3"/>
  <c r="H109" i="3"/>
  <c r="H111" i="3"/>
  <c r="H116" i="3"/>
  <c r="H120" i="3"/>
  <c r="H125" i="3"/>
  <c r="H130" i="3"/>
  <c r="H133" i="3"/>
  <c r="H138" i="3"/>
  <c r="H143" i="3"/>
  <c r="C138" i="1"/>
  <c r="H138" i="1" s="1"/>
  <c r="H15" i="3"/>
  <c r="B208" i="1"/>
  <c r="G208" i="1" s="1"/>
  <c r="H54" i="3"/>
  <c r="H63" i="3"/>
  <c r="H74" i="3"/>
  <c r="H82" i="3"/>
  <c r="H95" i="3"/>
  <c r="S136" i="3"/>
  <c r="X136" i="3" s="1"/>
  <c r="H76" i="2"/>
  <c r="H455" i="2"/>
  <c r="S18" i="3"/>
  <c r="X18" i="3" s="1"/>
  <c r="K452" i="2" s="1"/>
  <c r="H19" i="3"/>
  <c r="H20" i="3"/>
  <c r="H21" i="3"/>
  <c r="H22" i="3"/>
  <c r="H27" i="3"/>
  <c r="H38" i="3"/>
  <c r="H39" i="3"/>
  <c r="H59" i="3"/>
  <c r="H65" i="3"/>
  <c r="H66" i="3"/>
  <c r="H79" i="3"/>
  <c r="H80" i="3"/>
  <c r="H89" i="3"/>
  <c r="H91" i="3"/>
  <c r="H101" i="3"/>
  <c r="H110" i="3"/>
  <c r="H124" i="3"/>
  <c r="H142" i="3"/>
  <c r="S53" i="3"/>
  <c r="X53" i="3" s="1"/>
  <c r="K456" i="2" s="1"/>
  <c r="H456" i="2"/>
  <c r="I326" i="2"/>
  <c r="I328" i="2" s="1"/>
  <c r="I329" i="2" s="1"/>
  <c r="H67" i="3"/>
  <c r="H84" i="3"/>
  <c r="H106" i="3"/>
  <c r="H118" i="3"/>
  <c r="H156" i="2"/>
  <c r="H157" i="2" s="1"/>
  <c r="H158" i="2" s="1"/>
  <c r="H34" i="3"/>
  <c r="B228" i="1"/>
  <c r="G228" i="1" s="1"/>
  <c r="K396" i="2"/>
  <c r="H396" i="2"/>
  <c r="H45" i="3"/>
  <c r="H49" i="3"/>
  <c r="H50" i="3"/>
  <c r="H108" i="3"/>
  <c r="H112" i="3"/>
  <c r="H126" i="3"/>
  <c r="H134" i="3"/>
  <c r="H311" i="2"/>
  <c r="H450" i="2"/>
  <c r="H16" i="3"/>
  <c r="H25" i="3"/>
  <c r="H26" i="3"/>
  <c r="H36" i="3"/>
  <c r="H41" i="3"/>
  <c r="H42" i="3"/>
  <c r="H43" i="3"/>
  <c r="H55" i="3"/>
  <c r="H61" i="3"/>
  <c r="H64" i="3"/>
  <c r="H69" i="3"/>
  <c r="H72" i="3"/>
  <c r="H88" i="3"/>
  <c r="H92" i="3"/>
  <c r="H96" i="3"/>
  <c r="H100" i="3"/>
  <c r="H114" i="3"/>
  <c r="H144" i="3"/>
  <c r="H146" i="3"/>
  <c r="H77" i="3"/>
  <c r="H105" i="3"/>
  <c r="H107" i="3"/>
  <c r="H127" i="3"/>
  <c r="H135" i="3"/>
  <c r="I5" i="1"/>
  <c r="J5" i="1"/>
  <c r="G5" i="1"/>
  <c r="H5" i="1"/>
  <c r="G400" i="2"/>
  <c r="B268" i="1"/>
  <c r="G268" i="1" s="1"/>
  <c r="H424" i="2"/>
  <c r="S30" i="3"/>
  <c r="X30" i="3" s="1"/>
  <c r="K424" i="2" s="1"/>
  <c r="P234" i="3"/>
  <c r="R236" i="3"/>
  <c r="R245" i="3" s="1"/>
  <c r="H17" i="3"/>
  <c r="K326" i="2"/>
  <c r="H326" i="2"/>
  <c r="H328" i="2" s="1"/>
  <c r="H329" i="2" s="1"/>
  <c r="H395" i="2"/>
  <c r="S26" i="3"/>
  <c r="X26" i="3" s="1"/>
  <c r="K395" i="2" s="1"/>
  <c r="H420" i="2"/>
  <c r="S16" i="3"/>
  <c r="X16" i="3" s="1"/>
  <c r="K420" i="2" s="1"/>
  <c r="H399" i="2"/>
  <c r="S23" i="3"/>
  <c r="X23" i="3" s="1"/>
  <c r="K399" i="2" s="1"/>
  <c r="H14" i="3"/>
  <c r="H454" i="2"/>
  <c r="S19" i="3"/>
  <c r="X19" i="3" s="1"/>
  <c r="K454" i="2" s="1"/>
  <c r="H35" i="3"/>
  <c r="I450" i="2"/>
  <c r="M8" i="3"/>
  <c r="S15" i="3"/>
  <c r="S54" i="3"/>
  <c r="X54" i="3" s="1"/>
  <c r="K457" i="2" s="1"/>
  <c r="S236" i="3"/>
  <c r="S245" i="3" s="1"/>
  <c r="L8" i="3"/>
  <c r="S14" i="3"/>
  <c r="H85" i="3"/>
  <c r="H90" i="3"/>
  <c r="H94" i="3"/>
  <c r="H98" i="3"/>
  <c r="H102" i="3"/>
  <c r="H128" i="3"/>
  <c r="H132" i="3"/>
  <c r="H136" i="3"/>
  <c r="O208" i="3"/>
  <c r="K57" i="7" l="1"/>
  <c r="V199" i="3"/>
  <c r="V229" i="3" s="1"/>
  <c r="S199" i="3"/>
  <c r="P236" i="3"/>
  <c r="P245" i="3" s="1"/>
  <c r="Q236" i="3"/>
  <c r="G401" i="2"/>
  <c r="G402" i="2" s="1"/>
  <c r="M229" i="5"/>
  <c r="I229" i="5"/>
  <c r="F229" i="5"/>
  <c r="E229" i="5"/>
  <c r="G229" i="5"/>
  <c r="C283" i="1"/>
  <c r="H283" i="1" s="1"/>
  <c r="H289" i="1" s="1"/>
  <c r="H78" i="2"/>
  <c r="H79" i="2" s="1"/>
  <c r="H40" i="3"/>
  <c r="D283" i="1"/>
  <c r="I283" i="1" s="1"/>
  <c r="I289" i="1" s="1"/>
  <c r="B283" i="1"/>
  <c r="G283" i="1" s="1"/>
  <c r="G289" i="1" s="1"/>
  <c r="S8" i="3"/>
  <c r="V233" i="3"/>
  <c r="I458" i="2"/>
  <c r="I459" i="2" s="1"/>
  <c r="G458" i="2"/>
  <c r="G459" i="2" s="1"/>
  <c r="I401" i="2"/>
  <c r="I402" i="2" s="1"/>
  <c r="H401" i="2"/>
  <c r="H402" i="2" s="1"/>
  <c r="H458" i="2"/>
  <c r="H459" i="2" s="1"/>
  <c r="X14" i="3"/>
  <c r="AJ15" i="3"/>
  <c r="X15" i="3"/>
  <c r="K450" i="2" s="1"/>
  <c r="S208" i="3"/>
  <c r="Q238" i="3" s="1"/>
  <c r="G472" i="2" l="1"/>
  <c r="I472" i="2"/>
  <c r="C289" i="1"/>
  <c r="B289" i="1"/>
  <c r="D289" i="1"/>
  <c r="G471" i="2"/>
  <c r="I471" i="2"/>
  <c r="L229" i="3"/>
  <c r="Q245" i="3"/>
  <c r="T236" i="3"/>
  <c r="T245" i="3" s="1"/>
  <c r="H472" i="2"/>
  <c r="H471" i="2"/>
  <c r="V234" i="3"/>
  <c r="K260" i="2"/>
  <c r="X208" i="3"/>
  <c r="E268" i="1"/>
  <c r="C291" i="1" l="1"/>
  <c r="V238" i="3"/>
  <c r="V245" i="3" s="1"/>
  <c r="X229" i="3"/>
  <c r="D291" i="1"/>
  <c r="J268" i="1"/>
  <c r="J289" i="1" s="1"/>
  <c r="E289" i="1"/>
</calcChain>
</file>

<file path=xl/sharedStrings.xml><?xml version="1.0" encoding="utf-8"?>
<sst xmlns="http://schemas.openxmlformats.org/spreadsheetml/2006/main" count="4732" uniqueCount="1852">
  <si>
    <t>UNION COMMERCIAL BANK PLC.</t>
  </si>
  <si>
    <t>No</t>
  </si>
  <si>
    <t>Customer's Name</t>
  </si>
  <si>
    <t>Credit Line</t>
  </si>
  <si>
    <t>Principal Paid</t>
  </si>
  <si>
    <t>Interest Paid</t>
  </si>
  <si>
    <t>Int. in Arreas</t>
  </si>
  <si>
    <t>O/S Balance</t>
  </si>
  <si>
    <t>Started date</t>
  </si>
  <si>
    <t>Maturity Date</t>
  </si>
  <si>
    <t>Remarks :</t>
  </si>
  <si>
    <t>Stand-L-Bank Employee-RT-USD</t>
  </si>
  <si>
    <t>Sub Total :</t>
  </si>
  <si>
    <t>Stand-L-REML-PS-RT-USD</t>
  </si>
  <si>
    <t>Stand-L-OCL-Indi-RT-USD</t>
  </si>
  <si>
    <t>Stand-L-Short-T-Comm-L-PS-RT-US</t>
  </si>
  <si>
    <t>Stand-L-Other-Long-T-L-PS-RT-USD</t>
  </si>
  <si>
    <t>Note :</t>
  </si>
  <si>
    <t>1-</t>
  </si>
  <si>
    <t>Prepared by:</t>
  </si>
  <si>
    <t>Verified by:</t>
  </si>
  <si>
    <t>Approved by:</t>
  </si>
  <si>
    <t>2-</t>
  </si>
  <si>
    <t>3-</t>
  </si>
  <si>
    <t>4-</t>
  </si>
  <si>
    <t>5-</t>
  </si>
  <si>
    <t>No.</t>
  </si>
  <si>
    <t>A/C No.</t>
  </si>
  <si>
    <t>O/D Limit</t>
  </si>
  <si>
    <t>Start Date</t>
  </si>
  <si>
    <t>Remarks</t>
  </si>
  <si>
    <t>Debit Balance</t>
  </si>
  <si>
    <t>Credit Balance</t>
  </si>
  <si>
    <t>N/A</t>
  </si>
  <si>
    <t>Total :</t>
  </si>
  <si>
    <t>Prepared by</t>
  </si>
  <si>
    <t>Approved by</t>
  </si>
  <si>
    <t>UNION COMMERCIAL BANK PLC</t>
  </si>
  <si>
    <t>List of Provision Accounts</t>
  </si>
  <si>
    <t>A/C Name</t>
  </si>
  <si>
    <t>Provision %</t>
  </si>
  <si>
    <t>Provision Amount</t>
  </si>
  <si>
    <t>Collateral</t>
  </si>
  <si>
    <t>Term Loan :</t>
  </si>
  <si>
    <t>Started Date</t>
  </si>
  <si>
    <t>Int in Arrears</t>
  </si>
  <si>
    <t>Transferred Date</t>
  </si>
  <si>
    <t>Collateral Value</t>
  </si>
  <si>
    <t>Prepared by :</t>
  </si>
  <si>
    <t>Verified by :</t>
  </si>
  <si>
    <t>Approved by :</t>
  </si>
  <si>
    <t>Total</t>
  </si>
  <si>
    <t>Start date</t>
  </si>
  <si>
    <t>Address</t>
  </si>
  <si>
    <t>Business Type</t>
  </si>
  <si>
    <t>Duration</t>
  </si>
  <si>
    <t>Int Rate</t>
  </si>
  <si>
    <t>C/L (USD)</t>
  </si>
  <si>
    <t>O/S (USD)</t>
  </si>
  <si>
    <t>Interest Paid.</t>
  </si>
  <si>
    <t>Provision Rate</t>
  </si>
  <si>
    <t xml:space="preserve">Provision </t>
  </si>
  <si>
    <t>Type of collateral</t>
  </si>
  <si>
    <t>TitleDeed No.</t>
  </si>
  <si>
    <t>Colla. Value</t>
  </si>
  <si>
    <t>Secured</t>
  </si>
  <si>
    <t>O/D</t>
  </si>
  <si>
    <t>Y</t>
  </si>
  <si>
    <t>TOTAL :</t>
  </si>
  <si>
    <t>I- Specific Provision :</t>
  </si>
  <si>
    <t>Sub-Standard</t>
  </si>
  <si>
    <t>Credit Limit</t>
  </si>
  <si>
    <t>Int. paid</t>
  </si>
  <si>
    <t>Provision rate</t>
  </si>
  <si>
    <t>Provision</t>
  </si>
  <si>
    <t>Sub-Total (A) :</t>
  </si>
  <si>
    <t>Doubtful Debt</t>
  </si>
  <si>
    <t>O/S balance</t>
  </si>
  <si>
    <t xml:space="preserve"> Int. in arrears</t>
  </si>
  <si>
    <t>I-</t>
  </si>
  <si>
    <t>II-</t>
  </si>
  <si>
    <t>III-</t>
  </si>
  <si>
    <t>Sub-Loan</t>
  </si>
  <si>
    <t>IV-</t>
  </si>
  <si>
    <t>Doubt full</t>
  </si>
  <si>
    <t>V-</t>
  </si>
  <si>
    <t>Loss</t>
  </si>
  <si>
    <t>VI-</t>
  </si>
  <si>
    <t>LOSS ACCOUNTS REPORT</t>
  </si>
  <si>
    <t xml:space="preserve"> UNION COMMERCIAL BANK PLC</t>
  </si>
  <si>
    <t>Overdraft :</t>
  </si>
  <si>
    <t>Write-Off Date</t>
  </si>
  <si>
    <t>Sub-Total (I)</t>
  </si>
  <si>
    <t>Write Off Date</t>
  </si>
  <si>
    <t>Type of Collateral</t>
  </si>
  <si>
    <t>Sub-Total (II)</t>
  </si>
  <si>
    <t>Grand Total</t>
  </si>
  <si>
    <t>-</t>
  </si>
  <si>
    <t>CLASSIFIED BY INDUSTRIES</t>
  </si>
  <si>
    <t>(USD)</t>
  </si>
  <si>
    <t>(KHR' MILLION)</t>
  </si>
  <si>
    <t>USD 1 =</t>
  </si>
  <si>
    <t xml:space="preserve">                                                                  By Ownership
By Industries</t>
  </si>
  <si>
    <t>Total Accrued Interest</t>
  </si>
  <si>
    <t>Specific Provision</t>
  </si>
  <si>
    <t>1.2.1- Commercial Banks</t>
  </si>
  <si>
    <t>1.2.2- Depository Microfinance Institutions</t>
  </si>
  <si>
    <t>1.2.3- Other Depository Institutions</t>
  </si>
  <si>
    <t>1.3.1- Specialized Banks</t>
  </si>
  <si>
    <t>1.3.2- Licensed Microfinance Institutions</t>
  </si>
  <si>
    <t>1.3.3- Life Insurance</t>
  </si>
  <si>
    <t>1.3.4- General Insurance</t>
  </si>
  <si>
    <t>1.3.5- Pension Funds</t>
  </si>
  <si>
    <t>1.3.6- Stock Exchange and Stockbrokers</t>
  </si>
  <si>
    <t>1.3.7- Other Financial Institutions, not listed above</t>
  </si>
  <si>
    <t>2.1.1- Agriculture</t>
  </si>
  <si>
    <t>2.1.2- Forestry</t>
  </si>
  <si>
    <t>2.1.3- Fishing</t>
  </si>
  <si>
    <t>2.2- Mining and Quarrying</t>
  </si>
  <si>
    <t>2.3.1- Food Products Manufacturing</t>
  </si>
  <si>
    <t>2.3.2- Beverage and Tobacco Manufacturing</t>
  </si>
  <si>
    <t>2.3.3- Textile, Wearing Apparel and Leather Products Manufacturing</t>
  </si>
  <si>
    <t>2.3.4- Wood Products and Paper Manufacturing</t>
  </si>
  <si>
    <t>2.3.5- Printing</t>
  </si>
  <si>
    <t>2.3.6- Petroleum, Coal, Chemical, Polymer and Rubber Manufacturing</t>
  </si>
  <si>
    <t>2.3.7- Non-Metallic Minerals Manufacturing</t>
  </si>
  <si>
    <t>2.3.8- Metal and Metal Products Manufacturing</t>
  </si>
  <si>
    <t>2.3.9- Transport Equipment Manufacturing</t>
  </si>
  <si>
    <t>2.3.10- Machinery and Equipment Manufacturing</t>
  </si>
  <si>
    <t>2.3.11- Furniture and Other Manufacturing</t>
  </si>
  <si>
    <t>2.4.1- Electricity</t>
  </si>
  <si>
    <t>2.4.2- Gas</t>
  </si>
  <si>
    <t>2.4.3- Water, Sewerage and Drainage</t>
  </si>
  <si>
    <t>2.4.4- Waste Collection, Treatment and Disposal</t>
  </si>
  <si>
    <t xml:space="preserve">2.5.1- Property Development: Industrial </t>
  </si>
  <si>
    <t>2.5.2- Property Development: Commercial</t>
  </si>
  <si>
    <t>2.5.3- Property Development: Tourism related</t>
  </si>
  <si>
    <t>2.5.4- Property Development: Residential</t>
  </si>
  <si>
    <t>2.5.5- Property Development: Others</t>
  </si>
  <si>
    <t>2.5.6- Heavy Construction</t>
  </si>
  <si>
    <t>2.5.7- Land Management</t>
  </si>
  <si>
    <t>2.5.8- Other Construction</t>
  </si>
  <si>
    <t>2.6.1- Wholesale - Import</t>
  </si>
  <si>
    <t>2.6.2- Wholesale - Export</t>
  </si>
  <si>
    <t xml:space="preserve">2.6.3- Wholesale - Others </t>
  </si>
  <si>
    <t>2.7- Retail Trade</t>
  </si>
  <si>
    <t>2.8- Hotels and Restaurants</t>
  </si>
  <si>
    <t>2.9- Transport and Storage</t>
  </si>
  <si>
    <t>2.10- Information Media and Telecommunications</t>
  </si>
  <si>
    <t>2.11- Rental and Operational Leasing Activities, excluded Real Estate Leasing and Rentals</t>
  </si>
  <si>
    <t>2.12.1- Real Estate Operation: Industrial</t>
  </si>
  <si>
    <t>2.12.2- Real Estate Operation: Commercial</t>
  </si>
  <si>
    <t>2.12.3- Real Estate Operation: Tourism Related</t>
  </si>
  <si>
    <t>2.12.4- Real Estate Operation: Residential</t>
  </si>
  <si>
    <t>2.12.5- Real Estate Operation: Others</t>
  </si>
  <si>
    <t>2.12.6- Real Estate Service Providers for a fee (i.e. Real Estate Agents and Similar Activities)</t>
  </si>
  <si>
    <t>2.13- Other Non-Financial Services</t>
  </si>
  <si>
    <t>3.1.1- Secured, excluded Mortgages to purchase owner-occupied housing</t>
  </si>
  <si>
    <t>3.1.2- Unsecured</t>
  </si>
  <si>
    <t>3.2- Credit Cards</t>
  </si>
  <si>
    <t>3.3- Mortgages, Owner-Occupied Housing only</t>
  </si>
  <si>
    <t>4- Other Lending</t>
  </si>
  <si>
    <t>OUTSTANDING</t>
  </si>
  <si>
    <t>1.2.1- Commercial Banks-CORP</t>
  </si>
  <si>
    <t>1.2.1- Commercial Banks-PART</t>
  </si>
  <si>
    <t>1.2.1- Commercial Banks-SOLE</t>
  </si>
  <si>
    <t>1.2.1- Commercial Banks-HOUSE</t>
  </si>
  <si>
    <t>1.2.2- Depository Microfinance Institutions-CORP</t>
  </si>
  <si>
    <t>1.2.2- Depository Microfinance Institutions-PART</t>
  </si>
  <si>
    <t>1.2.2- Depository Microfinance Institutions-SOLE</t>
  </si>
  <si>
    <t>1.2.2- Depository Microfinance Institutions-HOUSE</t>
  </si>
  <si>
    <t>1.2.3- Other Depository Institutions-CORP</t>
  </si>
  <si>
    <t>1.2.3- Other Depository Institutions-PART</t>
  </si>
  <si>
    <t>1.2.3- Other Depository Institutions-SOLE</t>
  </si>
  <si>
    <t>1.2.3- Other Depository Institutions-HOUSE</t>
  </si>
  <si>
    <t>1.3.1- Specialized Banks-CORP</t>
  </si>
  <si>
    <t>1.3.1- Specialized Banks-PART</t>
  </si>
  <si>
    <t>1.3.1- Specialized Banks-SOLE</t>
  </si>
  <si>
    <t>1.3.1- Specialized Banks-HOUSE</t>
  </si>
  <si>
    <t>1.3.2- Licensed Microfinance Institutions-CORP</t>
  </si>
  <si>
    <t>1.3.2- Licensed Microfinance Institutions-PART</t>
  </si>
  <si>
    <t>1.3.2- Licensed Microfinance Institutions-SOLE</t>
  </si>
  <si>
    <t>1.3.2- Licensed Microfinance Institutions-HOUSE</t>
  </si>
  <si>
    <t>1.3.3- Life Insurance-CORP</t>
  </si>
  <si>
    <t>1.3.3- Life Insurance-PART</t>
  </si>
  <si>
    <t>1.3.3- Life Insurance-SOLE</t>
  </si>
  <si>
    <t>1.3.3- Life Insurance-HOUSE</t>
  </si>
  <si>
    <t>1.3.4- General Insurance-CORP</t>
  </si>
  <si>
    <t>1.3.4- General Insurance-PART</t>
  </si>
  <si>
    <t>1.3.4- General Insurance-SOLE</t>
  </si>
  <si>
    <t>1.3.4- General Insurance-HOUSE</t>
  </si>
  <si>
    <t>1.3.5- Pension Funds-CORP</t>
  </si>
  <si>
    <t>1.3.5- Pension Funds-PART</t>
  </si>
  <si>
    <t>1.3.5- Pension Funds-SOLE</t>
  </si>
  <si>
    <t>1.3.5- Pension Funds-HOUSE</t>
  </si>
  <si>
    <t>1.3.6- Stock Exchange and Stockbrokers-CORP</t>
  </si>
  <si>
    <t>1.3.6- Stock Exchange and Stockbrokers-PART</t>
  </si>
  <si>
    <t>1.3.6- Stock Exchange and Stockbrokers-SOLE</t>
  </si>
  <si>
    <t>1.3.6- Stock Exchange and Stockbrokers-HOUSE</t>
  </si>
  <si>
    <t>1.3.7- Other Financial Institutions, not listed above-CORP</t>
  </si>
  <si>
    <t>1.3.7- Other Financial Institutions, not listed above-PART</t>
  </si>
  <si>
    <t>1.3.7- Other Financial Institutions, not listed above-SOLE</t>
  </si>
  <si>
    <t>1.3.7- Other Financial Institutions, not listed above-HOUSE</t>
  </si>
  <si>
    <t>2.1.1- Agriculture-CORP</t>
  </si>
  <si>
    <t>2.1.1- Agriculture-PART</t>
  </si>
  <si>
    <t>2.1.1- Agriculture-SOLE</t>
  </si>
  <si>
    <t>2.1.1- Agriculture-HOUSE</t>
  </si>
  <si>
    <t>2.1.2- Forestry-CORP</t>
  </si>
  <si>
    <t>2.1.2- Forestry-PART</t>
  </si>
  <si>
    <t>2.1.2- Forestry-SOLE</t>
  </si>
  <si>
    <t>2.1.2- Forestry-HOUSE</t>
  </si>
  <si>
    <t>2.1.3- Fishing-CORP</t>
  </si>
  <si>
    <t>2.1.3- Fishing-PART</t>
  </si>
  <si>
    <t>2.1.3- Fishing-SOLE</t>
  </si>
  <si>
    <t>2.1.3- Fishing-HOUSE</t>
  </si>
  <si>
    <t>2.2- Mining and Quarrying-CORP</t>
  </si>
  <si>
    <t>2.2- Mining and Quarrying-PART</t>
  </si>
  <si>
    <t>2.2- Mining and Quarrying-SOLE</t>
  </si>
  <si>
    <t>2.2- Mining and Quarrying-HOUSE</t>
  </si>
  <si>
    <t>2.3.1- Food Products Manufacturing-CORP</t>
  </si>
  <si>
    <t>2.3.1- Food Products Manufacturing-PART</t>
  </si>
  <si>
    <t>2.3.1- Food Products Manufacturing-SOLE</t>
  </si>
  <si>
    <t>2.3.1- Food Products Manufacturing-HOUSE</t>
  </si>
  <si>
    <t>2.3.2- Beverage and Tobacco Manufacturing-CORP</t>
  </si>
  <si>
    <t>2.3.2- Beverage and Tobacco Manufacturing-PART</t>
  </si>
  <si>
    <t>2.3.2- Beverage and Tobacco Manufacturing-SOLE</t>
  </si>
  <si>
    <t>2.3.2- Beverage and Tobacco Manufacturing-HOUSE</t>
  </si>
  <si>
    <t>2.3.3- Textile, Wearing Apparel and Leather Products Manufacturing-CORP</t>
  </si>
  <si>
    <t>2.3.3- Textile, Wearing Apparel and Leather Products Manufacturing-PART</t>
  </si>
  <si>
    <t>2.3.3- Textile, Wearing Apparel and Leather Products Manufacturing-SOLE</t>
  </si>
  <si>
    <t>2.3.3- Textile, Wearing Apparel and Leather Products Manufacturing-HOUSE</t>
  </si>
  <si>
    <t>2.3.4- Wood Products and Paper Manufacturing-CORP</t>
  </si>
  <si>
    <t>2.3.4- Wood Products and Paper Manufacturing-PART</t>
  </si>
  <si>
    <t>2.3.4- Wood Products and Paper Manufacturing-SOLE</t>
  </si>
  <si>
    <t>2.3.4- Wood Products and Paper Manufacturing-HOUSE</t>
  </si>
  <si>
    <t>2.3.5- Printing-CORP</t>
  </si>
  <si>
    <t>2.3.5- Printing-PART</t>
  </si>
  <si>
    <t>2.3.5- Printing-SOLE</t>
  </si>
  <si>
    <t>2.3.5- Printing-HOUSE</t>
  </si>
  <si>
    <t>2.3.6- Petroleum, Coal, Chemical, Polymer and Rubber Manufacturing-CORP</t>
  </si>
  <si>
    <t>2.3.6- Petroleum, Coal, Chemical, Polymer and Rubber Manufacturing-PART</t>
  </si>
  <si>
    <t>2.3.6- Petroleum, Coal, Chemical, Polymer and Rubber Manufacturing-SOLE</t>
  </si>
  <si>
    <t>2.3.6- Petroleum, Coal, Chemical, Polymer and Rubber Manufacturing-HOUSE</t>
  </si>
  <si>
    <t>2.3.7- Non-Metallic Minerals Manufacturing-CORP</t>
  </si>
  <si>
    <t>2.3.7- Non-Metallic Minerals Manufacturing-PART</t>
  </si>
  <si>
    <t>2.3.7- Non-Metallic Minerals Manufacturing-SOLE</t>
  </si>
  <si>
    <t>2.3.7- Non-Metallic Minerals Manufacturing-HOUSE</t>
  </si>
  <si>
    <t>2.3.8- Metal and Metal Products Manufacturing-CORP</t>
  </si>
  <si>
    <t>2.3.8- Metal and Metal Products Manufacturing-PART</t>
  </si>
  <si>
    <t>2.3.8- Metal and Metal Products Manufacturing-SOLE</t>
  </si>
  <si>
    <t>2.3.8- Metal and Metal Products Manufacturing-HOUSE</t>
  </si>
  <si>
    <t>2.3.9- Transport Equipment Manufacturing-CORP</t>
  </si>
  <si>
    <t>2.3.9- Transport Equipment Manufacturing-PART</t>
  </si>
  <si>
    <t>2.3.9- Transport Equipment Manufacturing-SOLE</t>
  </si>
  <si>
    <t>2.3.9- Transport Equipment Manufacturing-HOUSE</t>
  </si>
  <si>
    <t>2.3.10- Machinery and Equipment Manufacturing-CORP</t>
  </si>
  <si>
    <t>2.3.10- Machinery and Equipment Manufacturing-PART</t>
  </si>
  <si>
    <t>2.3.10- Machinery and Equipment Manufacturing-SOLE</t>
  </si>
  <si>
    <t>2.3.10- Machinery and Equipment Manufacturing-HOUSE</t>
  </si>
  <si>
    <t>2.3.11- Furniture and Other Manufacturing-CORP</t>
  </si>
  <si>
    <t>2.3.11- Furniture and Other Manufacturing-PART</t>
  </si>
  <si>
    <t>2.3.11- Furniture and Other Manufacturing-SOLE</t>
  </si>
  <si>
    <t>2.3.11- Furniture and Other Manufacturing-HOUSE</t>
  </si>
  <si>
    <t>2.4.1- Electricity-CORP</t>
  </si>
  <si>
    <t>2.4.1- Electricity-PART</t>
  </si>
  <si>
    <t>2.4.1- Electricity-SOLE</t>
  </si>
  <si>
    <t>2.4.1- Electricity-HOUSE</t>
  </si>
  <si>
    <t>2.4.2- Gas-CORP</t>
  </si>
  <si>
    <t>2.4.2- Gas-PART</t>
  </si>
  <si>
    <t>2.4.2- Gas-SOLE</t>
  </si>
  <si>
    <t>2.4.2- Gas-HOUSE</t>
  </si>
  <si>
    <t>2.4.3- Water, Sewerage and Drainage-CORP</t>
  </si>
  <si>
    <t>2.4.3- Water, Sewerage and Drainage-PART</t>
  </si>
  <si>
    <t>2.4.3- Water, Sewerage and Drainage-SOLE</t>
  </si>
  <si>
    <t>2.4.3- Water, Sewerage and Drainage-HOUSE</t>
  </si>
  <si>
    <t>2.4.4- Waste Collection, Treatment and Disposal-CORP</t>
  </si>
  <si>
    <t>2.4.4- Waste Collection, Treatment and Disposal-PART</t>
  </si>
  <si>
    <t>2.4.4- Waste Collection, Treatment and Disposal-SOLE</t>
  </si>
  <si>
    <t>2.4.4- Waste Collection, Treatment and Disposal-HOUSE</t>
  </si>
  <si>
    <t>2.5.1- Property Development: Industrial-CORP</t>
  </si>
  <si>
    <t>2.5.1- Property Development: Industrial-PART</t>
  </si>
  <si>
    <t>2.5.1- Property Development: Industrial-SOLE</t>
  </si>
  <si>
    <t>2.5.1- Property Development: Industrial-HOUSE</t>
  </si>
  <si>
    <t>2.5.2- Property Development: Commercial-CORP</t>
  </si>
  <si>
    <t>2.5.2- Property Development: Commercial-PART</t>
  </si>
  <si>
    <t>2.5.2- Property Development: Commercial-SOLE</t>
  </si>
  <si>
    <t>2.5.2- Property Development: Commercial-HOUSE</t>
  </si>
  <si>
    <t>2.5.3- Property Development: Tourism related-CORP</t>
  </si>
  <si>
    <t>2.5.3- Property Development: Tourism related-PART</t>
  </si>
  <si>
    <t>2.5.3- Property Development: Tourism related-SOLE</t>
  </si>
  <si>
    <t>2.5.3- Property Development: Tourism related-HOUSE</t>
  </si>
  <si>
    <t>2.5.4- Property Development: Residential-CORP</t>
  </si>
  <si>
    <t>2.5.4- Property Development: Residential-PART</t>
  </si>
  <si>
    <t>2.5.4- Property Development: Residential-SOLE</t>
  </si>
  <si>
    <t>2.5.4- Property Development: Residential-HOUSE</t>
  </si>
  <si>
    <t>2.5.5- Property Development: Others-CORP</t>
  </si>
  <si>
    <t>2.5.5- Property Development: Others-PART</t>
  </si>
  <si>
    <t>2.5.5- Property Development: Others-SOLE</t>
  </si>
  <si>
    <t>2.5.5- Property Development: Others-HOUSE</t>
  </si>
  <si>
    <t>2.5.6- Heavy Construction-CORP</t>
  </si>
  <si>
    <t>2.5.6- Heavy Construction-PART</t>
  </si>
  <si>
    <t>2.5.6- Heavy Construction-SOLE</t>
  </si>
  <si>
    <t>2.5.6- Heavy Construction-HOUSE</t>
  </si>
  <si>
    <t>2.5.7- Land Management-CORP</t>
  </si>
  <si>
    <t>2.5.7- Land Management-PART</t>
  </si>
  <si>
    <t>2.5.7- Land Management-SOLE</t>
  </si>
  <si>
    <t>2.5.7- Land Management-HOUSE</t>
  </si>
  <si>
    <t>2.5.8- Other Construction-CORP</t>
  </si>
  <si>
    <t>2.5.8- Other Construction-PART</t>
  </si>
  <si>
    <t>2.5.8- Other Construction-SOLE</t>
  </si>
  <si>
    <t>2.5.8- Other Construction-HOUSE</t>
  </si>
  <si>
    <t>2.6.1- Wholesale - Import-CORP</t>
  </si>
  <si>
    <t>2.6.1- Wholesale - Import-PART</t>
  </si>
  <si>
    <t>2.6.1- Wholesale - Import-SOLE</t>
  </si>
  <si>
    <t>2.6.1- Wholesale - Import-HOUSE</t>
  </si>
  <si>
    <t>2.6.2- Wholesale - Export-CORP</t>
  </si>
  <si>
    <t>2.6.2- Wholesale - Export-PART</t>
  </si>
  <si>
    <t>2.6.2- Wholesale - Export-SOLE</t>
  </si>
  <si>
    <t>2.6.2- Wholesale - Export-HOUSE</t>
  </si>
  <si>
    <t>2.6.3- Wholesale - Others-HOUSE</t>
  </si>
  <si>
    <t>2.6.3- Wholesale - Others-CORP</t>
  </si>
  <si>
    <t>2.6.3- Wholesale - Others-PART</t>
  </si>
  <si>
    <t>2.6.3- Wholesale - Others-SOLE</t>
  </si>
  <si>
    <t>2.7- Retail Trade-CORP</t>
  </si>
  <si>
    <t>2.7- Retail Trade-PART</t>
  </si>
  <si>
    <t>2.7- Retail Trade-SOLE</t>
  </si>
  <si>
    <t>2.7- Retail Trade-HOUSE</t>
  </si>
  <si>
    <t>2.8- Hotels and Restaurants-CORP</t>
  </si>
  <si>
    <t>2.8- Hotels and Restaurants-PART</t>
  </si>
  <si>
    <t>2.8- Hotels and Restaurants-SOLE</t>
  </si>
  <si>
    <t>2.8- Hotels and Restaurants-HOUSE</t>
  </si>
  <si>
    <t>2.9- Transport and Storage-CORP</t>
  </si>
  <si>
    <t>2.9- Transport and Storage-PART</t>
  </si>
  <si>
    <t>2.9- Transport and Storage-SOLE</t>
  </si>
  <si>
    <t>2.9- Transport and Storage-HOUSE</t>
  </si>
  <si>
    <t>2.10- Information Media and Telecommunications-CORP</t>
  </si>
  <si>
    <t>2.10- Information Media and Telecommunications-PART</t>
  </si>
  <si>
    <t>2.10- Information Media and Telecommunications-SOLE</t>
  </si>
  <si>
    <t>2.10- Information Media and Telecommunications-HOUSE</t>
  </si>
  <si>
    <t>2.11- Rental and Operational Leasing Activities, excluded Real Estate Leasing and Rentals-CORP</t>
  </si>
  <si>
    <t>2.11- Rental and Operational Leasing Activities, excluded Real Estate Leasing and Rentals-PART</t>
  </si>
  <si>
    <t>2.11- Rental and Operational Leasing Activities, excluded Real Estate Leasing and Rentals-SOLE</t>
  </si>
  <si>
    <t>2.11- Rental and Operational Leasing Activities, excluded Real Estate Leasing and Rentals-HOUSE</t>
  </si>
  <si>
    <t>2.12.1- Real Estate Operation: Industrial-CORP</t>
  </si>
  <si>
    <t>2.12.1- Real Estate Operation: Industrial-PART</t>
  </si>
  <si>
    <t>2.12.1- Real Estate Operation: Industrial-SOLE</t>
  </si>
  <si>
    <t>2.12.1- Real Estate Operation: Industrial-HOUSE</t>
  </si>
  <si>
    <t>2.12.2- Real Estate Operation: Commercial-CORP</t>
  </si>
  <si>
    <t>2.12.2- Real Estate Operation: Commercial-PART</t>
  </si>
  <si>
    <t>2.12.2- Real Estate Operation: Commercial-SOLE</t>
  </si>
  <si>
    <t>2.12.2- Real Estate Operation: Commercial-HOUSE</t>
  </si>
  <si>
    <t>2.12.3- Real Estate Operation: Tourism Related-CORP</t>
  </si>
  <si>
    <t>2.12.3- Real Estate Operation: Tourism Related-PART</t>
  </si>
  <si>
    <t>2.12.3- Real Estate Operation: Tourism Related-SOLE</t>
  </si>
  <si>
    <t>2.12.3- Real Estate Operation: Tourism Related-HOUSE</t>
  </si>
  <si>
    <t>2.12.4- Real Estate Operation: Residential-CORP</t>
  </si>
  <si>
    <t>2.12.4- Real Estate Operation: Residential-PART</t>
  </si>
  <si>
    <t>2.12.4- Real Estate Operation: Residential-SOLE</t>
  </si>
  <si>
    <t>2.12.4- Real Estate Operation: Residential-HOUSE</t>
  </si>
  <si>
    <t>2.12.5- Real Estate Operation: Others-CORP</t>
  </si>
  <si>
    <t>2.12.5- Real Estate Operation: Others-PART</t>
  </si>
  <si>
    <t>2.12.5- Real Estate Operation: Others-SOLE</t>
  </si>
  <si>
    <t>2.12.5- Real Estate Operation: Others-HOUSE</t>
  </si>
  <si>
    <t>2.12.6- Real Estate Service Providers for a fee (i.e. Real Estate Agents and Similar Activities)-CORP</t>
  </si>
  <si>
    <t>2.12.6- Real Estate Service Providers for a fee (i.e. Real Estate Agents and Similar Activities)-PART</t>
  </si>
  <si>
    <t>2.12.6- Real Estate Service Providers for a fee (i.e. Real Estate Agents and Similar Activities)-SOLE</t>
  </si>
  <si>
    <t>2.12.6- Real Estate Service Providers for a fee (i.e. Real Estate Agents and Similar Activities)-HOUSE</t>
  </si>
  <si>
    <t>2.13- Other Non-Financial Services-CORP</t>
  </si>
  <si>
    <t>2.13- Other Non-Financial Services-PART</t>
  </si>
  <si>
    <t>2.13- Other Non-Financial Services-SOLE</t>
  </si>
  <si>
    <t>2.13- Other Non-Financial Services-HOUSE</t>
  </si>
  <si>
    <t>3.1.1- Secured, excluded Mortgages to purchase owner-occupied housing-CORP</t>
  </si>
  <si>
    <t>3.1.1- Secured, excluded Mortgages to purchase owner-occupied housing-PART</t>
  </si>
  <si>
    <t>3.1.1- Secured, excluded Mortgages to purchase owner-occupied housing-SOLE</t>
  </si>
  <si>
    <t>3.1.1- Secured, excluded Mortgages to purchase owner-occupied housing-HOUSE</t>
  </si>
  <si>
    <t>3.1.2- Unsecured-CORP</t>
  </si>
  <si>
    <t>3.1.2- Unsecured-PART</t>
  </si>
  <si>
    <t>3.1.2- Unsecured-SOLE</t>
  </si>
  <si>
    <t>3.1.2- Unsecured-HOUSE</t>
  </si>
  <si>
    <t>3.2- Credit Cards-CORP</t>
  </si>
  <si>
    <t>3.2- Credit Cards-PART</t>
  </si>
  <si>
    <t>3.2- Credit Cards-SOLE</t>
  </si>
  <si>
    <t>3.2- Credit Cards-HOUSE</t>
  </si>
  <si>
    <t>3.3- Mortgages, Owner-Occupied Housing only-CORP</t>
  </si>
  <si>
    <t>3.3- Mortgages, Owner-Occupied Housing only-PART</t>
  </si>
  <si>
    <t>3.3- Mortgages, Owner-Occupied Housing only-SOLE</t>
  </si>
  <si>
    <t>3.3- Mortgages, Owner-Occupied Housing only-HOUSE</t>
  </si>
  <si>
    <t>Industries</t>
  </si>
  <si>
    <t>APPROVED LIMIT</t>
  </si>
  <si>
    <t>Accrued Int.</t>
  </si>
  <si>
    <t>Payment Method</t>
  </si>
  <si>
    <t>Month(S)</t>
  </si>
  <si>
    <t>Purpose</t>
  </si>
  <si>
    <t>Credit Type</t>
  </si>
  <si>
    <t>T/L</t>
  </si>
  <si>
    <t>Total:</t>
  </si>
  <si>
    <t>1.1 National Bank of Cambodia (NBC)</t>
  </si>
  <si>
    <t>1.2 Depository Institutions</t>
  </si>
  <si>
    <t>USD</t>
  </si>
  <si>
    <t>KHR</t>
  </si>
  <si>
    <t>Exchange Rate</t>
  </si>
  <si>
    <t xml:space="preserve">   1.2.1 Commercial Banks</t>
  </si>
  <si>
    <t xml:space="preserve">   1.2.2 Depository Microfinance Institutions</t>
  </si>
  <si>
    <t xml:space="preserve">   1.2.3 Other Depository Institutions</t>
  </si>
  <si>
    <t>1.3 Other Financial Institutions</t>
  </si>
  <si>
    <t xml:space="preserve">   1.3.1 Specialized Banks</t>
  </si>
  <si>
    <t xml:space="preserve">   1.3.2 Licensed Microfinance Institutions</t>
  </si>
  <si>
    <t xml:space="preserve">   1.3.3 Life Insurance</t>
  </si>
  <si>
    <t xml:space="preserve">   1.3.4 General Insurance</t>
  </si>
  <si>
    <t xml:space="preserve">   1.3.5 Pension Funds</t>
  </si>
  <si>
    <t xml:space="preserve">   1.3.6 Stock Exchange and Stockbrokers</t>
  </si>
  <si>
    <t xml:space="preserve">   1.3.7 Other Financial Institutions, not listed above</t>
  </si>
  <si>
    <t>Households</t>
  </si>
  <si>
    <t>1- Financial Institutions</t>
  </si>
  <si>
    <t>2- Non-Financial Institutions</t>
  </si>
  <si>
    <t>2.1 Agriculture, Forestry and Fishing</t>
  </si>
  <si>
    <t xml:space="preserve">   2.1.1 Agriculture</t>
  </si>
  <si>
    <t xml:space="preserve">   2.1.2 Forestry</t>
  </si>
  <si>
    <t xml:space="preserve">   2.1.3 Fishing</t>
  </si>
  <si>
    <t>2.2 Mining and Quarrying</t>
  </si>
  <si>
    <t>2.3 Manufacturing</t>
  </si>
  <si>
    <t xml:space="preserve">   2.3.1 Food Products Manufacturing</t>
  </si>
  <si>
    <t>Partnerships</t>
  </si>
  <si>
    <t xml:space="preserve">   2.3.2 Baverage and Tobacco Manufacturing</t>
  </si>
  <si>
    <t xml:space="preserve">   2.3.3 Textile, Wearing Apparel and Leather Products Manufacturing</t>
  </si>
  <si>
    <t>Sole Proprietorships</t>
  </si>
  <si>
    <t xml:space="preserve">   2.3.4 Wood Products and Paper Manufacturing</t>
  </si>
  <si>
    <t xml:space="preserve">   2.3.5 Printing</t>
  </si>
  <si>
    <t xml:space="preserve">   2.3.6 Petroleum, Coal, Chemical, Polymer and Rubber Manufacturing</t>
  </si>
  <si>
    <t xml:space="preserve">   2.3.7 Non-Metallic Minerals Manufacturing</t>
  </si>
  <si>
    <t xml:space="preserve">   2.3.8 Metal and Metal Products Manufacturing</t>
  </si>
  <si>
    <t xml:space="preserve">   2.3.9 Transport Equipment Manufacturing</t>
  </si>
  <si>
    <t xml:space="preserve">   2.3.10 Machinery and Equipment Manufacturing</t>
  </si>
  <si>
    <t xml:space="preserve">   2.3.11 Furniture and Other Manufacturing</t>
  </si>
  <si>
    <t>2.4 Utilities</t>
  </si>
  <si>
    <t xml:space="preserve">   2.4.1 Electricity</t>
  </si>
  <si>
    <t xml:space="preserve">   2.4.2 Gas</t>
  </si>
  <si>
    <t xml:space="preserve">   2.4.3 Water, Sewerage and Drainage</t>
  </si>
  <si>
    <t xml:space="preserve">   2.4.4 Waste Collection, Treatment and Disposal</t>
  </si>
  <si>
    <t>2.5 Construction</t>
  </si>
  <si>
    <t xml:space="preserve">   2.5.1 Property Development: Industrial </t>
  </si>
  <si>
    <t xml:space="preserve">   2.5.2 Property Development: Commercial</t>
  </si>
  <si>
    <t xml:space="preserve">   2.5.3 Property Development: Tourism related</t>
  </si>
  <si>
    <t xml:space="preserve">   2.5.4 Property Development: Residential</t>
  </si>
  <si>
    <t xml:space="preserve">   2.5.5 Property Development: Others</t>
  </si>
  <si>
    <t xml:space="preserve">   2.5.6 Heavy Construction</t>
  </si>
  <si>
    <t xml:space="preserve">   2.5.7 Land Management</t>
  </si>
  <si>
    <t xml:space="preserve">   2.5.8 Other Construction</t>
  </si>
  <si>
    <t>2.6 Wholesale Trade</t>
  </si>
  <si>
    <t>2.7 Retail Trade</t>
  </si>
  <si>
    <t>2.8 Hotel and Restaurants</t>
  </si>
  <si>
    <t>2.9 Transport and Storage</t>
  </si>
  <si>
    <t>2.10 Information Media and Telecommunications</t>
  </si>
  <si>
    <t>2.11 Rental and Operational Leasing Activities, excluded Real Estate Leasing and Rentals</t>
  </si>
  <si>
    <t xml:space="preserve">   2.12.1 Real Estate Operation: Industrial</t>
  </si>
  <si>
    <t>2.12 Real Estate Activities</t>
  </si>
  <si>
    <t xml:space="preserve">   2.12.2 Real Estate Operation: Commercial</t>
  </si>
  <si>
    <t xml:space="preserve">   2.12.3 Real Estate Operation: Tourism Related</t>
  </si>
  <si>
    <t xml:space="preserve">   2.12.4 Real Estate Operation: Residential</t>
  </si>
  <si>
    <t xml:space="preserve">   2.12.5 Real Estate Operation: Others</t>
  </si>
  <si>
    <t xml:space="preserve">   2.12.6 Real Estate Service Providers for a fee (i.e. Real Estate Agents and Similar Activities)</t>
  </si>
  <si>
    <t>2.13 Other Non-Financial Services</t>
  </si>
  <si>
    <t>3- Personal Essentials</t>
  </si>
  <si>
    <t>3.1 Personal Lending</t>
  </si>
  <si>
    <t xml:space="preserve">   3.1.1 Secured, excluded Mortgages to purchase owner-occupied housing</t>
  </si>
  <si>
    <t xml:space="preserve">   3.1.2 Unsecured</t>
  </si>
  <si>
    <t>3.2 Credit Cards</t>
  </si>
  <si>
    <t>3.3 Mortgages, Owner-Occupied Housing only</t>
  </si>
  <si>
    <t xml:space="preserve">   2.6.1 Wholesale Import</t>
  </si>
  <si>
    <t xml:space="preserve">   2.6.2 Wholesale Export</t>
  </si>
  <si>
    <t xml:space="preserve">   2.6.3 Wholesale Other</t>
  </si>
  <si>
    <t xml:space="preserve"> Credit Department :</t>
  </si>
  <si>
    <t>Overdraft:</t>
  </si>
  <si>
    <t>Consumer:</t>
  </si>
  <si>
    <t>Term Loan:</t>
  </si>
  <si>
    <t>Consumer</t>
  </si>
  <si>
    <t>Unsecured:</t>
  </si>
  <si>
    <t>One year or less:</t>
  </si>
  <si>
    <t>Greater than one year</t>
  </si>
  <si>
    <t>Secured:</t>
  </si>
  <si>
    <t>Business:</t>
  </si>
  <si>
    <t>per annum</t>
  </si>
  <si>
    <t>Interest</t>
  </si>
  <si>
    <t>Weigted Average Int. Rate</t>
  </si>
  <si>
    <t>Grand Total:</t>
  </si>
  <si>
    <t>​​​​​​​​​​​​​​​​Total :</t>
  </si>
  <si>
    <t xml:space="preserve">            Prepared by:</t>
  </si>
  <si>
    <t>Combine with OD</t>
  </si>
  <si>
    <t>Partnership</t>
  </si>
  <si>
    <t>4. Other Lending-CORP</t>
  </si>
  <si>
    <t>4. Other Lending-PART</t>
  </si>
  <si>
    <t>4. Other Lending-SOLE</t>
  </si>
  <si>
    <t>4. Other Lending-HOUSE</t>
  </si>
  <si>
    <t>Remark</t>
  </si>
  <si>
    <t>I- General Provision (Stand. Loan 1%) :</t>
  </si>
  <si>
    <t>II- Specific Provision :</t>
  </si>
  <si>
    <t>Total  :</t>
  </si>
  <si>
    <t>Special-mention</t>
  </si>
  <si>
    <t>A- Special Mention Loan</t>
  </si>
  <si>
    <t>B- Sub Standard Loan</t>
  </si>
  <si>
    <t>C- Doubtful Loan</t>
  </si>
  <si>
    <t>D- Loss Loan</t>
  </si>
  <si>
    <t>Middle</t>
  </si>
  <si>
    <t>Personal</t>
  </si>
  <si>
    <t>Other</t>
  </si>
  <si>
    <t>Personal / Company</t>
  </si>
  <si>
    <t>Nationality / Registration</t>
  </si>
  <si>
    <t>Duration Month(S) Day(S)</t>
  </si>
  <si>
    <t xml:space="preserve"> Industrial attribute</t>
  </si>
  <si>
    <t>Secured / Unsecured</t>
  </si>
  <si>
    <t>Risk</t>
  </si>
  <si>
    <t>Cambodian</t>
  </si>
  <si>
    <t>Total O/S</t>
  </si>
  <si>
    <t xml:space="preserve"> </t>
  </si>
  <si>
    <t>Loan</t>
  </si>
  <si>
    <t>O/D  O/S (USD)</t>
  </si>
  <si>
    <t>S/L O/S (USD)</t>
  </si>
  <si>
    <t>T/L  O/S (USD)</t>
  </si>
  <si>
    <t>L/C O/S (USD)</t>
  </si>
  <si>
    <t>D/A OR D/P O/S (USD)</t>
  </si>
  <si>
    <t xml:space="preserve">  B/G O/S (USD)</t>
  </si>
  <si>
    <t>Last payment</t>
  </si>
  <si>
    <t>Payment condition</t>
  </si>
  <si>
    <t>Pay date/Disburse date</t>
  </si>
  <si>
    <t>Amortization</t>
  </si>
  <si>
    <t>Accr.int.</t>
  </si>
  <si>
    <t>Standard-L-REML-Ind-RT-USD</t>
  </si>
  <si>
    <t>III- Bill Department :</t>
  </si>
  <si>
    <t>A- Doubtful Loan (T/R)</t>
  </si>
  <si>
    <t>IV- Card Center Department :</t>
  </si>
  <si>
    <t xml:space="preserve">     - Subtandard Loan</t>
  </si>
  <si>
    <t xml:space="preserve">     - Doubful Loan</t>
  </si>
  <si>
    <t xml:space="preserve">     - Loss Loan</t>
  </si>
  <si>
    <t>V- Operation Department (Check Discount) :</t>
  </si>
  <si>
    <t>A- Special Mention Loan (Check Discount)</t>
  </si>
  <si>
    <t>B- Loss Loan (Check Discount)</t>
  </si>
  <si>
    <t>VI- Branches :</t>
  </si>
  <si>
    <t>A- Special Mention Loan OPB</t>
  </si>
  <si>
    <t>B- NPL from Branch OPB</t>
  </si>
  <si>
    <t>C- Special Mention Loan BBB</t>
  </si>
  <si>
    <t>D- NPL from Branch BBB</t>
  </si>
  <si>
    <t>E- Special Mention Loan SRB</t>
  </si>
  <si>
    <t>F- NPL from Branch SRB</t>
  </si>
  <si>
    <t>G- Special Mention Loan SVB</t>
  </si>
  <si>
    <t>H- NPL from Branch SVB</t>
  </si>
  <si>
    <t>Total (Branch) :</t>
  </si>
  <si>
    <t xml:space="preserve"> Total (Head) :</t>
  </si>
  <si>
    <t>Grand-Total :</t>
  </si>
  <si>
    <t>Corporate</t>
    <phoneticPr fontId="104" type="noConversion"/>
  </si>
  <si>
    <t>SME</t>
    <phoneticPr fontId="104" type="noConversion"/>
  </si>
  <si>
    <t>Corporate</t>
    <phoneticPr fontId="104" type="noConversion"/>
  </si>
  <si>
    <t>SME</t>
    <phoneticPr fontId="104" type="noConversion"/>
  </si>
  <si>
    <t>Corporate</t>
    <phoneticPr fontId="104" type="noConversion"/>
  </si>
  <si>
    <t>SME</t>
    <phoneticPr fontId="104" type="noConversion"/>
  </si>
  <si>
    <t>Spe.-Men.</t>
    <phoneticPr fontId="10" type="noConversion"/>
  </si>
  <si>
    <t>Corporate</t>
    <phoneticPr fontId="104" type="noConversion"/>
  </si>
  <si>
    <t>SME</t>
    <phoneticPr fontId="104" type="noConversion"/>
  </si>
  <si>
    <t>Sub-Total (B) :</t>
    <phoneticPr fontId="104" type="noConversion"/>
  </si>
  <si>
    <t>Sub-Total (C) :</t>
    <phoneticPr fontId="104" type="noConversion"/>
  </si>
  <si>
    <t>Sub-Total (D) :</t>
    <phoneticPr fontId="104" type="noConversion"/>
  </si>
  <si>
    <t>Sub-Total (E) :</t>
    <phoneticPr fontId="104" type="noConversion"/>
  </si>
  <si>
    <t>Sub Total (F) :</t>
    <phoneticPr fontId="104" type="noConversion"/>
  </si>
  <si>
    <t>公司</t>
    <phoneticPr fontId="104" type="noConversion"/>
  </si>
  <si>
    <t>個人</t>
    <phoneticPr fontId="104" type="noConversion"/>
  </si>
  <si>
    <t>個人</t>
    <phoneticPr fontId="104" type="noConversion"/>
  </si>
  <si>
    <t>P.A.</t>
    <phoneticPr fontId="104" type="noConversion"/>
  </si>
  <si>
    <t>Write-Off Account</t>
  </si>
  <si>
    <t xml:space="preserve">                                                               Support for Monthly Report on Survey Current Weighted Average Interest Rates on New Loans</t>
  </si>
  <si>
    <t>CORPORATE</t>
  </si>
  <si>
    <t>Grand Total (S.M.E &amp; CORPORATE) :</t>
  </si>
  <si>
    <t>CONSOLIDATE OVERDRAFT REPORT (S.M.E &amp; CORPORATE)</t>
  </si>
  <si>
    <t xml:space="preserve">                               Prepared by:</t>
  </si>
  <si>
    <t>Total Card Center :</t>
  </si>
  <si>
    <t>Total H/O - General provision 1%</t>
  </si>
  <si>
    <t>Grand Total H/O + Branch :</t>
  </si>
  <si>
    <t>Int-Rate per annum</t>
  </si>
  <si>
    <t>Int Rate per annum</t>
  </si>
  <si>
    <t>​​​​​​​​​​​​​​​​</t>
  </si>
  <si>
    <t>Extension : 00 A/C</t>
  </si>
  <si>
    <t>43 A/Cs</t>
  </si>
  <si>
    <t>Buy Land</t>
  </si>
  <si>
    <t>Buy House</t>
  </si>
  <si>
    <t>S.M.E</t>
  </si>
  <si>
    <t>Checked by</t>
  </si>
  <si>
    <t>Checked by:</t>
  </si>
  <si>
    <t>CONSOLIDATE LOAN REPORT ( CORPORATE &amp; S.M.E)</t>
  </si>
  <si>
    <t>Seang Kimvisal &amp; Va Chantha</t>
  </si>
  <si>
    <t>Monthly Amortization of USD592.00 until the facility is fully settled.</t>
  </si>
  <si>
    <t>Khim Phon &amp; Bou Sokha</t>
  </si>
  <si>
    <t>Kong Veasna &amp; Soth Panha</t>
  </si>
  <si>
    <t>House on land at #51E1z, St.148, Sangkat Psar Kandal, Khan Daun Penh, PP and Villa on land (Borey Peng Huot) # 39E0E1, St. 15, Boeung Chuk Village, Sangkat Nirot, Khan Mean Chey, PP</t>
  </si>
  <si>
    <t>#51E1z, St.148, Sangkat Psar Kandal, Khan Daun Penh, PP a</t>
  </si>
  <si>
    <t>Buy Villa at Borey Peng Huot</t>
  </si>
  <si>
    <t>IT Manager at INFINITY Insurance</t>
  </si>
  <si>
    <t>Leng Tithvibol Sambath &amp; Leng Chanvireak</t>
  </si>
  <si>
    <t>2 Floor Flat on land sizec 48m2 at #10EE0+E1, Phum Mal, Sangkat Doungkor, Khan Doungkor, PP</t>
  </si>
  <si>
    <t>1414 ល.ប</t>
  </si>
  <si>
    <t>#10EE0+E1, Phum Mal, Sangkat Doungkor, Khan Doungkor, PP</t>
  </si>
  <si>
    <t>Refinance from PPCB and Buy Car</t>
  </si>
  <si>
    <t xml:space="preserve">                                                                                                                                                                                                                                                                                                                                                                                                                                                                                                                                                                                                                                                                                                                                                                                                                                                                                                                                                                                                                                                                                                                                                                                                                                                                                                                                                                                                                                                                                                                                                                                                                                                                                                                                                                                                                                                                                                                                                                                                                                                                                                                                                                                                                                                                                                                                                                                                                                                                                                                                                                                                                                                                                                                                                                                                                                                                                                                                                                                                                                                                                       </t>
  </si>
  <si>
    <t>Monthly Amortization of USD455.00 until the facility is fully settled.</t>
  </si>
  <si>
    <t>Niem Samnang &amp; Bour Linda</t>
  </si>
  <si>
    <t>Note : Credit line amount of Loan Liquidation is is equal : USD0.00</t>
  </si>
  <si>
    <t>24 A/Cs</t>
  </si>
  <si>
    <t>19 A/Cs</t>
  </si>
  <si>
    <t>OD = $53,192.88</t>
  </si>
  <si>
    <t>#3A, Group 67, St. 289, Phum 14, Mondol 9, Sangkat Boeung Keng Kong 2, Khan Tuol Kork, PP</t>
  </si>
  <si>
    <t>Car Accessories Sellor</t>
  </si>
  <si>
    <t>Stand-Loans-Long Term to Licensed MFIs-RT-USD</t>
  </si>
  <si>
    <t>Sub-Total (E) :</t>
  </si>
  <si>
    <t>Monthly Amortization of USD1,325.00 until the facility is fully settled.</t>
  </si>
  <si>
    <t>Nou Rithy Vine &amp; Em Sreynech</t>
  </si>
  <si>
    <t xml:space="preserve">                                                                                                                                                                                                         Corporate</t>
  </si>
  <si>
    <t>Monthly Amortization of USD795.00 until the facility is fully settled.</t>
  </si>
  <si>
    <t>Renew      : 00 A/Cs</t>
  </si>
  <si>
    <t>New Loan</t>
  </si>
  <si>
    <t>Roeung Ra &amp; Sam Leap</t>
  </si>
  <si>
    <t>Teng Sok Kieng &amp; Min Sokunthy</t>
  </si>
  <si>
    <t>Kong Vireak &amp; Lim Siden</t>
  </si>
  <si>
    <t>1. House on land size 955m2 at Phum Koh Krobey Village, Khom Prek Thmey, Srok Kien Svay, Khet Kandal. 2. House on land sized 79.80m2 at #36, St. 006, Phum Rokar 1, Sangkat Chak Angrae Kraom, Khan Meanchey, PP</t>
  </si>
  <si>
    <t>#130, St. Mok, Phum Krobey, Sangkat Prek Thmey, Khan Chbar Ampov, PP</t>
  </si>
  <si>
    <t>Depurty Director of Academic Affiari at Asia Euro University and Official at General Department of Taxation of Ministry of Economic and Finance</t>
  </si>
  <si>
    <r>
      <rPr>
        <b/>
        <u/>
        <sz val="9"/>
        <rFont val="Arial"/>
        <family val="2"/>
      </rPr>
      <t>Note :</t>
    </r>
    <r>
      <rPr>
        <b/>
        <sz val="9"/>
        <rFont val="Arial"/>
        <family val="2"/>
      </rPr>
      <t xml:space="preserve"> Credit line amount of Loan Liquidation is equal : USD...  </t>
    </r>
  </si>
  <si>
    <t>Liquidate  : 00 A/Cs</t>
  </si>
  <si>
    <t>Additional : 00 A/Cs</t>
  </si>
  <si>
    <t>Renew     : 00 A/C</t>
  </si>
  <si>
    <t xml:space="preserve">DEBIT BALANCE AS OF </t>
  </si>
  <si>
    <t xml:space="preserve"> SPECIAL MENTION ACCOUNTS REPORT</t>
  </si>
  <si>
    <t>Tuol Kouk Branch</t>
  </si>
  <si>
    <t>Additional : 00 A/C</t>
  </si>
  <si>
    <r>
      <rPr>
        <b/>
        <u/>
        <sz val="9"/>
        <rFont val="Arial"/>
        <family val="2"/>
      </rPr>
      <t>Note :</t>
    </r>
    <r>
      <rPr>
        <b/>
        <sz val="9"/>
        <rFont val="Arial"/>
        <family val="2"/>
      </rPr>
      <t xml:space="preserve"> Credit line amount of Loan Liquidation is equal : USD…</t>
    </r>
  </si>
  <si>
    <t>Union Commercial Bank PLC</t>
  </si>
  <si>
    <t>Supporting for Credit By Industry</t>
  </si>
  <si>
    <t>Master List</t>
  </si>
  <si>
    <t xml:space="preserve"> SUB-STANDARD ACCOUNT REPORT</t>
  </si>
  <si>
    <t>DOUBTFUL DEBT ACCOUNT REPORT</t>
  </si>
  <si>
    <t>Debit Balance as of</t>
  </si>
  <si>
    <t xml:space="preserve">Debit Balance as of </t>
  </si>
  <si>
    <t>WRITE-OFF ACCOUNTS REPORT</t>
  </si>
  <si>
    <t>CHHENG VANNTHA, ROV DARY</t>
  </si>
  <si>
    <t>Int.</t>
  </si>
  <si>
    <t>Lay Chan Panha &amp; Ek Gexbouy</t>
  </si>
  <si>
    <t>Chhoeurn Soton &amp; Kim Kuntola</t>
  </si>
  <si>
    <t>Tith Panha &amp; Leng Channy</t>
  </si>
  <si>
    <t>Hul Sokhan &amp; Ven Sreymom</t>
  </si>
  <si>
    <t>Tan Chheng Kruy &amp; Keo Phalla</t>
  </si>
  <si>
    <t>Kieng Soheng &amp; Dop Reasey</t>
  </si>
  <si>
    <t>Mao Pousuphy &amp; Nin Bopha</t>
  </si>
  <si>
    <t>Lim Chhungly &amp; Touch Lida</t>
  </si>
  <si>
    <t>Monthly Amortization of USD327.00 until the facility is fully settled.</t>
  </si>
  <si>
    <t>Monthly Amortization of USD500.00 until the facility is fully settled.</t>
  </si>
  <si>
    <t>Monthly Amortization of USD545.00 until the facility is fully settled.</t>
  </si>
  <si>
    <t>Sale Officer at Angkor Green Investment and Development CO,. Ltd (AGIK)</t>
  </si>
  <si>
    <t>823 ល.ប and 793 បជ.ចអព</t>
  </si>
  <si>
    <t>Land sized 56m2 at # 39L, Phum Tuol Pongror, sangkat Choam Chav, Khan Posenchey, PP</t>
  </si>
  <si>
    <t>3211បជ</t>
  </si>
  <si>
    <t># 39L, Phum Tuol Pongror, sangkat Choam Chav, Khan Posenchey, PP</t>
  </si>
  <si>
    <t>Refinance from First Finance</t>
  </si>
  <si>
    <t>Sale Personnel at Heng Heng Import &amp; Export Co., Ltd</t>
  </si>
  <si>
    <t>House on land size 56m2 at #6D, Phum Tangov, Sangkat Nirot, Khan Meanchey, Phnom Penh (Borey Hi-Tech II)</t>
  </si>
  <si>
    <t>682 បជមជ</t>
  </si>
  <si>
    <t xml:space="preserve"> #6D, Phum Tangov, Sangkat Nirot, Khan Meanchey, Phnom Penh (Borey Hi-Tech II)</t>
  </si>
  <si>
    <t>Refinance &amp; Build the second floor on the resident flat</t>
  </si>
  <si>
    <t>Security Investigator at American Embassy and Inter-Country Adoption Representative at CIAI</t>
  </si>
  <si>
    <t>#02 FE0, Phum Sombour, Sangkat Doungkor, Khan Doungkor, Phnom Penh</t>
  </si>
  <si>
    <t>#H245, St. Lum, Phum Klaing Sang, Sangkat Russey Keo, Khan Russey Keo, PP</t>
  </si>
  <si>
    <t>To purchase house</t>
  </si>
  <si>
    <t>Sale representative at Cambosiana &amp; Loan recovery officer at Phillip bank</t>
  </si>
  <si>
    <t>Tan Huykong</t>
  </si>
  <si>
    <t>Sok Sophann &amp;  Hor Chantrea</t>
  </si>
  <si>
    <t>Ta  Bunrith</t>
  </si>
  <si>
    <t>Monthly Amortization of USD225.00 until the facility is fully settled.</t>
  </si>
  <si>
    <t xml:space="preserve">House on land size 60.775m2 at #5E0, Phum Trapaing Tleung, Sangkat Chomchao, Khan Porsenchey, Phnom Penh </t>
  </si>
  <si>
    <t>227 ប. ជ</t>
  </si>
  <si>
    <t>#209E0, St.110, Phum Ti 2, Sangkat Voat Phnum, Khan Doun Penh, Phnom penh</t>
  </si>
  <si>
    <t>Deputy Chief Bureau of Marks Registration</t>
  </si>
  <si>
    <t>Tha Chacrya &amp; Prum Phyrun</t>
  </si>
  <si>
    <t>Monthly Amortization of USD330.00 until the facility is fully settled.</t>
  </si>
  <si>
    <t xml:space="preserve">House on land size 57.2m2 at #36AZ, St. 265, Group 35, Phum 13, Sangkat Tik Laork Ti3, Khan Tuol Kouk, Phnom Penh </t>
  </si>
  <si>
    <t>140/15</t>
  </si>
  <si>
    <t>Build E2 floor</t>
  </si>
  <si>
    <t xml:space="preserve">Dispatcher of United States </t>
  </si>
  <si>
    <t>Heang Sophan &amp; Thy Vuthty</t>
  </si>
  <si>
    <t>Mil Khan &amp; Kov Dunthea</t>
  </si>
  <si>
    <t>Kong Tho Imarith &amp; Peng Davuth Kalyan</t>
  </si>
  <si>
    <t>Monthly Amortization of USD780.00 until the facility is fully settled.</t>
  </si>
  <si>
    <t>Kong Chaynguon &amp; Chyv Ly Eng</t>
  </si>
  <si>
    <t>Monthly Amortization of USD3,710.00 until the facility is fully settled.</t>
  </si>
  <si>
    <t>2 villa on land size 501.57m2 at Borey New World, #25&amp;27 E0E1E2, St. 02, Phum Beong Chouk, Sangkat Kilometer6, Khan Russey Keo, Phnom Pen</t>
  </si>
  <si>
    <t>254លប​&amp; 025លប</t>
  </si>
  <si>
    <t>To settle loan and buy abig plot of land</t>
  </si>
  <si>
    <t>Working Capital</t>
  </si>
  <si>
    <t>Bunchheoun Pheakdey &amp; Kim Bunnak &amp; Suong Sokcheae</t>
  </si>
  <si>
    <t>Monthly Amortization of USD215.00 until the facility is fully settled.</t>
  </si>
  <si>
    <t>Chhim Chamna &amp; Ros Khim &amp; Chhim Nary</t>
  </si>
  <si>
    <t>Monthly Amortization of USD550.00 until the facility is fully settled.</t>
  </si>
  <si>
    <t>House on land size 160 m2 Located at Phum Chombokmeas, Sangkat Bak Khang, Khan Chroy Chongva, Phnom Penh.</t>
  </si>
  <si>
    <t>005 លបច្រ១</t>
  </si>
  <si>
    <t>St. 6A, Phum Chombokmeas, Sangkat Bak Khang, Khan Chroy Chongva, Phnom Penh.</t>
  </si>
  <si>
    <t>Refinace from Tomato Specialized Bank and renovated house</t>
  </si>
  <si>
    <t>Owner Business &amp; Credit Officer</t>
  </si>
  <si>
    <t>A flat with three floor on land size 73.72 m2 Located at Group 5, Phum Chongthnolkert, Sangkat Teuk Thla, Khan Sensok, Phnom Penh.</t>
  </si>
  <si>
    <t>877 លបកច្រ១</t>
  </si>
  <si>
    <t>Low</t>
  </si>
  <si>
    <t>Group 5, Phum Chongthnolkert, Sangkat Teuk Thla, Khan Sensok, Phnom Penh.</t>
  </si>
  <si>
    <t>Refinace from Cambodia Post Bank and Build house</t>
  </si>
  <si>
    <t>Owner Business &amp; Prod Supervisor</t>
  </si>
  <si>
    <t>Monthly Amortization of USD1,060.00 until the facility is fully settled.</t>
  </si>
  <si>
    <t>House on land at #56E0E1, St. 137, Phum 1, Sangkat vilvong, Khan 7 Makara, Phnom Penh.</t>
  </si>
  <si>
    <t>House on land at #3A, Group 67, St. 289, Phum 14, Sangkat Boeung Kok Ti2, Khan Tuol Kouk, Phnom Penh.</t>
  </si>
  <si>
    <t>Working Capital and buy a flat</t>
  </si>
  <si>
    <t>PUTH MAKARA</t>
  </si>
  <si>
    <t>Bi Sanghak &amp; Chhor Huygek</t>
  </si>
  <si>
    <t>Monthly Amortization of USD2,200.00 until the facility is fully settled.</t>
  </si>
  <si>
    <t>372/15</t>
  </si>
  <si>
    <t>House on land at #10AE0, St. 259. Group 10, Phum 3, Sangkat Toek La ak 1, Khan Tuol Kouk, Phnom Penh.</t>
  </si>
  <si>
    <t>House on land at #737E0, St. 128, Group 27, Phum 9, Sangkat Toek La ak 1, Khan Tuol Kork, Phnom Penh.</t>
  </si>
  <si>
    <t>Housing Loan</t>
  </si>
  <si>
    <t>Ung Tara &amp; Chhoeum Sophearom</t>
  </si>
  <si>
    <t>Monthly Amortization of USD555.00 until the facility is fully settled.</t>
  </si>
  <si>
    <t>House on land at #186E0E1, St. 07, Phum Sam bour, Sangkat Dangkor, Khan Dangkor, Phnom Penh.</t>
  </si>
  <si>
    <t>2838លប</t>
  </si>
  <si>
    <t>Official forest warden</t>
  </si>
  <si>
    <t>Public Housing Loan</t>
  </si>
  <si>
    <t>CHOEUNG SANGEANG &amp; LY SOULAY</t>
  </si>
  <si>
    <t>House on land at 3JE0E1, St. 307, Group 51, Phum 11, Sangkat Boeung Kok Ti II, Khan Tuol Kouk, Phnom Penh.</t>
  </si>
  <si>
    <t>1090/13</t>
  </si>
  <si>
    <t>Owner Business ( Tong Hourt Spare Part)</t>
  </si>
  <si>
    <t>Min Sophal &amp; Meng Thida</t>
  </si>
  <si>
    <t>Seng Thea &amp; Kuoch Chanthy</t>
  </si>
  <si>
    <t>Monthly Amortization of USD461.00 until the facility is fully settled.</t>
  </si>
  <si>
    <t>A Flat located at #79N, Phum Mol, Sangkat Dungkor, Khan Dungkor, Phnom Penh.</t>
  </si>
  <si>
    <t>Major</t>
  </si>
  <si>
    <t>Uy Dy &amp; Pech Vichhera</t>
  </si>
  <si>
    <t>Monthly Amortization of USD485.00 until the facility is fully settled.</t>
  </si>
  <si>
    <t>A Flat located at #27G,St. Lum, Phum Mol, Sangkat Dungkor, Khan Dungkor, Phnom Penh.</t>
  </si>
  <si>
    <t>3094ល.ប</t>
  </si>
  <si>
    <t>#27G,St. Lum, Phum Mol, Sangkat Dungkor, Khan Dungkor, Phnom Penh.</t>
  </si>
  <si>
    <t>Lecturer</t>
  </si>
  <si>
    <t>Chhun Vanrith &amp; Sam Chanthon</t>
  </si>
  <si>
    <t>Monthly Amortization of USD765.00 until the facility is fully settled.</t>
  </si>
  <si>
    <t>House on land at #8E0, Phum Sambour, Sangkat Dongkor, Khan Dongkor, Phnom Penh.</t>
  </si>
  <si>
    <t>1995ល.ប
 12060103-0251</t>
  </si>
  <si>
    <t>House on land at #8E0, Phum Sambour, Sangkat Dongkor, Khan Dongkor, Phnom Penh.
Phum Trea, Sangkat Steung Meanchey, Khan Meanchey, Phnom penh.</t>
  </si>
  <si>
    <t>Buy Car</t>
  </si>
  <si>
    <t>Repair all Kinds of Electronic Devices</t>
  </si>
  <si>
    <t xml:space="preserve"> Lee Minh Phat &amp; Thai Pamp Huong</t>
  </si>
  <si>
    <t>Pen Phalla &amp; Ngun Sophy</t>
  </si>
  <si>
    <t>Flat on land at #749BEo, Monivong Blvd, Sangkat Boeng Trabek, Khan Chamkamorn, PP.</t>
  </si>
  <si>
    <t>Printing shop</t>
  </si>
  <si>
    <t xml:space="preserve">Pen Phalla &amp; Ngun Sophy </t>
  </si>
  <si>
    <t xml:space="preserve">Pen Phalla &amp; ngun Sophy </t>
  </si>
  <si>
    <t xml:space="preserve">Kroem Vuthy &amp; Srey Mey  </t>
  </si>
  <si>
    <t>Principal+Int.</t>
  </si>
  <si>
    <t>SEANG KIMVISAL</t>
  </si>
  <si>
    <t>LENG TITHVIBOLSAMBATH</t>
  </si>
  <si>
    <t>KROEM VUTHY</t>
  </si>
  <si>
    <t>KONG VIREAK</t>
  </si>
  <si>
    <t>CHHOEURN SOTON</t>
  </si>
  <si>
    <t>TITH PANHA</t>
  </si>
  <si>
    <t>MAO POUSUPHY</t>
  </si>
  <si>
    <t>TA BUNRITH</t>
  </si>
  <si>
    <t>THA CHACRYA</t>
  </si>
  <si>
    <t>BUNCHHEOUN PHEAKDEY</t>
  </si>
  <si>
    <t>CHHIM CHAMNA</t>
  </si>
  <si>
    <t>KONG CHAYNGUON</t>
  </si>
  <si>
    <t>BI SANGHAK</t>
  </si>
  <si>
    <t>UNG TARA</t>
  </si>
  <si>
    <t>SENG THEA</t>
  </si>
  <si>
    <t>UY DY</t>
  </si>
  <si>
    <t>CHHUN VANRITH</t>
  </si>
  <si>
    <t>CHOEUNG SANGEANG LY SOULAY</t>
  </si>
  <si>
    <t>Meng Kimsreng &amp; Chrin Sokny</t>
  </si>
  <si>
    <t>A flat located at  #78, Phum Tuol Pongror, Sangkat Chom Chav, Khan Posenchey, Phnom Penh.</t>
  </si>
  <si>
    <t>9657 បជ</t>
  </si>
  <si>
    <t>Phum 02, Sangkat Svay Rolom, Lavea Am Dristrict, Kandal province.</t>
  </si>
  <si>
    <t xml:space="preserve">Buy a Flat </t>
  </si>
  <si>
    <t>Muy Heng Printing House &amp; Assistant to General Manager</t>
  </si>
  <si>
    <t>Oum Ponh &amp; Suong Chan &amp; Oum Chantha</t>
  </si>
  <si>
    <t>Monthly Amortization of USD260.00 until the facility is fully settled.</t>
  </si>
  <si>
    <t>Phum 8, Sangkat Tunlea Basak, Khan Chamkarmon, Phnom Penh.</t>
  </si>
  <si>
    <t>12010108-0025</t>
  </si>
  <si>
    <t>#101Z4, Phum 8, Sangkat Tunlea Basak, Khan Chamkarmon, Phnom Penh.</t>
  </si>
  <si>
    <t>Buy a Car</t>
  </si>
  <si>
    <t>Major &amp; Room Rental Business &amp; Assistant Accountant</t>
  </si>
  <si>
    <t>Hok Phan &amp; Tep Sina</t>
  </si>
  <si>
    <t>Monthly Amortization of USD1,245.00 until the facility is fully settled.</t>
  </si>
  <si>
    <t>Aungdoung Khmer Commune, Kampot Distrist, Kampot province.</t>
  </si>
  <si>
    <t>កព 005880</t>
  </si>
  <si>
    <t>Phum 6, Sangkat Sras Chak, Khan Doun Penh, Phnom Penh.</t>
  </si>
  <si>
    <t>Settle private lending &amp; Build 1 more house</t>
  </si>
  <si>
    <t>Electrical &amp; House rental business</t>
  </si>
  <si>
    <t>Buy a Flat</t>
  </si>
  <si>
    <t>Chhay Sok Chea</t>
  </si>
  <si>
    <t>Monthly Amortization of USD495.00 until the facility is fully settled.</t>
  </si>
  <si>
    <t>A flat located at #8B, Phum Kdey Takuy, Sangkat Veal Sbov, Khan Meanchey, Phnom Penh.</t>
  </si>
  <si>
    <t>2682បជចអព</t>
  </si>
  <si>
    <t>Sale Representative</t>
  </si>
  <si>
    <t>Un Manivan &amp; Deap Theavy</t>
  </si>
  <si>
    <t>Monthly Amortization of USD1,585.00 until the facility is fully settled.</t>
  </si>
  <si>
    <t xml:space="preserve">A flat located at #33A, St. Lom, Group 21, Phum Tuol Roka 1, Sangkat Chak Angrea Krom, Khan Meanchey, Phnom Penh. </t>
  </si>
  <si>
    <t>A flat located at #33A, St. Lom, Group 21, Phum Tuol Roka 1, Sangkat Chak Angrea Krom, Khan Meanchey, Phnom Penh.         A flat located at #B22E0E1, Phum Chom Chav, Khan Dungkor, Phnom Penh.</t>
  </si>
  <si>
    <t>3422 បជមជ &amp; 1863 បជ</t>
  </si>
  <si>
    <t xml:space="preserve">To refinance at Acleda &amp; buy land </t>
  </si>
  <si>
    <t>Wooden Furniture Manufacturing Business</t>
  </si>
  <si>
    <t>MENG KIMSRENG</t>
  </si>
  <si>
    <t>OUM CHANTHA</t>
  </si>
  <si>
    <t>HOK PHAN</t>
  </si>
  <si>
    <t>CHHAY SOK CHEA</t>
  </si>
  <si>
    <t>UN MANIVAN</t>
  </si>
  <si>
    <t>Thim San &amp; Chea Sophy</t>
  </si>
  <si>
    <t>Monthly Amortization of USD400.00 until the facility is fully settled.</t>
  </si>
  <si>
    <t>A flat located at #918A, National Road 5, Group 1, Phum Khor 1, Sangkat Chrang Chomres Ti 2, Khan Russey Keo, Phnom Penh.</t>
  </si>
  <si>
    <t>163 កច្រ1</t>
  </si>
  <si>
    <t>To Buy a Flat</t>
  </si>
  <si>
    <t>Car Rental &amp; Driver</t>
  </si>
  <si>
    <t>Ang Rithy &amp; Kim Sochhim</t>
  </si>
  <si>
    <t>A flat located at #18A, Phum Mor, Sangkat Dongkor, Khan Dongkor, Phnom Penh.</t>
  </si>
  <si>
    <t>6108 ល.ប</t>
  </si>
  <si>
    <t>Product Manager</t>
  </si>
  <si>
    <t>Phin Phal &amp; Phin Chhany</t>
  </si>
  <si>
    <t>Room Rental Business</t>
  </si>
  <si>
    <t>A flat located at St. Be Tong, Group 14, Phum Spean khpuos , Sangkat Kilomete lekh 6, Khan Russeikeo, Phnom Penh.</t>
  </si>
  <si>
    <t>A flat located at #74G, SreetLum, Phum Tuol Sangke, Sangkat Tuol Sangke, Khan Russey Keo, Phnom Penh.</t>
  </si>
  <si>
    <t>#69C, St. Betong, Sangkat Beong Tumpon, Khan Meanchey, Phnom Penh</t>
  </si>
  <si>
    <t>262 បជ.មជ</t>
  </si>
  <si>
    <t>Govenor official &amp; Monk's gift saler</t>
  </si>
  <si>
    <t>A flat EoE1 located at #69C, St. Betong, Sangkat Beong Tumpon, Khan Meanchey, Phnom Penh</t>
  </si>
  <si>
    <t>THIM SAN</t>
  </si>
  <si>
    <t>ANG RITHY</t>
  </si>
  <si>
    <t>PHIN PHAL</t>
  </si>
  <si>
    <t xml:space="preserve">Khim Ratana &amp; Md. Khim Namom </t>
  </si>
  <si>
    <t>KHIM RATANA</t>
  </si>
  <si>
    <t>Clothes seller</t>
  </si>
  <si>
    <t>Car Accessories Seller</t>
  </si>
  <si>
    <t>Home Appliance seller</t>
  </si>
  <si>
    <t>Tieng Sengly &amp; Sem San</t>
  </si>
  <si>
    <t>Monthly Amortization of USD635.00 until the facility is fully settled.</t>
  </si>
  <si>
    <r>
      <t>network operation monitoring</t>
    </r>
    <r>
      <rPr>
        <sz val="11"/>
        <rFont val="Times New Roman"/>
        <family val="1"/>
      </rPr>
      <t xml:space="preserve"> </t>
    </r>
  </si>
  <si>
    <t># 5B, Group. 97, Street. 610, Phum 21, Sangkat Boeng kak II, Khan Tuol Kouk, Phnom Penh.</t>
  </si>
  <si>
    <t>12040821-0049</t>
  </si>
  <si>
    <t>decoration their house rental</t>
  </si>
  <si>
    <t>Uk Oudom &amp; Huoy Vorleakthida</t>
  </si>
  <si>
    <t>#V3/17, Borey BS, 5 Village, 4 Commune, Sihanouk Ville.</t>
  </si>
  <si>
    <t>305 អភកសន</t>
  </si>
  <si>
    <t>To renovate their own villa</t>
  </si>
  <si>
    <t>Project Manager</t>
  </si>
  <si>
    <t>Sun Sithan &amp; Lek Sina</t>
  </si>
  <si>
    <t>Monthly Amortization of USD335.00 until the facility is fully settled.</t>
  </si>
  <si>
    <t>Phum Phnom Penh Thmey, Sangkat Phnom Penh Thmey, Khan Sen Sok, Phnom Penh.</t>
  </si>
  <si>
    <t>6139 លបកច្រ1</t>
  </si>
  <si>
    <t>To buy  a car.</t>
  </si>
  <si>
    <t>Major &amp; Official</t>
  </si>
  <si>
    <t>Thet Phanith &amp; Thet Chandara</t>
  </si>
  <si>
    <t>Monthly Amortization of USD630.00 until the facility is fully settled.</t>
  </si>
  <si>
    <t>#G121, Phum Prey Pring Thbong, Sangkat Cham Chav, Khan Posenchey, Phnom Penh.</t>
  </si>
  <si>
    <t>1087បជ</t>
  </si>
  <si>
    <t>To refinance at ABA &amp; buy a land.</t>
  </si>
  <si>
    <t>Branch Manager, &amp; Accountant</t>
  </si>
  <si>
    <t>Heng Senghorn &amp; Khiev Chhengkim</t>
  </si>
  <si>
    <t>Monthly Amortization of USD740.00 until the facility is fully settled.</t>
  </si>
  <si>
    <t>#30, Phum Tuol Pongror, Sangkat Cham Chav, Khan Posenchey, Phnom Penh.</t>
  </si>
  <si>
    <t>10448 បជ</t>
  </si>
  <si>
    <t>Fuel Station</t>
  </si>
  <si>
    <t xml:space="preserve">To buy a flat </t>
  </si>
  <si>
    <t>Koy Sophea &amp; Kong Rattana</t>
  </si>
  <si>
    <t>A flat E0E1, locate at #39G, National Road 6, Phum Kien Klaing, Sangkat Prek Leap, Khan Chroy Changva, Phnom Penh.</t>
  </si>
  <si>
    <t>106ល.ប.ច្រ.រ.1</t>
  </si>
  <si>
    <t>#39G, National Road 6, Phum Kien Klaing, Sangkat Prek Leap, Khan Chroy Changva, Phnom Penh.</t>
  </si>
  <si>
    <t>Constrution tools seller</t>
  </si>
  <si>
    <t>Yun Yury &amp; Chea Sophea</t>
  </si>
  <si>
    <t>Monthly Amortization amount (USD 775) until the facility is fully settled</t>
  </si>
  <si>
    <t>Monthly Amortization amount (USD1,330) until the facility is fully settled</t>
  </si>
  <si>
    <t>Heang Kheang &amp; Ruos Kossyner</t>
  </si>
  <si>
    <t>Monthly Amortization amount (USD 350) until the facility is fully settled</t>
  </si>
  <si>
    <t xml:space="preserve"> #4A, St. Betong, Group. 14 PhumTuol Sangke, Sangkat Tuol Sangke, Khan Russey keo, Phnom Penh.</t>
  </si>
  <si>
    <t>009ល.ប</t>
  </si>
  <si>
    <t xml:space="preserve"> #40E0E1E2, St. 166, Group. 41,  Phum 7, Sangkat O'russey 2, Khan 7 Makara, Phnom Penh.</t>
  </si>
  <si>
    <t>President Office Admin Officer</t>
  </si>
  <si>
    <t>National Road 5, Phum Spean khpuos, Sangkat Kilomete lekh 6, Khan Russeikeo, Phnom Penh.</t>
  </si>
  <si>
    <t>#65E0, St.138, St. 19, Group.51, Phum 11, Sangkat Psar Kandal Ti II, Khan Daun Penh, Phnom Penh</t>
  </si>
  <si>
    <t>Grocery house</t>
  </si>
  <si>
    <t>TIENG SENGLY</t>
  </si>
  <si>
    <t>UK OUDOM</t>
  </si>
  <si>
    <t>SUN SITHAN</t>
  </si>
  <si>
    <t>THET PHANITH</t>
  </si>
  <si>
    <t>HENG SENGHORN</t>
  </si>
  <si>
    <t>KOY SOPHEA</t>
  </si>
  <si>
    <t>YUN YURY</t>
  </si>
  <si>
    <t>HEANG KHEANG</t>
  </si>
  <si>
    <t xml:space="preserve">New          : 00 A/C  </t>
  </si>
  <si>
    <t xml:space="preserve">          Se Henglong</t>
  </si>
  <si>
    <t>Se Henglong</t>
  </si>
  <si>
    <t>16401, 6900  &amp; 169</t>
  </si>
  <si>
    <t>891/13 &amp; 086/14 &amp; 573/15</t>
  </si>
  <si>
    <t xml:space="preserve">1414ប.ជ.ម.ជ &amp; ភព 29292 </t>
  </si>
  <si>
    <t>1688លប</t>
  </si>
  <si>
    <t>5037លប</t>
  </si>
  <si>
    <r>
      <t xml:space="preserve">  </t>
    </r>
    <r>
      <rPr>
        <b/>
        <sz val="9"/>
        <rFont val="Times New Roman"/>
        <family val="1"/>
      </rPr>
      <t xml:space="preserve">6-087 </t>
    </r>
    <r>
      <rPr>
        <b/>
        <sz val="9"/>
        <rFont val="DaunPenh"/>
      </rPr>
      <t>ល</t>
    </r>
    <r>
      <rPr>
        <sz val="9"/>
        <rFont val="Times New Roman"/>
        <family val="1"/>
      </rPr>
      <t>.</t>
    </r>
    <r>
      <rPr>
        <b/>
        <sz val="9"/>
        <rFont val="DaunPenh"/>
      </rPr>
      <t>ប</t>
    </r>
    <r>
      <rPr>
        <b/>
        <sz val="9"/>
        <rFont val="Times New Roman"/>
        <family val="1"/>
      </rPr>
      <t xml:space="preserve"> </t>
    </r>
    <r>
      <rPr>
        <b/>
        <sz val="10"/>
        <rFont val="Times New Roman"/>
        <family val="1"/>
      </rPr>
      <t xml:space="preserve"> </t>
    </r>
  </si>
  <si>
    <t>Monthly Amortization amount (USD 340) until the facility is fully settled</t>
  </si>
  <si>
    <t xml:space="preserve">TITH PANHA &amp; LENG CHANNY </t>
  </si>
  <si>
    <t>A flat E0E1E2 located at #15D, Phum Mol, Sangkat Dungkor, Khan Dungkor, Phnom Penh.</t>
  </si>
  <si>
    <t>1688 លប</t>
  </si>
  <si>
    <t>#15D, Phum Mol, Sangkat Dungkor, Khan Dungkor, Phnom Penh.</t>
  </si>
  <si>
    <t>To buy a land</t>
  </si>
  <si>
    <t>Sale Representative &amp; Loan Recovery Officer</t>
  </si>
  <si>
    <t>To buy a car</t>
  </si>
  <si>
    <t xml:space="preserve">TITH PANHA </t>
  </si>
  <si>
    <t>SOK SOTHY &amp; CHHUON  SREYMOM</t>
  </si>
  <si>
    <t>Monthly Amortization amount (USD770)</t>
  </si>
  <si>
    <t>MEL SOPHANNA</t>
  </si>
  <si>
    <t>Monthly Amortization amount (USD438)</t>
  </si>
  <si>
    <t>08080301-0236
08080301-0030</t>
  </si>
  <si>
    <t>Land &amp; building located at Prey Roka Village, Chuk Cher Neang Commune, Angsnol District, Kandal Province.</t>
  </si>
  <si>
    <t>#116, Prey Roka Village, Chuk Cher Neang Commune, Angsnol District, Kandal rovince.</t>
  </si>
  <si>
    <t>Mobile Phone Shop &amp; Tailor Business</t>
  </si>
  <si>
    <t>A flat located at Group 05, Phum Teok Thla, Sangkat Teok Thla, Khan Sensokh, Phnom Penh.</t>
  </si>
  <si>
    <t>262លប</t>
  </si>
  <si>
    <t>Group 05, Phum Teok Thla, Sangkat Teok Thla, Khan Sensokh, Phnom Penh.</t>
  </si>
  <si>
    <t>Resttlement Specialist</t>
  </si>
  <si>
    <t>Monthly Amortization amount (USD465)</t>
  </si>
  <si>
    <t>KIN SOKHOEUN &amp; CHEA SINAT</t>
  </si>
  <si>
    <t>A flat located at #145Eo, Bori new world chamkadaung, Sambuor Village, Dengko Commune, Dangko District,Phnom Penh.</t>
  </si>
  <si>
    <t>1643លប</t>
  </si>
  <si>
    <t>#145Eo, Bori new world chamkadaung, Sambuor Village, Dengko Commune, Dangko District,Phnom Penh</t>
  </si>
  <si>
    <t xml:space="preserve">To refinace from Acleda Bank.
To buy a car </t>
  </si>
  <si>
    <t>Quantity Surveyor &amp; Secretary Sisc</t>
  </si>
  <si>
    <t>OL RAMTH &amp; OL SAM NANG &amp; SOK SAM NANG</t>
  </si>
  <si>
    <t>Monthly Amortization amount (USD1,080)</t>
  </si>
  <si>
    <t xml:space="preserve">CHAN VANNY </t>
  </si>
  <si>
    <t>Monthly Amortization amount (USD690)</t>
  </si>
  <si>
    <t>A flat located at #A1 , St.Betong , Phnum Preak Tapov , Sangkat Preak Pra , Khan Chbar Ampov , Phnom Penh.</t>
  </si>
  <si>
    <t>188 បជចអព</t>
  </si>
  <si>
    <t>#8K, St.Betong, Group 2, Phum Tangav Krowm, Mondul 3, Sangkat Nirot, Khan Chbar Ampov, Phnom Penh.</t>
  </si>
  <si>
    <t>To buy a flat</t>
  </si>
  <si>
    <t xml:space="preserve">Branch Manager, &amp; Deputy Head of HR &amp; AMP; Administration , </t>
  </si>
  <si>
    <t>PEN SAROEUN</t>
  </si>
  <si>
    <t>Monthly Amortization amount (USD395)</t>
  </si>
  <si>
    <t>S/L</t>
  </si>
  <si>
    <t>#3E, St.Betong, Sangkat Phnom Penh Thmey, Khan Sen Sok, Phnom Penh.</t>
  </si>
  <si>
    <t>Phum Kork Khlang, Sangkat Phnom Penh Thmey, Khan Sen Sok, Phnom Penh</t>
  </si>
  <si>
    <t>Senior Officer at UCB Bank</t>
  </si>
  <si>
    <t>New         : 00 A/Cs</t>
  </si>
  <si>
    <t>LENG CHANMONY</t>
  </si>
  <si>
    <t>Monthly Amortization amount (USD335)</t>
  </si>
  <si>
    <t>#20, Group.94, St.612, Phum 20 , Sangkat Boeng Kak II, Khan Tuol Kouk, Phnom Penh.</t>
  </si>
  <si>
    <t>12040820-0043</t>
  </si>
  <si>
    <t>#28, St.612  stoun, Group.94, Phum 20, Sangkat Boeng Kak II , Khan Tuol Kouk, Phnom Penh.</t>
  </si>
  <si>
    <t>To build their house E1</t>
  </si>
  <si>
    <t>Renting house and Salary &amp; Teacher</t>
  </si>
  <si>
    <t>Monthly Amortization amount (USD380)</t>
  </si>
  <si>
    <t>EANG NAVY &amp; UNG LON</t>
  </si>
  <si>
    <t>Seang Kimvisal &amp; VA CHANTHA (B)</t>
  </si>
  <si>
    <t>Land size 144m2 ,Phum Domnak Thom, Sangkat Steung Meanchey, Khan Meanchey,Phnom  Penh.
A flat located at #186 BE0, St.146Z, Group 13, Phum 5, Sangkat Teuk Laork Ti II, Khan Tuol Kouk ,Phnom Penh.</t>
  </si>
  <si>
    <t>12060107-1128
1373/12</t>
  </si>
  <si>
    <t>#369E0E1, St.245, Group 4, Phum 1, Sangkat Depor Ti II , Khan Tuol Kouk , Phnom Penh.</t>
  </si>
  <si>
    <t>House Contruction</t>
  </si>
  <si>
    <t xml:space="preserve">Teacher Police &amp; Owner's Business </t>
  </si>
  <si>
    <t>SOK SOTHY</t>
  </si>
  <si>
    <t>KIN SOKHOEUN</t>
  </si>
  <si>
    <t>CHAN VANNY</t>
  </si>
  <si>
    <t>EANG NAVY</t>
  </si>
  <si>
    <t xml:space="preserve">SEANG KIMVISAL </t>
  </si>
  <si>
    <t xml:space="preserve">New          : 00A/Cs  </t>
  </si>
  <si>
    <t>CHEA LONG</t>
  </si>
  <si>
    <t>Monthly Amortization amount (USD430)</t>
  </si>
  <si>
    <t>A flat located at Phum Phsar Tauch, Sangkat Tuol Songkea, Khan Russey Keo, Phnom Penh.</t>
  </si>
  <si>
    <t>12071201-0534</t>
  </si>
  <si>
    <t>Phum Phsar Tauch, Sangkat Tuol Songkea, Khan Russey Keo, Phnom Penh.</t>
  </si>
  <si>
    <t>Admin Supervisor</t>
  </si>
  <si>
    <t>BAN HY</t>
  </si>
  <si>
    <t>Monthly Amortization amount (USD660)</t>
  </si>
  <si>
    <t>#6E, St. Betonh, Phnom Penh Thmey Commune, Sensok District , Phnom Penh.</t>
  </si>
  <si>
    <t>#250AE0E1 , St.356, Group 36, Phum 8 , Sangkat Toul Svaypray 2, Khan Chamka morn,  Phnom Penh.</t>
  </si>
  <si>
    <t>Division Head, Finance &amp; AMP ;Admin</t>
  </si>
  <si>
    <t>KAO  CHANMEY</t>
  </si>
  <si>
    <t>Monthly Amortization amount (USD2,132)</t>
  </si>
  <si>
    <t>A flat located at Group 21, St. 08 , Phum Tuol Rokal , Sangkat Chak Angrae , Khan Meanchey , Phnom Penh..</t>
  </si>
  <si>
    <t xml:space="preserve">497 បជ.មជ 
498បជ.មជ </t>
  </si>
  <si>
    <t>St.08 , Group 21 , Phum Toul Roka1 , Sangkat Chak Angrae , Khan Mean Chey , Phnom Penh</t>
  </si>
  <si>
    <t>To support the final payment of the purchase flat at amount USD100,00</t>
  </si>
  <si>
    <t xml:space="preserve">Owner's Business </t>
  </si>
  <si>
    <t>KAO CHANMEY</t>
  </si>
  <si>
    <t>Tieng Saman</t>
  </si>
  <si>
    <t>Monthly Amortization amount (USD450)</t>
  </si>
  <si>
    <t>Kroem Vuthy &amp; Srey Mey</t>
  </si>
  <si>
    <t>A flat at located at #5, Group.97, Street.610, Phum 21, Sangkat Boeng Kak II, Khan Tuol Kouk, Phnom Penh.</t>
  </si>
  <si>
    <t>12040821-0047</t>
  </si>
  <si>
    <t>#5, Group.97, Street.610, Phum 21, Sangkat Boeng Kak II, Khan Tuol Kouk, Phnom Penh.</t>
  </si>
  <si>
    <t>General Khmer Teacher</t>
  </si>
  <si>
    <t>To support final payment on land purchased</t>
  </si>
  <si>
    <t>Extension : 00A/C</t>
  </si>
  <si>
    <t>LD1526201621</t>
  </si>
  <si>
    <t>LD1526201634</t>
  </si>
  <si>
    <t>LD1526201629</t>
  </si>
  <si>
    <t>LD1526201628</t>
  </si>
  <si>
    <t>LD1526201636</t>
  </si>
  <si>
    <t>LD1526201637</t>
  </si>
  <si>
    <t>LD1526201642</t>
  </si>
  <si>
    <t>LD1526201650</t>
  </si>
  <si>
    <t>LD1526201653</t>
  </si>
  <si>
    <t>LD1526201648</t>
  </si>
  <si>
    <t>LD1526201655</t>
  </si>
  <si>
    <t>LD1526201654</t>
  </si>
  <si>
    <t>LD1526201646</t>
  </si>
  <si>
    <t>LD1526201658</t>
  </si>
  <si>
    <t>LD1526201660</t>
  </si>
  <si>
    <t>LD1526644233</t>
  </si>
  <si>
    <t>LD1526201664</t>
  </si>
  <si>
    <t>LD1526201661</t>
  </si>
  <si>
    <t>LD1002400210</t>
  </si>
  <si>
    <t>LD1002300744</t>
  </si>
  <si>
    <t>LD1002400082</t>
  </si>
  <si>
    <t>LD1002400369</t>
  </si>
  <si>
    <t>LD1002400258</t>
  </si>
  <si>
    <t>LD1002300883</t>
  </si>
  <si>
    <t>LD1002400758</t>
  </si>
  <si>
    <t>LD1002400918</t>
  </si>
  <si>
    <t>LD1002500289</t>
  </si>
  <si>
    <t>LD1002400866</t>
  </si>
  <si>
    <t>LD1002500605</t>
  </si>
  <si>
    <t>LD1002500825</t>
  </si>
  <si>
    <t>LD1002600149</t>
  </si>
  <si>
    <t>LD1002600273</t>
  </si>
  <si>
    <t>LD1002500928</t>
  </si>
  <si>
    <t>LD1002600343</t>
  </si>
  <si>
    <t>LD1002600432</t>
  </si>
  <si>
    <t>LD1002200873</t>
  </si>
  <si>
    <t>LD1002700015</t>
  </si>
  <si>
    <t>LD1002700282</t>
  </si>
  <si>
    <t>LD1002700332</t>
  </si>
  <si>
    <t>LD1002700581</t>
  </si>
  <si>
    <t>LD1002200880</t>
  </si>
  <si>
    <t>LD1002700350</t>
  </si>
  <si>
    <t>LD1002200826</t>
  </si>
  <si>
    <t>LD1002700443</t>
  </si>
  <si>
    <t>LD1000600513</t>
  </si>
  <si>
    <t>LD1002700834</t>
  </si>
  <si>
    <t>LD1002200908</t>
  </si>
  <si>
    <t>Yeun Virak</t>
  </si>
  <si>
    <t>LD1002700854</t>
  </si>
  <si>
    <t>A flat at located at #8E, St.Betong, Phum Phnom Penh Thmey, Sangkat Phnom Penh Thmey, Khan Sensok, Phnom Penh.</t>
  </si>
  <si>
    <t>1158លប.កច្រ1</t>
  </si>
  <si>
    <t>#1019, St.1984, Phum Phnom Penh Thmey, Sangkat Phnom Penh Thmey, Khan Sensok, Phnom Penh.</t>
  </si>
  <si>
    <t>Singer</t>
  </si>
  <si>
    <t>Lim Lenich</t>
  </si>
  <si>
    <t>LD1002200809</t>
  </si>
  <si>
    <t>Monthly Amortization amount ( USD5,206)</t>
  </si>
  <si>
    <t>#172Eo, St.63, Sangkat Beoung Kang Kong1, Khan Chamkamon, Phnom Penh.</t>
  </si>
  <si>
    <t>2 flat at located at #77EoE1, St.240, Sangkat Chhay Chamnes, Khan Daun Penh, Phnom Penh.</t>
  </si>
  <si>
    <t>Director of cambodia distribution system</t>
  </si>
  <si>
    <t>Tith Vicheka</t>
  </si>
  <si>
    <t>LD1616530585</t>
  </si>
  <si>
    <t>Monthly Amortization amount ( USD310)</t>
  </si>
  <si>
    <t>YEUN VIRAK</t>
  </si>
  <si>
    <t>LIM LENICH</t>
  </si>
  <si>
    <t>TITH VICHEKA</t>
  </si>
  <si>
    <t>6073&amp;
10216</t>
  </si>
  <si>
    <t>A flat located at #12IE0, St. Betong, Phum Prey Pring Tbung, Sangkat Choam Chao , Khan Posenchey, Phnom Penh</t>
  </si>
  <si>
    <t>4299 ប.ជ</t>
  </si>
  <si>
    <t>Banker</t>
  </si>
  <si>
    <t>Bank industry</t>
  </si>
  <si>
    <r>
      <t>226</t>
    </r>
    <r>
      <rPr>
        <sz val="10"/>
        <rFont val="DaunPenh"/>
      </rPr>
      <t>កច្រ1</t>
    </r>
    <r>
      <rPr>
        <sz val="10"/>
        <rFont val="Times New Roman"/>
        <family val="1"/>
      </rPr>
      <t xml:space="preserve"> </t>
    </r>
  </si>
  <si>
    <t>749លបកច្រ1</t>
  </si>
  <si>
    <t>750 ល.ប.កច្រ1</t>
  </si>
  <si>
    <t>អ្នកសម្រេច</t>
  </si>
  <si>
    <t>អ្នកពិនិត្យ</t>
  </si>
  <si>
    <t>Verified by</t>
  </si>
  <si>
    <t>អ្នកធ្នើតារាង</t>
  </si>
  <si>
    <t>HENG SOPHAT</t>
  </si>
  <si>
    <t>BI SANGMENG</t>
  </si>
  <si>
    <t>LD1002900235</t>
  </si>
  <si>
    <t>LD1002900286</t>
  </si>
  <si>
    <t>Monthly Amortization amount ( USD625)</t>
  </si>
  <si>
    <t>Monthly Amortization amount ( USD435)</t>
  </si>
  <si>
    <t># 182, St. E, Phum Krang Angkrang, Sangkat Krang Thnuong, Khan Sen Sok, Phnom Penh.</t>
  </si>
  <si>
    <t>Phum Choam Chao, Sangkat Choam Chao, Khan Posenchey, Phnom Penh.</t>
  </si>
  <si>
    <t>5507 ប.ជ</t>
  </si>
  <si>
    <t xml:space="preserve">#409E0, 1, 2 Street 128 (Kampuchea Krom), Sangkat Psar Depo III, Khan Tuol Kouk, Phnom Penh </t>
  </si>
  <si>
    <t>Tang Sanghak III sale of Air Conditioners</t>
  </si>
  <si>
    <t>Monthly Amortization amount ( USD2,945)</t>
  </si>
  <si>
    <t>LD1002900390</t>
  </si>
  <si>
    <t>MOM HOEUNG SARY</t>
  </si>
  <si>
    <t>Monthly Amortization amount ( USD495)</t>
  </si>
  <si>
    <r>
      <rPr>
        <sz val="12"/>
        <rFont val="Times New Roman"/>
        <family val="1"/>
      </rPr>
      <t>2102</t>
    </r>
    <r>
      <rPr>
        <sz val="8"/>
        <rFont val="Times New Roman"/>
        <family val="1"/>
      </rPr>
      <t xml:space="preserve"> </t>
    </r>
    <r>
      <rPr>
        <sz val="11"/>
        <rFont val="DaunPenh"/>
      </rPr>
      <t>លប</t>
    </r>
    <r>
      <rPr>
        <sz val="11"/>
        <rFont val="Times New Roman"/>
        <family val="1"/>
      </rPr>
      <t>.</t>
    </r>
    <r>
      <rPr>
        <sz val="11"/>
        <rFont val="DaunPenh"/>
      </rPr>
      <t>កច្រ</t>
    </r>
    <r>
      <rPr>
        <sz val="11"/>
        <rFont val="Times New Roman"/>
        <family val="1"/>
      </rPr>
      <t>1</t>
    </r>
  </si>
  <si>
    <r>
      <t>Senior Core Banking Officer</t>
    </r>
    <r>
      <rPr>
        <sz val="11"/>
        <rFont val="Times New Roman"/>
        <family val="1"/>
      </rPr>
      <t xml:space="preserve"> </t>
    </r>
  </si>
  <si>
    <t>St.Betong, Phum Kouk klang, Sangkat Phnom Penh Thmey, Khan Sen Sok, Phnom Penh.</t>
  </si>
  <si>
    <t>2848លប.កច្រ1</t>
  </si>
  <si>
    <t>#24BE1, St. 428, Group.6, Phum 2, Sangkat Boeng Tabek, Khan Cham Kamorn, Phnom Penh.</t>
  </si>
  <si>
    <t>Operation Manager</t>
  </si>
  <si>
    <t>SY MENG &amp; KOK SOK KEA</t>
  </si>
  <si>
    <t>Monthly Amortization amount ( USD1,330)</t>
  </si>
  <si>
    <t>LD1002700471</t>
  </si>
  <si>
    <t>Phum Beong Salang, St. Bethong, Sangkat Russey Keo, Khan Russey Keo, Phnom Penh.</t>
  </si>
  <si>
    <t>541 លប</t>
  </si>
  <si>
    <t>A flat, Phum Beong Salang, St. Bethong, Sangkat Russey Keo, Khan Russey Keo, Phnom Penh.</t>
  </si>
  <si>
    <t>Rental House</t>
  </si>
  <si>
    <t>SY MENG</t>
  </si>
  <si>
    <t>LY LY ING</t>
  </si>
  <si>
    <t>LD1001000635</t>
  </si>
  <si>
    <t>Monthly Amortization amount ( USD250)</t>
  </si>
  <si>
    <t>#11E0E1, ST. 04, Phum Kouk Khleang, Sangkat Phnom Penh Thmey, Khan Sen Sok, Phnom Penh.</t>
  </si>
  <si>
    <t>3101 លប.កច្រ1</t>
  </si>
  <si>
    <t>Refinance</t>
  </si>
  <si>
    <t>Operation Staff</t>
  </si>
  <si>
    <t>SUON CHANDA</t>
  </si>
  <si>
    <t>LD1622352943</t>
  </si>
  <si>
    <t>Monthly Amortization amount ( USD3200)</t>
  </si>
  <si>
    <t>A flat located at #72E0, St. 168, Sangkat Orussey 2, Khan 7 Makara, Phnom Penh.</t>
  </si>
  <si>
    <t>To buy a land.</t>
  </si>
  <si>
    <t>Manager of Advertise &amp; Cashier &amp; House &amp; Room Rental Business</t>
  </si>
  <si>
    <t>PEN PHALLA NGUN SOPHY</t>
  </si>
  <si>
    <t>Additional  : 00 A/C</t>
  </si>
  <si>
    <t>SON SOPHORS</t>
  </si>
  <si>
    <t>LD1625790130</t>
  </si>
  <si>
    <t>Monthly Amortization amount ( USD500.19)</t>
  </si>
  <si>
    <t>SOR BUNHAY</t>
  </si>
  <si>
    <t>A flat located at Borey The River Town #C-05, Group 8, Phum 3, Sangkat Chroy Chongva, Khan Chroy Chongva, Phnom Penh.</t>
  </si>
  <si>
    <t>Borey The River Town #C-05, Group 8, Phum 3, Sangkat Chroy Chongva, Khan Chroy Chongva, Phnom Penh.</t>
  </si>
  <si>
    <t>To buy a flat.</t>
  </si>
  <si>
    <t xml:space="preserve">Marketing Manager </t>
  </si>
  <si>
    <t>VONG RADY</t>
  </si>
  <si>
    <t>LD1625109001</t>
  </si>
  <si>
    <t>Monthly Amortization amount ( USD611.58)</t>
  </si>
  <si>
    <t>A four floor flat located at Phum 13, Sangkat Teuk Lauk1, Khan Tuol Kouk, Phnom Penh.</t>
  </si>
  <si>
    <t>12040413-0053</t>
  </si>
  <si>
    <t xml:space="preserve"> located at Phum 13, Sangkat Teuk Lauk1, Khan Tuol Kouk, Phnom Penh.</t>
  </si>
  <si>
    <t>Chemistry Teacher &amp; Room rental</t>
  </si>
  <si>
    <t>To support the finalize constructor payment</t>
  </si>
  <si>
    <t>TANG CHHOEUN</t>
  </si>
  <si>
    <t>LD1625162422</t>
  </si>
  <si>
    <t>Monthly Amortization amount ( USD1,301.30)</t>
  </si>
  <si>
    <t>1. A house located at Phum Se Pe Se, Sangkat Teuk Thla, Khan Sen Sok, Phnom Penh. 2. A flat located at #10EE0E1, Phum Tomnop, Sangkat Phnom Penh Thmey, Khan Sen Sok, Phnom Penh.</t>
  </si>
  <si>
    <t>12080205-0382 &amp; 3158 លប.កច្រ1</t>
  </si>
  <si>
    <t xml:space="preserve">Selling all kinds of Key &amp; Jewelry business </t>
  </si>
  <si>
    <t>EING SOKHA</t>
  </si>
  <si>
    <t>LD1003000077</t>
  </si>
  <si>
    <t>Monthly Amortization amount ( USD650.65)</t>
  </si>
  <si>
    <t>A flat located at Borey Lay Kung #13DE0E1, St. 07, Phum Mol, Sangkat Doungkor, Khan Doungkor, Phnom Penh.</t>
  </si>
  <si>
    <t xml:space="preserve">Chief Executive Officer &amp; Junior Account Manager </t>
  </si>
  <si>
    <t>HOK ATHERIDDH</t>
  </si>
  <si>
    <t>LD1003000329</t>
  </si>
  <si>
    <t>Monthly Amortization amount ( USD434.44)</t>
  </si>
  <si>
    <t>A flat located at Borey Lay Kung #23JE0, St. 09, Phum Mol, Sangkat Doungkor, Khan Doungkor, Phnom Penh.</t>
  </si>
  <si>
    <t>Borey Lay Kung #23JE0, St. 09, Phum Mol, Sangkat Doungkor, Khan Doungkor, Phnom Penh.</t>
  </si>
  <si>
    <t xml:space="preserve">Retails Senior Sales Supervisor &amp; small crab soup business </t>
  </si>
  <si>
    <t>3774 លប</t>
  </si>
  <si>
    <t>A flat EoE1 located at #43D, St.29, Group 05, Phum Prek Talong 1, Sangkat Chak Angre Kroum, Khan Mean Chey, Phnom Penh.</t>
  </si>
  <si>
    <t>633 បជ.មជ</t>
  </si>
  <si>
    <t>Accountant</t>
  </si>
  <si>
    <t>HORNG BUNNARA</t>
  </si>
  <si>
    <t>A flat located at  #B14, Phum Kroul Ko, Sangkat Kilo Met lek6, Khan Russey Keo, Phnom Penh.</t>
  </si>
  <si>
    <t>450 កច្រ1</t>
  </si>
  <si>
    <t>Chicken Seller</t>
  </si>
  <si>
    <t>YOUK KIM OEUN</t>
  </si>
  <si>
    <t>LD1001100106</t>
  </si>
  <si>
    <t>HENG CHETRA</t>
  </si>
  <si>
    <t>LD1003000069</t>
  </si>
  <si>
    <t>Monthly Amortization amount ( USD852.57)</t>
  </si>
  <si>
    <t>St. Lum, Phum Khva, Sangkat Dang Kor, Khan Dang Kor Phnom Penh.</t>
  </si>
  <si>
    <t>3765ល.ប</t>
  </si>
  <si>
    <t>Borey New World  # 228, St. 103, Phum Bayab, Sangkat Phnom Penh Thmey, Khan Sen Sok, Phnom Penh.</t>
  </si>
  <si>
    <t>3248លប.កច្រ១</t>
  </si>
  <si>
    <t>CHT Distributer</t>
  </si>
  <si>
    <t>BET PHAK</t>
  </si>
  <si>
    <t>EK SOK</t>
  </si>
  <si>
    <t>Ek Sok &amp; Suon Leakhena</t>
  </si>
  <si>
    <t>HAK SAKKUNA</t>
  </si>
  <si>
    <t>HUONG SODETH</t>
  </si>
  <si>
    <t>KAO CHILEANG</t>
  </si>
  <si>
    <t>KHEM PICH</t>
  </si>
  <si>
    <t>LUN DANE</t>
  </si>
  <si>
    <t>LY ERO</t>
  </si>
  <si>
    <t>PRUM AUN</t>
  </si>
  <si>
    <t>LD1002600862</t>
  </si>
  <si>
    <t>LD1526200213</t>
  </si>
  <si>
    <t>LD1000900920</t>
  </si>
  <si>
    <t>LD1526200243</t>
  </si>
  <si>
    <t>LD1526200204</t>
  </si>
  <si>
    <t>LD1526200281</t>
  </si>
  <si>
    <t>LD1526200182</t>
  </si>
  <si>
    <t>LD1001000093</t>
  </si>
  <si>
    <t>LD1002400921</t>
  </si>
  <si>
    <t>LD1526200352</t>
  </si>
  <si>
    <t>Monthly amortization of USD 654.09 to be paid every month until the facility is fully settled.</t>
  </si>
  <si>
    <t>Monthly amortization installment of USD 1,080.00 to be paid every month until the facility is fully settled.</t>
  </si>
  <si>
    <t>(Amortization $ 508.61)</t>
  </si>
  <si>
    <t>Monthly Amortization of USD1,220.00 until the facility is fully settled.</t>
  </si>
  <si>
    <t>Monthly Amortization of USD670.00 until the facility is fully settled.</t>
  </si>
  <si>
    <t>Monthly Amortization installment of USD3,262.00to be paid until the facility is fully settled.</t>
  </si>
  <si>
    <t>Monthly Amortization of USD940.00 until the facility is fully settled.</t>
  </si>
  <si>
    <t>Monthly amortization of USD 343.49 to be paid every month until the facility is fully settled.</t>
  </si>
  <si>
    <t>Monthly Amortization installment of USD334.00 to be paid until the facility is fully settled.</t>
  </si>
  <si>
    <t xml:space="preserve">Flat on land sized 48m2 located at #03EE0E1, Phum Mal, Sangkat Dangkor, Khan Dangkor,PP </t>
  </si>
  <si>
    <t>A plot of land and 02flats with total land sized 231m2@SK Toek Thla, Khan Sen Sok, PP</t>
  </si>
  <si>
    <t>Combined with T/L</t>
  </si>
  <si>
    <t>Combined with TL 1</t>
  </si>
  <si>
    <t>Land sized 20,713m2, at Roung Chak Village, Sangkat PP Thmei, Khan Sen Sok, Phnom Penh</t>
  </si>
  <si>
    <t>A plot of land sized 258m2 with a villa on it@ Phum Toul Sangkea, Sangkat Toul Sangkea, Khan Ruessey Keo, PP</t>
  </si>
  <si>
    <t>Flat on land sized 128m2 at D-26/28, Phum Lor Kam Bor, Sangkat Svay Pak, Khan Ruseey Keo, PP and Flat on land at St.371, Sangkat Boeng Tom Pum, Khan Mean Chey, PP</t>
  </si>
  <si>
    <t>A. House on land sized 74,34m2 at Phum Tuol Kork, Sangkat Toul Sangkae, Khan Ruseey Keo, PP. B. Land sized 79,38m2 at Group 3, Phum Tuol Kok, Sangkat Tuol Sangke, Khan Russey Keo, PP</t>
  </si>
  <si>
    <t>Land size 837m2 at Phum Ti 3, Sangkat Chroy Chongva, Khan Chroy Chongva, PP</t>
  </si>
  <si>
    <t>Land size 260m2 at Phum Chom Chov, Sangkat Chom chov, Khan Por Sen Chey, PP</t>
  </si>
  <si>
    <t>#23, St. 317, Phum 8, Sangkat Boeung Kak I, Khan Toul Kork, PP</t>
  </si>
  <si>
    <t>835លប</t>
  </si>
  <si>
    <t>12080209-0619</t>
  </si>
  <si>
    <t>1086 ល.ប</t>
  </si>
  <si>
    <t>364លប</t>
  </si>
  <si>
    <t>9.94ល.ប &amp; 9.95 ល.ប &amp; under processing</t>
  </si>
  <si>
    <t>A. 588លប. B. 1244លប</t>
  </si>
  <si>
    <t>ភព 24746</t>
  </si>
  <si>
    <t>10512 ប.ជ</t>
  </si>
  <si>
    <t>1227/13</t>
  </si>
  <si>
    <t xml:space="preserve">#03EE0E1, Phum Mal, Sangkat Dangkor, Khan Dangkor,PP </t>
  </si>
  <si>
    <t>#53E, St. 592, Sangkat Boeung Kak2, Khan Toul Kork, PP</t>
  </si>
  <si>
    <t>#6A, Phum Damnak, S/K PP Thmei, Khan Sensok, PP</t>
  </si>
  <si>
    <t># 2E1, St. 159, Phum Ti 5, Sangkat Olympic, Khan Chom Kar Morn, PP</t>
  </si>
  <si>
    <t>#297F, St. 907, Phum Toul Sangkea, Sangkat Toul Sangkea, Khan Ruessey Keo, PP</t>
  </si>
  <si>
    <t>St. 87C, St. Lum, Phum Prey Khang Cherng, Sangkat Chom Chov, Khan Por Sen Chey, PP</t>
  </si>
  <si>
    <t>#81CE1, St. 360, Group 40, Phum Ti 3, Sangkat Boeng Keng Kong Ti 3, Khan Chomkarmorn, PP</t>
  </si>
  <si>
    <t># 36 Eo, St. 13, Phum Ti 6, Sangkat Vat Phnom, Khan Dauh Penh, PP</t>
  </si>
  <si>
    <t>#13E3, St. 170, Group 29, Phum Ti 5, Sangkat Ou Resey Ti 1, Khan 7 Makara, PP</t>
  </si>
  <si>
    <t>Buy Flat</t>
  </si>
  <si>
    <t>Car repairing and Garage Owner</t>
  </si>
  <si>
    <t>Home Improvement</t>
  </si>
  <si>
    <t>Selling Pillow and plastic products</t>
  </si>
  <si>
    <t>Purchase house</t>
  </si>
  <si>
    <t>Staff at First Cambodia Co., Ltd.</t>
  </si>
  <si>
    <t>Build House</t>
  </si>
  <si>
    <t xml:space="preserve">Manager of Channel Management </t>
  </si>
  <si>
    <t>Purchase House</t>
  </si>
  <si>
    <t>Wholesale Gas</t>
  </si>
  <si>
    <t>Chief of PM security Guard</t>
  </si>
  <si>
    <t>Refinance from Hattha Kaksekar Limited and Purchase a new car</t>
  </si>
  <si>
    <t xml:space="preserve">Human Resource Manager at RMA Fianancail Service and Staff at Administration abd Human Resource Department at Cambodian Angkor Real Estate. </t>
  </si>
  <si>
    <t>Jewelry Business, Pawn Shop and Real Estate Business</t>
  </si>
  <si>
    <t>Supervisor at Vuthy Mean Leap Car Sale Garage</t>
  </si>
  <si>
    <t>Selling Computer</t>
  </si>
  <si>
    <t>VONG RADY</t>
  </si>
  <si>
    <t>TANG CHHOEUN</t>
  </si>
  <si>
    <t>HOK ATHERIDDH</t>
  </si>
  <si>
    <t>YUN CHANDY</t>
  </si>
  <si>
    <t xml:space="preserve">EK SOK </t>
  </si>
  <si>
    <t>SENG VANNA</t>
  </si>
  <si>
    <t>LD1003000458</t>
  </si>
  <si>
    <t>Monthly Amortization installment of USD398.81 to be paid until the facility is fully settled.</t>
  </si>
  <si>
    <t>SEAM VANSY</t>
  </si>
  <si>
    <t>LD1003000475</t>
  </si>
  <si>
    <t>Monthly Amortization installment of USD531.78 to be paid until the facility is fully settled.</t>
  </si>
  <si>
    <r>
      <t>136</t>
    </r>
    <r>
      <rPr>
        <sz val="10"/>
        <rFont val="Khmer Kep"/>
      </rPr>
      <t xml:space="preserve"> </t>
    </r>
    <r>
      <rPr>
        <b/>
        <sz val="10"/>
        <rFont val="Khmer Kep"/>
      </rPr>
      <t>លបច្ររ១</t>
    </r>
  </si>
  <si>
    <r>
      <t>3647</t>
    </r>
    <r>
      <rPr>
        <b/>
        <sz val="11"/>
        <rFont val="Khmer Kep"/>
      </rPr>
      <t xml:space="preserve"> </t>
    </r>
    <r>
      <rPr>
        <b/>
        <sz val="10"/>
        <rFont val="Khmer Kep"/>
      </rPr>
      <t>លប</t>
    </r>
    <r>
      <rPr>
        <sz val="10"/>
        <rFont val="Khmer Kep"/>
      </rPr>
      <t xml:space="preserve"> </t>
    </r>
  </si>
  <si>
    <t>Borey Hok Chheng #26V, St. Betong, Phum Mor, Sangkat Dang kor, Khan Dang Kor, PP</t>
  </si>
  <si>
    <t>4860លប</t>
  </si>
  <si>
    <t>Chief Academic Officer</t>
  </si>
  <si>
    <t>#E4, St. Lum, Phum Krol Koul, Sangkat Killomete Leak 6, Khan Russey Keo, PP</t>
  </si>
  <si>
    <t>481កច្រ១</t>
  </si>
  <si>
    <t>#257E0, St. 72, Group 221, Phum 17, Sangkat Sras Chork, Khan Doun Penh, PP</t>
  </si>
  <si>
    <t>Selling, Rent and Repair all Kind of Generator</t>
  </si>
  <si>
    <t xml:space="preserve">CHHUN VIRAK </t>
  </si>
  <si>
    <t>LD1003000257</t>
  </si>
  <si>
    <t>Monthly Amortization installment of USD609.68 to be paid until the facility is fully settled.</t>
  </si>
  <si>
    <t>Borey Thai Heng, Phum Dey Thmey, Sangkat Phnom Penh Thmey, khan sen sok, Phnom Penh.</t>
  </si>
  <si>
    <t>12080108-1451</t>
  </si>
  <si>
    <t xml:space="preserve">Nature Restaurant Business </t>
  </si>
  <si>
    <t>CHAN EANTAY</t>
  </si>
  <si>
    <t>LD1003000416</t>
  </si>
  <si>
    <t>Monthly principle installment.</t>
  </si>
  <si>
    <t>#B25, Phum Tuol Kouk, Sangkat Tuol Songkea, Khan Russey Keo, Phnom Penh.</t>
  </si>
  <si>
    <t>Kid’s Clothes Selling Business</t>
  </si>
  <si>
    <t>KIM NY</t>
  </si>
  <si>
    <t>LD1003000701</t>
  </si>
  <si>
    <t>Monthly Amortization installment of USD650.72 to be paid until the facility is fully settled.</t>
  </si>
  <si>
    <t xml:space="preserve"> #17DE0E1, St. 07, Phum Mol, Sangkat Doungkor, Khan Doungkor, Phnom Penh.</t>
  </si>
  <si>
    <t>Revlon Selling Business</t>
  </si>
  <si>
    <t>MEN BORAN</t>
  </si>
  <si>
    <t>LD1630502487</t>
  </si>
  <si>
    <t>Monthly Amortization installment of USD325.31 to be paid until the facility is fully settled.</t>
  </si>
  <si>
    <t>#230E0, St. 11, Phum Sambour, Sangkat Doungkor, Khan Doungkor, Phnom Penh.</t>
  </si>
  <si>
    <t xml:space="preserve">Administrative &amp; Business Staff </t>
  </si>
  <si>
    <t>4181 លប</t>
  </si>
  <si>
    <t>4077 លប</t>
  </si>
  <si>
    <t>364 លប</t>
  </si>
  <si>
    <t>A flat EOE1 located at #B25, Phum Tuol Kouk, Sangkat Tuol Songkea, Khan Russey Keo, Phnom Penh.</t>
  </si>
  <si>
    <t>A flat E0E1 located at #17DE0E1, St. 07, Phum Mol, Sangkat Doungkor, Khan Doungkor, Phnom Penh.</t>
  </si>
  <si>
    <t>A flat E0 located at #230E0, St. 11, Phum Sambour, Sangkat Doungkor, Khan Doungkor, Phnom Penh.</t>
  </si>
  <si>
    <t>TOUCH PHALLIN</t>
  </si>
  <si>
    <t>LD1003000379</t>
  </si>
  <si>
    <t>A flat E0 located at #04DE0, St. 06, Phum Mor, Sangkat Dongkor, Khan Dongkor, Phnom Penh.</t>
  </si>
  <si>
    <t>3840 លប</t>
  </si>
  <si>
    <t>Fuel Truck Driver</t>
  </si>
  <si>
    <t>Monthly Amortization installment of USD390 to be paid until the facility is fully settled.</t>
  </si>
  <si>
    <t>ENG SAKUN</t>
  </si>
  <si>
    <t>A flat E0 St. Lum, Phum Kouk Khleang, Sangkat Phnom Penh Thmei, Khan Sen Sok, Phnom Penh.</t>
  </si>
  <si>
    <t>3439 លប.កច្រ1</t>
  </si>
  <si>
    <t>Branch Manager</t>
  </si>
  <si>
    <t>LY KE</t>
  </si>
  <si>
    <t>LD1003000931</t>
  </si>
  <si>
    <t>Monthly Amortization installment of USD507.49 to be paid until the facility is fully settled.</t>
  </si>
  <si>
    <t>#252E0, Phum Krang Aongkrong, Sangkat Krang Thnong, Khan Sen Sok, Phnom Penh.</t>
  </si>
  <si>
    <t>A flat E0 located at #252E0, Phum Krang Aongkrong, Sangkat Krang Thnong, Khan Sen Sok, Phnom Penh.</t>
  </si>
  <si>
    <t>3632 លប.កច្រ1</t>
  </si>
  <si>
    <r>
      <t xml:space="preserve">Grocery and Consumption products &amp; Wholesale all kinds of Electrical Tools Business </t>
    </r>
    <r>
      <rPr>
        <sz val="11"/>
        <rFont val="Times New Roman"/>
        <family val="1"/>
      </rPr>
      <t xml:space="preserve"> </t>
    </r>
  </si>
  <si>
    <t>KONG SAVATH</t>
  </si>
  <si>
    <t>LD1629961470</t>
  </si>
  <si>
    <t>Monthly Amortization installment of USD866.80 to be paid until the facility is fully settled.</t>
  </si>
  <si>
    <t>DANH SOVONG</t>
  </si>
  <si>
    <t xml:space="preserve">DANH SOVONG </t>
  </si>
  <si>
    <t>LD1630027402</t>
  </si>
  <si>
    <t>LD1630016024</t>
  </si>
  <si>
    <t>Monthly Amortization installment of USD 852.67 to be paid until the facility is fully settled.</t>
  </si>
  <si>
    <t>Monthly Amortization installment of USD 1,076.86 to be paid until the facility is fully settled.</t>
  </si>
  <si>
    <t>A flat located at #B1Eo, Group 12, Toul Kork Village, S/K Toul Sangke, K/N Russey Keo, Phnom Penh</t>
  </si>
  <si>
    <t>095 លប</t>
  </si>
  <si>
    <t>#B1Eo, Group 12, Toul Kork Village, S/K Toul Sangke, K/N Russey Keo, Phnom Penh</t>
  </si>
  <si>
    <t>Govenor officer</t>
  </si>
  <si>
    <t>(1). A flat located at #B2Eo, Group 12, Toul Kork Village, S/K Toul Sangke, K/N Russey Keo, Phnom Penh.                             (2). A plot land along dusty road, sepean Khpos, S/K Lekh Prammuoy, K/N Russey Keo, Phnom Penh.</t>
  </si>
  <si>
    <t>(1). 575 លប                   (2). PP 05683</t>
  </si>
  <si>
    <t>(1). 575 លប                  (2). PP 05682</t>
  </si>
  <si>
    <t xml:space="preserve">#B2Eo, Group 12, Toul Kork Village, S/K Toul Sangke, K/N Russey Keo, Phnom Penh.  </t>
  </si>
  <si>
    <t>Fish and seafood seller</t>
  </si>
  <si>
    <t>CHHUN VIRAK</t>
  </si>
  <si>
    <t>SAY VUTHY</t>
  </si>
  <si>
    <t>Monthly Principel Installment.</t>
  </si>
  <si>
    <t xml:space="preserve">Borey Thai Heng, Phum Dey Thmey, Sangkat Phnom Penh Thmey, </t>
  </si>
  <si>
    <t>12080108-1446</t>
  </si>
  <si>
    <t xml:space="preserve">Official </t>
  </si>
  <si>
    <t>LOR SUYHOR</t>
  </si>
  <si>
    <t>PHUN BUNDITH</t>
  </si>
  <si>
    <t>PIN SOK HUN</t>
  </si>
  <si>
    <t>Monthly Amortization installment of USD345.61 to be paid until the facility is fully settled.</t>
  </si>
  <si>
    <t>Monthly Amortization installment of USD1,402.08 to be paid until the facility is fully settled.</t>
  </si>
  <si>
    <t>Monthly Amortization installment of USD283.08 to be paid until the facility is fully settled.</t>
  </si>
  <si>
    <t>Borey Villa Tuol Sangke #A1, Phum Boeung Salang, Sangkat Russey Keo, Khan Russey Keo, Phnom Penh</t>
  </si>
  <si>
    <t>ភព35484</t>
  </si>
  <si>
    <t>1AE0,St190, Sangkat Boeung Prolit, Khan 7 Makara, Phnom Penh.</t>
  </si>
  <si>
    <t>Borey Tangov #4E0, St.Betong, Phum Ou Angdoung1, Sangkat Prak Bra, Khan Chbar Ampov, Phnom Penh.</t>
  </si>
  <si>
    <t>2789បជ.ចអព</t>
  </si>
  <si>
    <t>#9E0, St308, Gr26, Phum 3, Sangkat Tonlea Basak Khan Chamkamorn, Phnom Penh.</t>
  </si>
  <si>
    <t>Support the settle remaining balance with Borey Tangov.</t>
  </si>
  <si>
    <t>TEM BORA</t>
  </si>
  <si>
    <t>SAMBATH SATHYA</t>
  </si>
  <si>
    <t>Monthly Amortization installment of USD664.61 to be paid until the facility is fully settled.</t>
  </si>
  <si>
    <t>Monthly Amortization installment of USD366.28 to be paid until the facility is fully settled.</t>
  </si>
  <si>
    <t>153កច្រ1</t>
  </si>
  <si>
    <t>#A03, St.Betong, Phum Kroul ko, Sangkat Kilo met lek 06, Khan Russey Keo, Phnom Penh.</t>
  </si>
  <si>
    <t xml:space="preserve">To purchase a flat </t>
  </si>
  <si>
    <t>Inspection Labor and Rule</t>
  </si>
  <si>
    <t>#1115,St.2,Gr.2, Phum Prek Tanou2, Sangkat Chak Angre Ler, Khan Mean Chey Phnom Penh</t>
  </si>
  <si>
    <t>4131បជ.មជ</t>
  </si>
  <si>
    <t>Car Salling and Buying</t>
  </si>
  <si>
    <t>#D2,StBetong, Phum Trapang Chrey , Sangkat Kakap, Khan Pusen Chey , Phnom Penh.</t>
  </si>
  <si>
    <t>12090304-0391</t>
  </si>
  <si>
    <t>Head of Secretariat</t>
  </si>
  <si>
    <t>YEN SOPHORN</t>
  </si>
  <si>
    <t>Monthly Amortization installment of USD475.48 to be paid until the facility is fully settled.</t>
  </si>
  <si>
    <t>PHUN BANDITH</t>
  </si>
  <si>
    <t>LD1630016025</t>
  </si>
  <si>
    <t>LD1630016026</t>
  </si>
  <si>
    <t>LD1630016027</t>
  </si>
  <si>
    <t>LD1630016030</t>
  </si>
  <si>
    <t>LD1630016031</t>
  </si>
  <si>
    <t>LD1630016032</t>
  </si>
  <si>
    <t>Borey VMPP, #4N, St.344B, Sangkat Chrang Chamres, Khan Russey Keo, Phnom Penh.</t>
  </si>
  <si>
    <t>ភព35453</t>
  </si>
  <si>
    <t>To settle loan at borey VMPP</t>
  </si>
  <si>
    <t>Lieutenant colonel</t>
  </si>
  <si>
    <t>Deputy Head of Competition And Consumer Protection.</t>
  </si>
  <si>
    <t>Sor Sokhorn</t>
  </si>
  <si>
    <t>SUM SONG</t>
  </si>
  <si>
    <t>SUON RATANA</t>
  </si>
  <si>
    <t>SREY PHORS</t>
  </si>
  <si>
    <t>CHEA CHAMROEUN</t>
  </si>
  <si>
    <t>LY VENGLONG</t>
  </si>
  <si>
    <t>LD1633632766</t>
  </si>
  <si>
    <t>LD1633657006</t>
  </si>
  <si>
    <t>LD1634463290</t>
  </si>
  <si>
    <t>LD1635070603</t>
  </si>
  <si>
    <t>LD1635012942</t>
  </si>
  <si>
    <t>NOP CHANRY</t>
  </si>
  <si>
    <t>LD1635186645</t>
  </si>
  <si>
    <t>CHHIN SOBINTHORN</t>
  </si>
  <si>
    <t>LD1535584787</t>
  </si>
  <si>
    <t>CHHAI SOKSOVAN</t>
  </si>
  <si>
    <t>LD1635590824</t>
  </si>
  <si>
    <t>KUM KOREN</t>
  </si>
  <si>
    <t>LD1635680010</t>
  </si>
  <si>
    <t>H/L</t>
  </si>
  <si>
    <t>LD1636342658</t>
  </si>
  <si>
    <t>MAY SOKLIM</t>
  </si>
  <si>
    <t>LD1636506399</t>
  </si>
  <si>
    <t xml:space="preserve">LIM LENICH </t>
  </si>
  <si>
    <t>#D11,St.1984,Group,9, Phum Phnom Penh Thmey, Sangkat Phnom Penh , Khan Sen Sok, Phnom Penh.</t>
  </si>
  <si>
    <t>12070505-0620</t>
  </si>
  <si>
    <t>A flat of land at #D11,St.1984,Group,9, Phum Phnom Penh Thmey, Sangkat Phnom Penh , Khan Sen Sok, Phnom Penh.</t>
  </si>
  <si>
    <t xml:space="preserve">To buy a villa </t>
  </si>
  <si>
    <t>Engineering</t>
  </si>
  <si>
    <t>Monthly Principal installment.</t>
  </si>
  <si>
    <t>A flat of land at #5B, St.Betong, Phum Dey Thmey, Sangkat Phnom Penh Thmey, Khan Sen Sok, Phnom Penh.</t>
  </si>
  <si>
    <t>12080108-1494</t>
  </si>
  <si>
    <t xml:space="preserve"> #5B, St.Betong, Phum Dey Thmey, Sangkat Phnom Penh Thmey, Khan Sen Sok, Phnom Penh.</t>
  </si>
  <si>
    <t>To purchase a flat</t>
  </si>
  <si>
    <t xml:space="preserve">Account manager </t>
  </si>
  <si>
    <t>Monthly Amortization installment of USD467.13 to be paid until the facility is fully settled.</t>
  </si>
  <si>
    <t>A flat of land at #6B, St.Betong, Phum Dey Thmey, Sangkat Phnom Penh Thmey, Khan Sen Sok, Phnom Penh.</t>
  </si>
  <si>
    <t>12080108-1495</t>
  </si>
  <si>
    <t xml:space="preserve"> #6B, St.Betong, Phum Dey Thmey, Sangkat Phnom Penh Thmey, Khan Sen Sok, Phnom Penh.</t>
  </si>
  <si>
    <t>Under processing (Soft Title)</t>
  </si>
  <si>
    <t>#40AE0,St.09, Phum Pro Ka, Sangkat Prey Sor, Khan Dangkao, Phnom Penh.</t>
  </si>
  <si>
    <t>Monthly Amortization installment of USD360.00 to be paid until the facility is fully settled.</t>
  </si>
  <si>
    <t>#2144F, Phum Phnom Penh Thmey , Sangkat Phnom Penh Thmey, Khan Sen Sok, Phnom Penh</t>
  </si>
  <si>
    <t>K-D Auto parts</t>
  </si>
  <si>
    <t>To refinace from borey chip mong land (Housing Loan)</t>
  </si>
  <si>
    <t>Monthly Amortization installment of USD773.68 to be paid until the facility is fully settled.</t>
  </si>
  <si>
    <t>#D16,St, Betong,Phum Trapang Chrey, Sangkat Kakap, Khan Pusen Chey, Phnom Penh</t>
  </si>
  <si>
    <t>12090304-0405</t>
  </si>
  <si>
    <t>Deputy of technical drawing</t>
  </si>
  <si>
    <t>Monthly Amortization installment of USD440.00 to be paid until the facility is fully settled.</t>
  </si>
  <si>
    <t>A flat of land at #40AE0,St.09, Phum Pro Ka, Sangkat Prey Sor, Khan Dangkao, Phnom Penh.</t>
  </si>
  <si>
    <t>Villa at Borey Chip mong land #19,St.P07,Phum Bayab, Sangkat Phnom Penh.</t>
  </si>
  <si>
    <t>A flat of land at #D16,St, Betong,Phum Trapang Chrey, Sangkat Kakap, Khan Pusen Chey, Phnom Penh</t>
  </si>
  <si>
    <t>A flat of land at #K8,St.Lum, Phum Prey Chi, Sangkat Cham Chai, Khan Pusen Chey, Phnom Penh</t>
  </si>
  <si>
    <t>#2B,St.32, Phum Sonsam Kosal 2, Sangkat Beoung Tumpun, Khan Mean Chey, Phnom Penh</t>
  </si>
  <si>
    <t>To support the setle remaining balance of USD25,250.00 with flat  constructor</t>
  </si>
  <si>
    <t>Semple room supervisor</t>
  </si>
  <si>
    <t>Monthly Amortization installment of USD343.11 to be paid until the facility is fully settled.</t>
  </si>
  <si>
    <t>A flat of land at Borey New World ,#39E0, St.04A, Phum Sampour, Sangkat Dangkao, Khan Dangkao,Phnom Penh</t>
  </si>
  <si>
    <t>#39E0, St.04A, Phum Sampour, Sangkat Dangkao, Khan Dangkao,Phnom Penh</t>
  </si>
  <si>
    <t>To subject requested facility USD32,600 to settle the installment amount with borey at remaining amount of USD 42,403.47</t>
  </si>
  <si>
    <t>Senior lending specialist</t>
  </si>
  <si>
    <t>Monthly Amortization installment of USD471.21 to be paid until the facility is fully settled.</t>
  </si>
  <si>
    <t>Villa at Borey chip mong land #25,St.P07, Phum bayab, Sangkat Phnom Penh Thmey, Khan Sen Sok, Phnom Penh</t>
  </si>
  <si>
    <t>#25,St.P07, Phum bayab, Sangkat Phnom Penh Thmey, Khan Sen Sok, Phnom Penh</t>
  </si>
  <si>
    <t>To refinace from borey chip mong land ( housing Loan)</t>
  </si>
  <si>
    <t>Site supervisor</t>
  </si>
  <si>
    <t>Monthly Amortization installment of USD800.00 to be paid until the facility is fully settled.</t>
  </si>
  <si>
    <t>A flat of land at #282, Phum Break Talong 1, Sangkat Chak Angre krom, Khan Mean Chey, Phnom Penh.</t>
  </si>
  <si>
    <t>#282, Phum Break Talong 1, Sangkat Chak Angre krom, Khan Mean Chey, Phnom Penh.</t>
  </si>
  <si>
    <t>Desk Editor</t>
  </si>
  <si>
    <t>Monthly Principal installment</t>
  </si>
  <si>
    <t>A 2 floors flat under old version hard title deed at #77E0E1,St.240(Oknha Chhun), Sangkat Chey Chhoumnes, Khan Doun Penh, Phnom Penh.
A flat of land at #75E0E1,St.240(Oknha Chhun), Sangkat Chey Chhoumnes, Khan Doun Penh, Phnom Penh.</t>
  </si>
  <si>
    <t>No.6073&amp;10216
12020811-0072</t>
  </si>
  <si>
    <t>Monthly Amortization installment of USD2440.47 to be paid until the facility is fully settled.</t>
  </si>
  <si>
    <t>Marketing Manager</t>
  </si>
  <si>
    <t>Monthly Amortization installment of USD530.00 to be paid until the facility is fully settled.</t>
  </si>
  <si>
    <t xml:space="preserve">KROEM VUTHY </t>
  </si>
  <si>
    <t>LD1000900051</t>
  </si>
  <si>
    <t>Monthly Amortization of USD477.16 until the facility is fully settled.</t>
  </si>
  <si>
    <t xml:space="preserve">HAK SAKKUNA </t>
  </si>
  <si>
    <t xml:space="preserve">Hak Sakkuna </t>
  </si>
  <si>
    <t>249លប</t>
  </si>
  <si>
    <t>#6A, Group1, Phum Domnak, Sangkat Phnom Penh Thmei, Khan Sen Sok, Phnom Penh</t>
  </si>
  <si>
    <t>LD1700340553</t>
  </si>
  <si>
    <t>Monthly Amortization installment of USD75.16 to be paid until the facility is fully settled.</t>
  </si>
  <si>
    <t>SOK SAMAIT</t>
  </si>
  <si>
    <t>LD1700502873</t>
  </si>
  <si>
    <t>Monthly Amortization installment of USD332.30 to be paid until the facility is fully settled.</t>
  </si>
  <si>
    <t>LD1700670358</t>
  </si>
  <si>
    <t>LD1701218504</t>
  </si>
  <si>
    <t>LD1701380408</t>
  </si>
  <si>
    <t>LD1701788285</t>
  </si>
  <si>
    <t>PHORK NARIN</t>
  </si>
  <si>
    <t>PHOU SEIT &amp; LAY LEAKSANGVA</t>
  </si>
  <si>
    <t>MEAS SANETH</t>
  </si>
  <si>
    <t>Monthly Amortization installment of USD566.14 to be paid until the facility is fully settled.</t>
  </si>
  <si>
    <t>Monthly Amortization installment of USD324.97 to be paid until the facility is fully settled.</t>
  </si>
  <si>
    <t>Monthly Amortization installment of USD426.25 to be paid until the facility is fully settled.</t>
  </si>
  <si>
    <t>Monthly Amortization installment of USD481.08 to be paid until the facility is fully settled.</t>
  </si>
  <si>
    <t>Bo Sereyrath</t>
  </si>
  <si>
    <t>PHOU SEIT</t>
  </si>
  <si>
    <t xml:space="preserve"> Renew      : 00A/C</t>
  </si>
  <si>
    <t>PEN SAROEUN.</t>
  </si>
  <si>
    <t xml:space="preserve">Kroem Vuthy &amp; Srey Mey </t>
  </si>
  <si>
    <t xml:space="preserve">Kroem Vuthy </t>
  </si>
  <si>
    <t>House on land sized 414m2, at phum Ang Ta Sam , Khom Ang Ta Sam, Srok Trang Kok, Takeo province.</t>
  </si>
  <si>
    <t>21090107-0555</t>
  </si>
  <si>
    <t>Phum Kok khlok,  Sangkat Phnom Penh Thmey, Khan Sen Sok, Phnom Penh.</t>
  </si>
  <si>
    <t>To support a contruction of his flat one more floor.</t>
  </si>
  <si>
    <t>Borey Cham Kadoung #1085, Phum Thmey, sangkat Doungkor, Khan Doungkor, Phnom penh.</t>
  </si>
  <si>
    <t>4427លប</t>
  </si>
  <si>
    <t>Comband from T/L</t>
  </si>
  <si>
    <t>A flat of land at #B7E0, Phum Thnort Chhum, Sangkat Boeung Tom Pun , Khan Meanchey =, Phnom Penh.</t>
  </si>
  <si>
    <t>2060បជមជ</t>
  </si>
  <si>
    <t>#9A, St.387, Phum Thnowt Chhom, Sangkat Boeung Tom Pon, Khan Mean Chey, Phnom Penh,</t>
  </si>
  <si>
    <t>To buy house</t>
  </si>
  <si>
    <t>Chief Credit Office</t>
  </si>
  <si>
    <t>#381, St.87BT, Phum Thnowt Chhom, Sangkat Boeung Tom Pon, Khan Mean Chey, Phnom Penh,</t>
  </si>
  <si>
    <t xml:space="preserve">To support the settle remaining balance USD25,000.00 with Borey </t>
  </si>
  <si>
    <t>Head of Department.</t>
  </si>
  <si>
    <t>A flat of land at #4257,St. Betong, Phum Kouk Khleang , Sangkat Phnom Penh Thmey, Khan Sen Sok, Phnom Penh</t>
  </si>
  <si>
    <t>3357លបកច្រ1</t>
  </si>
  <si>
    <t xml:space="preserve"> #4257,St. Betong, Phum Kouk Khleang , Sangkat Phnom Penh Thmey, Khan Sen Sok, Phnom Penh</t>
  </si>
  <si>
    <t>Teacher</t>
  </si>
  <si>
    <t>A flat of land at St. Betong, Phum Thnout Chrum, Sangkat Boeung Tom pun, Khan Meanchey, Phnom Penh.</t>
  </si>
  <si>
    <t>12060205-0976</t>
  </si>
  <si>
    <t>At  St. Betong, Phum Thnout Chrum, Sangkat Boeung Tom pun, Khan Meanchey, Phnom Penh.</t>
  </si>
  <si>
    <t>Water governance project maneger,OXFAM Australia.</t>
  </si>
  <si>
    <t>ROM CHENDA</t>
  </si>
  <si>
    <t>LD1703759878</t>
  </si>
  <si>
    <t>Monthly Amortization installment of USD224.90 to be paid until the facility is fully settled.</t>
  </si>
  <si>
    <t>RUN CHANDARO</t>
  </si>
  <si>
    <t>LD1704579776</t>
  </si>
  <si>
    <t>Monthly Amortization installment of USD314.08 to be paid until the facility is fully settled.</t>
  </si>
  <si>
    <t>SAM PISETH</t>
  </si>
  <si>
    <t>LD1704703493</t>
  </si>
  <si>
    <t>Monthly Amortization installment of USD541.52  to be paid until the facility is fully settled.</t>
  </si>
  <si>
    <t>HAP SARATH</t>
  </si>
  <si>
    <t>LD1704634900</t>
  </si>
  <si>
    <t>Monthly Amortization installment of USD319.64  to be paid until the facility is fully settled.</t>
  </si>
  <si>
    <t>Additional : 00A/Cs</t>
  </si>
  <si>
    <t>A flat of land size 92m2 at #E16,Phum Tro Peang Chrey, Sangkat Kakab, Khan Posenchey, Phnom Penh.</t>
  </si>
  <si>
    <t>12090304-0421</t>
  </si>
  <si>
    <t>At #E16,St. Betong,Phum Tro Peang Chrey, Sangkat Kakab, Khan Posenchey, Phnom Penh.</t>
  </si>
  <si>
    <t>Marketing Staff at UCB</t>
  </si>
  <si>
    <t>A flat of land at St.Lum, Phum Prey Chi Sak, Sangkat chom chav, Khan Posenchey, Phnom Penh.</t>
  </si>
  <si>
    <t>8921​ប.ជ</t>
  </si>
  <si>
    <t>At #375, St.371, Phum TrovPeang chouk, Sangkat Teuk Thla, Khan Sen Sok , Phnom Penh.</t>
  </si>
  <si>
    <t>Staff NBC</t>
  </si>
  <si>
    <t>Borey VARINA,#06, St.07, Phum Kouk kleang , Sangkat Phnom Penh Thmey, Khan Sok Sen, Phnom Penh.</t>
  </si>
  <si>
    <t>12080109-4626</t>
  </si>
  <si>
    <t xml:space="preserve">Business Owner </t>
  </si>
  <si>
    <t>12080202-1257</t>
  </si>
  <si>
    <t>#74K, St.2 ,St.11B , Group 1,Phum Tropeang Chhouk, Sangkat Touk Thla , Khan Sen Sok , Phnom Penh.</t>
  </si>
  <si>
    <t>Driver at ELECTRICITE DU CAMBODGE</t>
  </si>
  <si>
    <t>SHL</t>
  </si>
  <si>
    <t xml:space="preserve">PHAN BORIN </t>
  </si>
  <si>
    <t>LD1706277041</t>
  </si>
  <si>
    <t>PHOUN CHANRA</t>
  </si>
  <si>
    <t>LD1707282982</t>
  </si>
  <si>
    <t>NOUN VANNAK</t>
  </si>
  <si>
    <t>LD1708634967</t>
  </si>
  <si>
    <t>SOK SOCHETANA</t>
  </si>
  <si>
    <t>LD1708711982</t>
  </si>
  <si>
    <t>POV SOK PHEARI</t>
  </si>
  <si>
    <t>LD1001000348</t>
  </si>
  <si>
    <t>PHAN BORIN</t>
  </si>
  <si>
    <t>NUON VANNAK</t>
  </si>
  <si>
    <t>Monthly Principal installment of USD 160.68to be paid every month until the facility is fully settled.</t>
  </si>
  <si>
    <t>Monthly Amortization installment of USD383.01  to be paid until the facility is fully settled.</t>
  </si>
  <si>
    <t>Monthly Principal installment of USD 416.66to be paid every month until the facility is fully settled.</t>
  </si>
  <si>
    <t>Monthly Principal installment of USD 333.33 to be paid every month until the facility is fully settled.</t>
  </si>
  <si>
    <t>Monthly Amortization installment of USD146.07 to be paid until the facility is fully settled.</t>
  </si>
  <si>
    <t xml:space="preserve">SARETH BORAMEY </t>
  </si>
  <si>
    <t>Monthly Amortization installment of USD4,472.02  to be paid until the facility is fully settled.</t>
  </si>
  <si>
    <t>CHAN LOEKSEY</t>
  </si>
  <si>
    <t>LD1002200857</t>
  </si>
  <si>
    <t>SOK SOKUNVEARY</t>
  </si>
  <si>
    <t>LD1708021890</t>
  </si>
  <si>
    <t>Monthly Amortization installment of USD125.69  to be paid until the facility is fully settled.</t>
  </si>
  <si>
    <t>Monthly Amortization installment of USD1,120  to be paid until the facility is fully settled.</t>
  </si>
  <si>
    <t>SCL</t>
  </si>
  <si>
    <t>HPL</t>
  </si>
  <si>
    <t>#57E0 &amp; #55E0, St. 11, Phum Sombour, Sangkat Dounkor, Khan Dounkor, Phnom Penh.</t>
  </si>
  <si>
    <r>
      <t xml:space="preserve">189 </t>
    </r>
    <r>
      <rPr>
        <sz val="10"/>
        <rFont val="Khmer Kep"/>
      </rPr>
      <t>ល.ប &amp; 2866 លប</t>
    </r>
  </si>
  <si>
    <t>A two flat located at #57E0 &amp; #55E0, St. 11, Phum Sombour, Sangkat Dounkor, Khan Dounkor, Phnom Penh.</t>
  </si>
  <si>
    <t>Lawyer</t>
  </si>
  <si>
    <t xml:space="preserve">Land size 524m2 at located Phum Pong Pay, Sangkat Phnom Penh Thmey, Khan Sensok, PP
Land &amp; warehouses size 3,179m2 at located Phum Kouk Khsach, Sangkat Phlerng chhas rotas, Khan Pursenchey,PP.
Villa &amp; land at located at borey Orkiday villa, Phum Tro Peang Chhouk, Sangkat Teouk Thla, Khan Sensok, PP
</t>
  </si>
  <si>
    <t>12080102-0521
ភ.ព13834
12080202-4490</t>
  </si>
  <si>
    <t>#13, St335, Phum 06, Sangkat Beoung Kok Ti 1, Khan Toul Kouk, PP</t>
  </si>
  <si>
    <t>To buy villa at Borey Orchiday Villa and refinace aunty.</t>
  </si>
  <si>
    <t>Deputy general manager</t>
  </si>
  <si>
    <t>Staff at UCB</t>
  </si>
  <si>
    <t>A flat of land size 64m2 at located #2G, Phum Ktey Ta Koy, Sangkat Val  Sbov, Khan Chba Am Pov. PP</t>
  </si>
  <si>
    <t>3198បជ.ចអព</t>
  </si>
  <si>
    <t>#4E,St.47,Gr.22, Phum 15, Sangkat Srav Chok, Khan Doun Penh.PP</t>
  </si>
  <si>
    <t>Internal Auditor</t>
  </si>
  <si>
    <t>#72,St.Lum, Phum Ba Yab, Sangkat Phnom penh Thmei , Khan Sen Sok,PP.</t>
  </si>
  <si>
    <t xml:space="preserve">Support family expense </t>
  </si>
  <si>
    <t>A flat of land size 101m2 at located Phum Rong Chak, Sangkat Phnom Penh Thmei, Khan Sen Sok , PP</t>
  </si>
  <si>
    <t>Doctor at Kuntheak Bopha.</t>
  </si>
  <si>
    <t>12080106-2968</t>
  </si>
  <si>
    <t>#04E0E1, St.2005C,Phum Thmei, Sangkat  Phnom Penh Thmei, Khan Sen Sok, PP</t>
  </si>
  <si>
    <t>A flat of land size 82m2, Phum 06,Sangkat Phsar Derm Thkov, Khan Chamka Morn, PP</t>
  </si>
  <si>
    <t>12011206-0128</t>
  </si>
  <si>
    <t>Phum 06,Sangkat Phsar Derm Thkov, Khan Chamka Morn, PP</t>
  </si>
  <si>
    <t>To Support family expense</t>
  </si>
  <si>
    <t>Sale manager</t>
  </si>
  <si>
    <t>A flot of land at located # 11E0,St.Betong,Sangkat Boeung Tompun,Khan Mean Chey, Phnom Penh.
A flat of land at located #148,St.13, Phum Sambour, Sangkat Dang Kao, Khan Dang Kao, Phnom Penh (Borei New world)</t>
  </si>
  <si>
    <t>#148,St.13, Phum Sambour, Sangkat Dang Kao, Khan Dang Kao, Phnom Penh (Borei New world)</t>
  </si>
  <si>
    <t>To buy a flat and Refinace</t>
  </si>
  <si>
    <t>Executive Trainee</t>
  </si>
  <si>
    <t>A flat of land at located  #95E0, St. 18, Phum Tropeang Thleng, Sangkat Chom Chav, Khan Posenchey, Phnom Penh</t>
  </si>
  <si>
    <t xml:space="preserve">
Under proccessing Tranfer
2334លប</t>
  </si>
  <si>
    <t>#71BZ,St.138,Phum 08, Sangkat Phsa De Po 2, Khan Touk Kouk, PP</t>
  </si>
  <si>
    <t>DUCH VANTHAN</t>
  </si>
  <si>
    <t>KANO UN</t>
  </si>
  <si>
    <t>KEATH VIREAK</t>
  </si>
  <si>
    <t>LD1709649674</t>
  </si>
  <si>
    <t>LD1710961019</t>
  </si>
  <si>
    <t>LD1711048483</t>
  </si>
  <si>
    <t>Monthly Amortization installment of USD624.79 to be paid until the facility is fully settled.</t>
  </si>
  <si>
    <t>Monthly Amortization installment of USD1,073.27 to be paid until the facility is fully settled.</t>
  </si>
  <si>
    <t>Monthly Amortization installment of USD466.64 to be paid until the facility is fully settled.</t>
  </si>
  <si>
    <t>KAO UN</t>
  </si>
  <si>
    <t>180months,0days</t>
  </si>
  <si>
    <t>228month,0days</t>
  </si>
  <si>
    <t>180month,0days</t>
  </si>
  <si>
    <t>Villa and land size 117m2 located at Borey Peng Hout #25,St. E-03, Phum Payab, Sangkat Phnom Penh thmey, Khan Sen Sok, PP</t>
  </si>
  <si>
    <t>12080104-1239</t>
  </si>
  <si>
    <t xml:space="preserve"> #25,St. E-03, Phum Payab, Sangkat Phnom Penh thmey, Khan Sen Sok, PP</t>
  </si>
  <si>
    <t>To buy villa at Borey Peng Hout</t>
  </si>
  <si>
    <t>Branch Manager at CAB</t>
  </si>
  <si>
    <t>12080109-4491</t>
  </si>
  <si>
    <t>A flat of land size at located #18,St. 04, Phum Kouk khleang, Sangkat Phnom Penh Thmey, Khan SenSok, PP</t>
  </si>
  <si>
    <t>#18,St. 04, Phum Kouk khleang, Sangkat Phnom Penh Thmey, Khan SenSok, PP</t>
  </si>
  <si>
    <t xml:space="preserve">Assistand Chairman at Heng Tola Group </t>
  </si>
  <si>
    <t>Villa and land size 65.50m2 at located #51E0E1E2, Phum 04,Sangkat Chrang Cham Res, Khan Russei Keo, PP</t>
  </si>
  <si>
    <t xml:space="preserve">079 លប  </t>
  </si>
  <si>
    <t>#51E0E1E2, Phum 04,Sangkat Chrang Cham Res, Khan Russei Keo, PP</t>
  </si>
  <si>
    <t xml:space="preserve">Head of Administration and Legal Department at NIRON Microfinance Plc </t>
  </si>
  <si>
    <t>To refinace Oxley-World Bridge Specialize Bank</t>
  </si>
  <si>
    <t>To refinace at Acleda and Niron Plc</t>
  </si>
  <si>
    <t>CHHOEUN VY</t>
  </si>
  <si>
    <t>KEA LEANGSRUNN</t>
  </si>
  <si>
    <t>TEP CHEA</t>
  </si>
  <si>
    <t>BUTH SOKSOPHEAK</t>
  </si>
  <si>
    <t>LD1003300626</t>
  </si>
  <si>
    <t>LD1003300888</t>
  </si>
  <si>
    <t>DUOCH DARA</t>
  </si>
  <si>
    <t>LD1713802268</t>
  </si>
  <si>
    <t>LD1713281834</t>
  </si>
  <si>
    <t>LD1715056817</t>
  </si>
  <si>
    <t>Monthly Principal installment of USD277.77 to be paid until the facility is fully settled.</t>
  </si>
  <si>
    <t>Monthly Amortization installment of USD520.60 to be paid until the facility is fully settled.</t>
  </si>
  <si>
    <t>Monthly Amortization installment of USD312.68 to be paid until the facility is fully settled.</t>
  </si>
  <si>
    <t>Monthly Amortization installment of USD1,041.44 to be paid until the facility is fully settled.</t>
  </si>
  <si>
    <t>Monthly Principal installment of USD533.33 to be paid until the facility is fully settled.</t>
  </si>
  <si>
    <t>HEL</t>
  </si>
  <si>
    <t>12040601-0100</t>
  </si>
  <si>
    <t>#49B, St 253, Phum 01, Sangkat Teuk kaak3, Khan Tuol Kouk, Phnom penh.</t>
  </si>
  <si>
    <t>To buy car and furniture</t>
  </si>
  <si>
    <t xml:space="preserve">DE Art Hotel , Rent house </t>
  </si>
  <si>
    <t>A flat of land size 163 m2 at located Phum 01, Sangkat Teuk kaak3, Khan Tuol Kouk, Phnom penh.</t>
  </si>
  <si>
    <t>A flat of land size 72m2 at located #249E0, St. C, Phum Krang Angkrong, Sangkat Krang Thnong , Khan Pusen Chey, Phnom Penh.</t>
  </si>
  <si>
    <t>468 ប.ជ</t>
  </si>
  <si>
    <t>#249E0, St. C, Phum Krang Angkrong, Sangkat Krang Thnong , Khan Pusen Chey, Phnom Penh.</t>
  </si>
  <si>
    <t>Head operation at camlife insurance</t>
  </si>
  <si>
    <t xml:space="preserve">A flat of land size 59m2 at located Phum Trea, Sangkat Stoeung Meanchey, Khan Meanchey, Phnom Penh. </t>
  </si>
  <si>
    <t>12060103-1913</t>
  </si>
  <si>
    <t xml:space="preserve"> Phum Trea, Sangkat Stoeung Meanchey, Khan Meanchey, Phnom Penh. </t>
  </si>
  <si>
    <t>To refinace at ABA Bank and support family exspend</t>
  </si>
  <si>
    <t>To refinace at Acleda Bank PLC</t>
  </si>
  <si>
    <t>Assistant Administrative at NASMI INDUSTRY INTERNATIONAL  and Production Clerk at ECLAT HIGHTER INTERNATIONAL GARMENT (CAMBODIA) CO.,LTD</t>
  </si>
  <si>
    <t>Villa and land size 67.50m2 at Borey Peng Hout Beong Snor,#07E0E1E2,St.12, Phum Boeung Chhuk , Sankat Nirot, Khan Mean chey ,PP</t>
  </si>
  <si>
    <t>1174 បជ.មជ</t>
  </si>
  <si>
    <t>Borey Peng Hout Beong Snor,#07E0E1E2,St.12, Phum Boeung Chhuk , Sankat Nirot, Khan Mean chey ,PP</t>
  </si>
  <si>
    <t>To refinace at Canadia Bnak and buy furniture</t>
  </si>
  <si>
    <t>Digital engagment manager at cam GSM company and Repairing Automobile Business</t>
  </si>
  <si>
    <t>Deputy Head of Treasury at General Department of National Treasury based in Mondukiri Province.</t>
  </si>
  <si>
    <t>St. Lum, Phum Derm Srol, Khom Monorom, Srok Sen Monorom, Mundukiri province</t>
  </si>
  <si>
    <t>Villa and land size 112 m2 at located Borey Peng Hout The star Jumeirah # 02E0E1E2, St.J-10/J-11, Phum Preak Lieb, Sangkat  Preak Leab , Khan Chroy Changva, PP.</t>
  </si>
  <si>
    <t>264លបច្ររ1</t>
  </si>
  <si>
    <t>ភ្នំពេញ ថ្ងៃទី​  ០៥ ខែ មិថុនា ឆ្នាំ ២០១៧</t>
  </si>
  <si>
    <t>Reporting Date: 05 June 2017</t>
  </si>
  <si>
    <t xml:space="preserve">KOUNG MUYLENG </t>
  </si>
  <si>
    <t>LD1715870563</t>
  </si>
  <si>
    <t>2..75%</t>
  </si>
  <si>
    <t>KHUN SONA</t>
  </si>
  <si>
    <t>LD1717100989</t>
  </si>
  <si>
    <t>SANN VANNAROTH</t>
  </si>
  <si>
    <t>LD1717193644</t>
  </si>
  <si>
    <t>LENG KUY</t>
  </si>
  <si>
    <t>LD1717720876</t>
  </si>
  <si>
    <t>LD1715930531</t>
  </si>
  <si>
    <t>KOUNG MUYLENG</t>
  </si>
  <si>
    <t>Monthly Amortization installment of USD1,792.03 to be paid until the facility is fully settled.</t>
  </si>
  <si>
    <t>Monthly Principal installment of USD249.00 to be paid until the facility is fully settled.</t>
  </si>
  <si>
    <t>Monthly Amortization installment of USD1,119.91 to be paid until the facility is fully settled.</t>
  </si>
  <si>
    <t>Monthly Amortization installment of USD357.77 to be paid until the facility is fully settled.</t>
  </si>
  <si>
    <t>Monthly Principal installment of USD220.00 to be paid until the facility is fully settled.</t>
  </si>
  <si>
    <t>132month,0days</t>
  </si>
  <si>
    <t>240month,0days</t>
  </si>
  <si>
    <t>120month,0days</t>
  </si>
  <si>
    <t>A flat of land size 33m2, #02B, St. Lum, Phum Tro Peang Chhuk, Sangkat Teuk Thla, Khan Sen Sok, PP</t>
  </si>
  <si>
    <t>12080202-0250</t>
  </si>
  <si>
    <t>#72,st.13,Phum SamBour,Sangkat Doung Kor, Khan Doung kor, PP</t>
  </si>
  <si>
    <t>To refinace at Acleda &amp; New World .</t>
  </si>
  <si>
    <t>Tax official at Poipet</t>
  </si>
  <si>
    <t>Twin villa and land at Block D, Stree4, #17, Phum Day Thmey, sangkat phnom penh thmey, khan sen sok, PP
Hybrid Villa at phum bayab, sangkat phnompenh thmey, khan Sensok, pp</t>
  </si>
  <si>
    <t>12080108-1655
428លបច្ររ1</t>
  </si>
  <si>
    <t xml:space="preserve"> Phum bayab, sangkat phnompenh thmey, khan Sensok, pp</t>
  </si>
  <si>
    <t>Buy Villa at Borey Hight Land</t>
  </si>
  <si>
    <t>Phum Pir, Sangkat Phsar Derm Kor, Khan Toul Kouk, Phnom Penh.</t>
  </si>
  <si>
    <t>12040902-0141</t>
  </si>
  <si>
    <t>#77E0E1E2, St.234, Phum 2, Sangkat Phsar Derm kor, Khan Toul Kouk, PP</t>
  </si>
  <si>
    <t>Association legel officer</t>
  </si>
  <si>
    <t xml:space="preserve">
12060215-1527
2334លប</t>
  </si>
  <si>
    <t>Sale Manager at Borey Mongkol Phnom Penh</t>
  </si>
  <si>
    <t>12050608-1511</t>
  </si>
  <si>
    <t xml:space="preserve">Phum Por Prok Kang Thbong, Sangkat Kakab, Khan Doungkor, Phnom Penh. </t>
  </si>
  <si>
    <t>NONG KARADEN</t>
  </si>
  <si>
    <t>TE KEA</t>
  </si>
  <si>
    <t>HOUT SILOT</t>
  </si>
  <si>
    <t xml:space="preserve">TE KEA </t>
  </si>
  <si>
    <t>LD1720549266</t>
  </si>
  <si>
    <t>LD1720124995</t>
  </si>
  <si>
    <t>LD1718556097</t>
  </si>
  <si>
    <t>Monthly Amortization installment of USD1,004.61 to be paid until the facility is fully settled.</t>
  </si>
  <si>
    <t>Monthly Principal installment of USD583.00 to be paid until the facility is fully settled.</t>
  </si>
  <si>
    <t>Monthly Amortization installment of USD650.88 to be paid until the facility is fully settled.</t>
  </si>
  <si>
    <t xml:space="preserve">                     Rom Chenda</t>
  </si>
  <si>
    <t xml:space="preserve">A flat of land at Phum Por Prok Kang Thbong, Sangkat Kakab, Khan Doungkor, Phnom Penh. </t>
  </si>
  <si>
    <t>A flat of land size 65.60m2 at #99E0E1,Phum Kork Khlang, Sangkat Phnom Penh Thmey, Khan Sen Sok, PP</t>
  </si>
  <si>
    <t>1253លបកច្រ1</t>
  </si>
  <si>
    <t>#39, St.348, Phum2, Sangkat Boeung Keng kang Ti3, khan Cham Kamon, PP</t>
  </si>
  <si>
    <t>Buy car</t>
  </si>
  <si>
    <t>Owner Besiness</t>
  </si>
  <si>
    <t>A flat of land sized 71 m2 at A3, Phum Krow Ko, Sangkat Kilomeat 6, Khan Russy Keo, PP</t>
  </si>
  <si>
    <t>ភព.36584</t>
  </si>
  <si>
    <t>#251, Phum Cham bok, Khum Prasat, Srok Kompong Trobeak, Prai Veng Province.</t>
  </si>
  <si>
    <t>A flat of land sized 119 m2, Phum 5, Sangkat Teuk laak Ti3, Khan Toul Kuok, PP</t>
  </si>
  <si>
    <t>12040605-0019</t>
  </si>
  <si>
    <t>#187,St.Lum, Phum Kakab, Sangkat Kakab, Khan Por Sen chey,PP</t>
  </si>
  <si>
    <t>Senior Consultan</t>
  </si>
  <si>
    <t xml:space="preserve">DEBIT BALANCE AS OF 31 Aug  2017 </t>
  </si>
  <si>
    <t>As of Auguest 31, 2017</t>
  </si>
  <si>
    <t>LOV SOPHANIT</t>
  </si>
  <si>
    <t>LONG KEARA</t>
  </si>
  <si>
    <t>SEANG THEANHONG</t>
  </si>
  <si>
    <t>MOM SOKHAPHIRUM</t>
  </si>
  <si>
    <t>OUK KEOBUNTHEANG</t>
  </si>
  <si>
    <t>SAN SOPHEAK</t>
  </si>
  <si>
    <t>LOV SOPHANITH</t>
  </si>
  <si>
    <t>LD1721445691</t>
  </si>
  <si>
    <t>LD1721578015</t>
  </si>
  <si>
    <t>SEAN THEANHONG</t>
  </si>
  <si>
    <t>LD1721612809</t>
  </si>
  <si>
    <t>LD1003500292</t>
  </si>
  <si>
    <t>LD1723013624</t>
  </si>
  <si>
    <t>LD1724107080</t>
  </si>
  <si>
    <t>Monthly Amortization installment of USD401.80 to be paid until the facility is fully settled.</t>
  </si>
  <si>
    <t>Monthly Amortization installment of USD345.30 to be paid until the facility is fully settled.</t>
  </si>
  <si>
    <t>Monthly Amortization installment of USD581.40 to be paid until the facility is fully settled.</t>
  </si>
  <si>
    <t>Monthly Amortization installment of USD298.18 to be paid until the facility is fully settled.</t>
  </si>
  <si>
    <t>Monthly Amortization installment of USD1014.70 to be paid until the facility is fully settled.</t>
  </si>
  <si>
    <t>Monthly Amortization installment of USD409.16 to be paid until the facility is fully settled.</t>
  </si>
  <si>
    <t>BOU SOMONY</t>
  </si>
  <si>
    <t>LD1003500014</t>
  </si>
  <si>
    <t>Monthly Principal installment of USD270 to be paid until the facility is fully settled.</t>
  </si>
  <si>
    <t>New            : 08A/Cs</t>
  </si>
  <si>
    <t>60month,0days</t>
  </si>
  <si>
    <t>A flat of land sized 63m2at Phum Phsar Lech, Sangkat Preak Phnov, Khan Preak Phnov,PP</t>
  </si>
  <si>
    <t>2773លប.ច្រ1</t>
  </si>
  <si>
    <t>#64C, St.Lum, Phum Chroy Basak1, Sangkat Preak Pra, Khan Chba Am Pov, PP</t>
  </si>
  <si>
    <t xml:space="preserve">Buy House </t>
  </si>
  <si>
    <t>Wash&amp;AMP, Social marketing program manager.</t>
  </si>
  <si>
    <t>A flat of land sized 83m2 at phum 06, Sangkat teuk laak1, Khan Toul kouk,PP</t>
  </si>
  <si>
    <t>12040406-0083</t>
  </si>
  <si>
    <t>phum 06, Sangkat teuk laak1, Khan Toul kouk,PP</t>
  </si>
  <si>
    <t>Demi chef at naga world</t>
  </si>
  <si>
    <t>A flat of land sized 69m2 at phum 08, Sangkat Tonlea Basak, Khan Chamkamorn ,PP</t>
  </si>
  <si>
    <t>12010108-0128</t>
  </si>
  <si>
    <t>#135A,St. Sothearos , phum 08,Sangkat Tonlea Basak, Khan Chamkamorn ,PP</t>
  </si>
  <si>
    <t>Buy house</t>
  </si>
  <si>
    <t>Head corporate disclosure supervision Division</t>
  </si>
  <si>
    <t>A flat of land sized 89m2 at Phum Dom nak , Sangkat phnom Penh Thmey, Khan Sen Sok,PP</t>
  </si>
  <si>
    <t>12080103-1140</t>
  </si>
  <si>
    <t>#56CE0E1, St.204, Phum 06, Sangkat Teuk Laak 3.Khan Toul Kuok, PP</t>
  </si>
  <si>
    <t xml:space="preserve">Senior Sale Exective </t>
  </si>
  <si>
    <t>A flat of land sized66m2, phum Veal Sbov, Sangkat Veal Sbov,Khan Chab An pov, Pp</t>
  </si>
  <si>
    <t>ភព38933</t>
  </si>
  <si>
    <t>#11G, phum Veal Sbov, Sangkat Veal Sbov,Khan Chab An pov, Pp</t>
  </si>
  <si>
    <t>buy House</t>
  </si>
  <si>
    <t>Sale Manager at Ione</t>
  </si>
  <si>
    <t>A flat of land sized 79m2, #451, St.Lum, Phum Preak Teal, Sangkat Stoeung Meanchey,Khan Meanchey, PP</t>
  </si>
  <si>
    <t>12060106-1318</t>
  </si>
  <si>
    <t xml:space="preserve"> #451, St.Lum, Phum Preak Teal, Sangkat Stoeung Meanchey,Khan Meanchey, PP</t>
  </si>
  <si>
    <t xml:space="preserve">buy car </t>
  </si>
  <si>
    <t>A flat of land at Borey Chip Mong, Park Land Sen Sok #172, St P13, Phum Bayab,Sk Phnom Penh Thmey, Khan Sen Sok, Phnom Penh</t>
  </si>
  <si>
    <t>#172, St.P13, Phum Bayab, Sangkat Phnom Peng Thmey, Khan Sen Sok,PP</t>
  </si>
  <si>
    <t>2536 លប.កច្រ១</t>
  </si>
  <si>
    <t xml:space="preserve">Consaltion </t>
  </si>
  <si>
    <t>As of 31 Aug 2017</t>
  </si>
  <si>
    <t>BAN LYHENG</t>
  </si>
  <si>
    <t>SIENG SITHA</t>
  </si>
  <si>
    <t>MOK SAKITH</t>
  </si>
  <si>
    <t>LD1727256962</t>
  </si>
  <si>
    <t>LD1727125548</t>
  </si>
  <si>
    <t>LD1725714875</t>
  </si>
  <si>
    <t>LD1725195006</t>
  </si>
  <si>
    <t xml:space="preserve">Ek Sok </t>
  </si>
  <si>
    <t>72month,0days</t>
  </si>
  <si>
    <t>HO YEM</t>
  </si>
  <si>
    <t>LAY SOKHA</t>
  </si>
  <si>
    <t>HEI MOYSREI</t>
  </si>
  <si>
    <t>SAO SEYHA</t>
  </si>
  <si>
    <t>CHIN SARIN</t>
  </si>
  <si>
    <t>SENG SOPHO</t>
  </si>
  <si>
    <t>OUCH BORN</t>
  </si>
  <si>
    <t>OL CHAMROEUN</t>
  </si>
  <si>
    <t>LD1727675871</t>
  </si>
  <si>
    <t>LD1727706496</t>
  </si>
  <si>
    <t>LD1727707226</t>
  </si>
  <si>
    <t>LD1728410488</t>
  </si>
  <si>
    <t>LD1729041052</t>
  </si>
  <si>
    <t>LD1729796836</t>
  </si>
  <si>
    <t>LD1730007501</t>
  </si>
  <si>
    <t>LD1730450142</t>
  </si>
  <si>
    <t>CHIN CHRUY</t>
  </si>
  <si>
    <t>LD1729783362</t>
  </si>
  <si>
    <t>PREAP SAROEUN</t>
  </si>
  <si>
    <t>CHHOEUN DEVID</t>
  </si>
  <si>
    <t>HENG NGOUN CHENG</t>
  </si>
  <si>
    <t>PREAP SAREOUN</t>
  </si>
  <si>
    <t>CHHOEUN DAVID</t>
  </si>
  <si>
    <t>LD1730501802</t>
  </si>
  <si>
    <t>LD1732501871</t>
  </si>
  <si>
    <t>LD1731414007</t>
  </si>
  <si>
    <t>KRONG THIDA</t>
  </si>
  <si>
    <t>LD1003700163</t>
  </si>
  <si>
    <t>CHEM SAMEYDY</t>
  </si>
  <si>
    <t>KRIN SOKHUOR</t>
  </si>
  <si>
    <t>KHEANG VIRUN</t>
  </si>
  <si>
    <t>SAM SAVIN</t>
  </si>
  <si>
    <t xml:space="preserve">SAM SAVIN </t>
  </si>
  <si>
    <t>LD1003700473</t>
  </si>
  <si>
    <t>NEOU CHANDARA</t>
  </si>
  <si>
    <t>NEOU  CHANDARA</t>
  </si>
  <si>
    <t>LD1003700235</t>
  </si>
  <si>
    <t>LD1736145013</t>
  </si>
  <si>
    <t>LD1734705533</t>
  </si>
  <si>
    <t>LD1736036929</t>
  </si>
  <si>
    <t>HL</t>
  </si>
  <si>
    <t>SRUN SUNHENG</t>
  </si>
  <si>
    <t>PEN SAMORN</t>
  </si>
  <si>
    <t>TE SOTHEAR</t>
  </si>
  <si>
    <t>SIEK SENGLY</t>
  </si>
  <si>
    <t>YONG SOKUN</t>
  </si>
  <si>
    <t>OR CHANMOLY</t>
  </si>
  <si>
    <t>LD1801599270</t>
  </si>
  <si>
    <t>LD1801601357</t>
  </si>
  <si>
    <t>LD1802900567</t>
  </si>
  <si>
    <t>LD1802940877</t>
  </si>
  <si>
    <t>LD1802957420</t>
  </si>
  <si>
    <t>LD1803052816</t>
  </si>
  <si>
    <t>Date: 05-Feb-2018</t>
  </si>
  <si>
    <t>HEM PHEARA</t>
  </si>
  <si>
    <t>HAM KONGHENG</t>
  </si>
  <si>
    <t>TUM SANSARAK</t>
  </si>
  <si>
    <t>DEK DARA</t>
  </si>
  <si>
    <t>SRENG CHANPHOSNA</t>
  </si>
  <si>
    <t>KEO SAMNANG</t>
  </si>
  <si>
    <t>KOUCH SOKIM</t>
  </si>
  <si>
    <t>LD1803360676</t>
  </si>
  <si>
    <t>LD1803605585</t>
  </si>
  <si>
    <t>LD1803667611</t>
  </si>
  <si>
    <t>LD1804389003</t>
  </si>
  <si>
    <t>LD1804533758</t>
  </si>
  <si>
    <t>LD1805287587</t>
  </si>
  <si>
    <t>LD1805318205</t>
  </si>
  <si>
    <t>LD1804593099</t>
  </si>
  <si>
    <t>OENG YUNLY</t>
  </si>
  <si>
    <t xml:space="preserve">                                                     As of : 28-Feb-2018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</si>
</sst>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0.00;[Red]#,##0.00"/>
    <numFmt numFmtId="166" formatCode="###&quot; % p.a&quot;\ "/>
    <numFmt numFmtId="167" formatCode="&quot;KHR &quot;#,##0"/>
    <numFmt numFmtId="168" formatCode="#,##0.000"/>
    <numFmt numFmtId="169" formatCode="#,##0;[Red]#,##0"/>
    <numFmt numFmtId="170" formatCode="[$-409]d/mmm/yy;@"/>
    <numFmt numFmtId="171" formatCode="#,##0.00000000000"/>
    <numFmt numFmtId="172" formatCode="0.00%\P.\A"/>
  </numFmts>
  <fonts count="200">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0"/>
      <name val="Times New Roman"/>
      <family val="1"/>
    </font>
    <font>
      <b/>
      <sz val="10"/>
      <name val="Times New Roman"/>
      <family val="1"/>
    </font>
    <font>
      <b/>
      <sz val="22"/>
      <name val="Times New Roman"/>
      <family val="1"/>
    </font>
    <font>
      <b/>
      <sz val="17"/>
      <name val="Times New Roman"/>
      <family val="1"/>
    </font>
    <font>
      <b/>
      <sz val="9"/>
      <name val="Arial"/>
      <family val="2"/>
    </font>
    <font>
      <b/>
      <sz val="8"/>
      <name val="Arial"/>
      <family val="2"/>
    </font>
    <font>
      <b/>
      <sz val="7"/>
      <name val="Arial"/>
      <family val="2"/>
    </font>
    <font>
      <b/>
      <i/>
      <u/>
      <sz val="9"/>
      <name val="Arial"/>
      <family val="2"/>
    </font>
    <font>
      <sz val="9"/>
      <name val="Arial"/>
      <family val="2"/>
    </font>
    <font>
      <u/>
      <sz val="9"/>
      <name val="Arial"/>
      <family val="2"/>
    </font>
    <font>
      <b/>
      <sz val="9"/>
      <color indexed="18"/>
      <name val="Arial"/>
      <family val="2"/>
    </font>
    <font>
      <sz val="9"/>
      <color indexed="18"/>
      <name val="Arial"/>
      <family val="2"/>
    </font>
    <font>
      <sz val="10"/>
      <name val="Arial"/>
      <family val="2"/>
    </font>
    <font>
      <u/>
      <sz val="8"/>
      <name val="Arial"/>
      <family val="2"/>
    </font>
    <font>
      <b/>
      <sz val="12"/>
      <name val="Arial"/>
      <family val="2"/>
    </font>
    <font>
      <b/>
      <sz val="10"/>
      <name val="Arial"/>
      <family val="2"/>
    </font>
    <font>
      <b/>
      <u/>
      <sz val="10"/>
      <name val="Arial"/>
      <family val="2"/>
    </font>
    <font>
      <sz val="11"/>
      <color indexed="8"/>
      <name val="Calibri"/>
      <family val="2"/>
    </font>
    <font>
      <sz val="12"/>
      <name val="Arial"/>
      <family val="2"/>
    </font>
    <font>
      <b/>
      <sz val="21"/>
      <name val="Times New Roman"/>
      <family val="1"/>
    </font>
    <font>
      <b/>
      <sz val="12"/>
      <name val="Times New Roman"/>
      <family val="1"/>
    </font>
    <font>
      <b/>
      <sz val="11"/>
      <name val="Arial"/>
      <family val="2"/>
    </font>
    <font>
      <sz val="12"/>
      <name val="Times New Roman"/>
      <family val="1"/>
    </font>
    <font>
      <sz val="10"/>
      <name val="Times New Roman"/>
      <family val="1"/>
    </font>
    <font>
      <b/>
      <sz val="16"/>
      <name val="Arial"/>
      <family val="2"/>
    </font>
    <font>
      <b/>
      <sz val="8"/>
      <name val="Times New Roman"/>
      <family val="1"/>
    </font>
    <font>
      <b/>
      <sz val="13"/>
      <name val="Arial"/>
      <family val="2"/>
    </font>
    <font>
      <sz val="13"/>
      <name val="Times New Roman"/>
      <family val="1"/>
    </font>
    <font>
      <b/>
      <sz val="14"/>
      <name val="Arial"/>
      <family val="2"/>
    </font>
    <font>
      <b/>
      <sz val="11"/>
      <name val="Times New Roman"/>
      <family val="1"/>
    </font>
    <font>
      <sz val="8"/>
      <name val="Times New Roman"/>
      <family val="1"/>
    </font>
    <font>
      <sz val="11"/>
      <name val="Arial"/>
      <family val="2"/>
    </font>
    <font>
      <b/>
      <u/>
      <sz val="13"/>
      <name val="Times New Roman"/>
      <family val="1"/>
    </font>
    <font>
      <b/>
      <sz val="13"/>
      <name val="Times New Roman"/>
      <family val="1"/>
    </font>
    <font>
      <b/>
      <sz val="15"/>
      <color indexed="56"/>
      <name val="Times New Roman"/>
      <family val="1"/>
    </font>
    <font>
      <b/>
      <u/>
      <sz val="12"/>
      <name val="Times New Roman"/>
      <family val="1"/>
    </font>
    <font>
      <sz val="11"/>
      <name val="Times New Roman"/>
      <family val="1"/>
    </font>
    <font>
      <b/>
      <u/>
      <sz val="11"/>
      <name val="Arial"/>
      <family val="2"/>
    </font>
    <font>
      <sz val="8"/>
      <name val="Arial"/>
      <family val="2"/>
    </font>
    <font>
      <b/>
      <u/>
      <sz val="11"/>
      <name val="Times New Roman"/>
      <family val="1"/>
    </font>
    <font>
      <b/>
      <sz val="18"/>
      <color indexed="9"/>
      <name val="Times New Roman"/>
      <family val="1"/>
    </font>
    <font>
      <b/>
      <sz val="12"/>
      <color indexed="9"/>
      <name val="Arial MT"/>
    </font>
    <font>
      <sz val="12"/>
      <color indexed="9"/>
      <name val="Arial MT"/>
    </font>
    <font>
      <b/>
      <sz val="18"/>
      <name val="Times New Roman"/>
      <family val="1"/>
    </font>
    <font>
      <sz val="12"/>
      <name val="Arial MT"/>
    </font>
    <font>
      <b/>
      <u/>
      <sz val="14"/>
      <name val="Arial"/>
      <family val="2"/>
    </font>
    <font>
      <u/>
      <sz val="14"/>
      <name val="Arial"/>
      <family val="2"/>
    </font>
    <font>
      <b/>
      <sz val="9"/>
      <name val="Times New Roman"/>
      <family val="1"/>
    </font>
    <font>
      <b/>
      <u/>
      <sz val="12"/>
      <color indexed="10"/>
      <name val="Arial"/>
      <family val="2"/>
    </font>
    <font>
      <b/>
      <sz val="12"/>
      <name val="Times New Roman"/>
      <family val="1"/>
      <charset val="222"/>
    </font>
    <font>
      <b/>
      <u/>
      <sz val="12"/>
      <name val="Arial"/>
      <family val="2"/>
    </font>
    <font>
      <b/>
      <sz val="15"/>
      <name val="Times New Roman"/>
      <family val="1"/>
    </font>
    <font>
      <b/>
      <i/>
      <sz val="15"/>
      <name val="Times New Roman"/>
      <family val="1"/>
    </font>
    <font>
      <b/>
      <sz val="7"/>
      <name val="Times New Roman"/>
      <family val="1"/>
    </font>
    <font>
      <sz val="7"/>
      <name val="Times New Roman"/>
      <family val="1"/>
    </font>
    <font>
      <sz val="7"/>
      <name val="Arial"/>
      <family val="2"/>
    </font>
    <font>
      <sz val="7"/>
      <color indexed="8"/>
      <name val="Times New Roman"/>
      <family val="1"/>
    </font>
    <font>
      <b/>
      <sz val="7"/>
      <color indexed="8"/>
      <name val="Times New Roman"/>
      <family val="1"/>
    </font>
    <font>
      <b/>
      <i/>
      <sz val="7"/>
      <color indexed="18"/>
      <name val="Times New Roman"/>
      <family val="1"/>
    </font>
    <font>
      <b/>
      <u/>
      <sz val="7"/>
      <color indexed="8"/>
      <name val="Times New Roman"/>
      <family val="1"/>
    </font>
    <font>
      <u/>
      <sz val="7"/>
      <color indexed="8"/>
      <name val="Times New Roman"/>
      <family val="1"/>
    </font>
    <font>
      <sz val="12"/>
      <name val="Arial"/>
      <family val="2"/>
    </font>
    <font>
      <b/>
      <sz val="12"/>
      <color indexed="10"/>
      <name val="Arial"/>
      <family val="2"/>
    </font>
    <font>
      <b/>
      <sz val="18"/>
      <name val="Arial"/>
      <family val="2"/>
    </font>
    <font>
      <sz val="18"/>
      <name val="Arial MT"/>
    </font>
    <font>
      <sz val="9"/>
      <name val="Times New Roman"/>
      <family val="1"/>
    </font>
    <font>
      <sz val="10"/>
      <color indexed="8"/>
      <name val="Times New Roman"/>
      <family val="1"/>
    </font>
    <font>
      <sz val="10"/>
      <name val="Arial"/>
      <family val="2"/>
    </font>
    <font>
      <sz val="12"/>
      <name val="Helv"/>
    </font>
    <font>
      <u/>
      <sz val="10"/>
      <color indexed="12"/>
      <name val="Arial"/>
      <family val="2"/>
    </font>
    <font>
      <b/>
      <sz val="14"/>
      <name val="Helv"/>
    </font>
    <font>
      <sz val="24"/>
      <color indexed="13"/>
      <name val="Helv"/>
    </font>
    <font>
      <sz val="15"/>
      <name val="Times New Roman"/>
      <family val="1"/>
    </font>
    <font>
      <b/>
      <i/>
      <sz val="15"/>
      <color indexed="57"/>
      <name val="Times New Roman"/>
      <family val="1"/>
    </font>
    <font>
      <i/>
      <sz val="15"/>
      <name val="Times New Roman"/>
      <family val="1"/>
    </font>
    <font>
      <i/>
      <sz val="15"/>
      <color indexed="57"/>
      <name val="Times New Roman"/>
      <family val="1"/>
    </font>
    <font>
      <b/>
      <sz val="16"/>
      <name val="Times New Roman"/>
      <family val="1"/>
    </font>
    <font>
      <sz val="12"/>
      <color indexed="8"/>
      <name val="Times New Roman"/>
      <family val="1"/>
    </font>
    <font>
      <b/>
      <u/>
      <sz val="15"/>
      <name val="Times New Roman"/>
      <family val="1"/>
    </font>
    <font>
      <sz val="10"/>
      <name val="Arial"/>
      <family val="2"/>
    </font>
    <font>
      <sz val="14"/>
      <name val="Times New Roman"/>
      <family val="1"/>
    </font>
    <font>
      <b/>
      <u/>
      <sz val="14"/>
      <name val="Times New Roman"/>
      <family val="1"/>
    </font>
    <font>
      <sz val="10"/>
      <name val="Arial"/>
      <family val="2"/>
    </font>
    <font>
      <sz val="8"/>
      <color indexed="8"/>
      <name val="Times New Roman"/>
      <family val="1"/>
    </font>
    <font>
      <sz val="7"/>
      <color indexed="8"/>
      <name val="Times New Roman"/>
      <family val="1"/>
    </font>
    <font>
      <b/>
      <sz val="7"/>
      <color indexed="8"/>
      <name val="Times New Roman"/>
      <family val="1"/>
    </font>
    <font>
      <sz val="12"/>
      <color indexed="9"/>
      <name val="Arial"/>
      <family val="2"/>
    </font>
    <font>
      <sz val="18"/>
      <name val="Arial"/>
      <family val="2"/>
    </font>
    <font>
      <sz val="9"/>
      <color indexed="8"/>
      <name val="Times New Roman"/>
      <family val="1"/>
    </font>
    <font>
      <u/>
      <sz val="11"/>
      <name val="Arial"/>
      <family val="2"/>
    </font>
    <font>
      <u/>
      <sz val="10"/>
      <name val="Times New Roman"/>
      <family val="1"/>
    </font>
    <font>
      <sz val="7"/>
      <name val="Times New Roman"/>
      <family val="1"/>
    </font>
    <font>
      <b/>
      <u/>
      <sz val="10"/>
      <name val="Times New Roman"/>
      <family val="1"/>
    </font>
    <font>
      <b/>
      <sz val="9"/>
      <name val="Arial"/>
      <family val="2"/>
    </font>
    <font>
      <b/>
      <sz val="12"/>
      <name val="Arial"/>
      <family val="2"/>
    </font>
    <font>
      <b/>
      <sz val="9"/>
      <name val="Times New Roman"/>
      <family val="1"/>
    </font>
    <font>
      <b/>
      <u/>
      <sz val="9"/>
      <name val="Arial"/>
      <family val="2"/>
    </font>
    <font>
      <b/>
      <sz val="9"/>
      <color indexed="8"/>
      <name val="Times New Roman"/>
      <family val="1"/>
    </font>
    <font>
      <b/>
      <sz val="8"/>
      <color indexed="8"/>
      <name val="Times New Roman"/>
      <family val="1"/>
    </font>
    <font>
      <sz val="9"/>
      <name val="細明體"/>
      <family val="3"/>
      <charset val="136"/>
    </font>
    <font>
      <sz val="10"/>
      <name val="Arial"/>
      <family val="2"/>
    </font>
    <font>
      <sz val="11"/>
      <color theme="1"/>
      <name val="Calibri"/>
      <family val="2"/>
      <scheme val="minor"/>
    </font>
    <font>
      <sz val="11"/>
      <color theme="1"/>
      <name val="Calibri"/>
      <family val="1"/>
      <charset val="136"/>
      <scheme val="minor"/>
    </font>
    <font>
      <b/>
      <sz val="11"/>
      <color theme="1"/>
      <name val="Calibri"/>
      <family val="2"/>
      <scheme val="minor"/>
    </font>
    <font>
      <b/>
      <u/>
      <sz val="11"/>
      <color theme="1"/>
      <name val="Calibri"/>
      <family val="2"/>
      <scheme val="minor"/>
    </font>
    <font>
      <sz val="11"/>
      <name val="Calibri"/>
      <family val="2"/>
      <scheme val="minor"/>
    </font>
    <font>
      <b/>
      <sz val="11"/>
      <color rgb="FFFF0000"/>
      <name val="Calibri"/>
      <family val="2"/>
      <scheme val="minor"/>
    </font>
    <font>
      <b/>
      <u val="singleAccounting"/>
      <sz val="11"/>
      <color theme="1"/>
      <name val="Calibri"/>
      <family val="2"/>
      <scheme val="minor"/>
    </font>
    <font>
      <sz val="7"/>
      <color rgb="FFFF0000"/>
      <name val="Times New Roman"/>
      <family val="1"/>
    </font>
    <font>
      <sz val="15"/>
      <color rgb="FFFF0000"/>
      <name val="Times New Roman"/>
      <family val="1"/>
    </font>
    <font>
      <b/>
      <sz val="15"/>
      <color rgb="FFFF0000"/>
      <name val="Times New Roman"/>
      <family val="1"/>
    </font>
    <font>
      <b/>
      <sz val="7"/>
      <color rgb="FFFF0000"/>
      <name val="Times New Roman"/>
      <family val="1"/>
    </font>
    <font>
      <sz val="12"/>
      <color rgb="FFFF0000"/>
      <name val="Times New Roman"/>
      <family val="1"/>
    </font>
    <font>
      <b/>
      <u val="singleAccounting"/>
      <sz val="11"/>
      <color rgb="FFFF0000"/>
      <name val="Calibri"/>
      <family val="2"/>
      <scheme val="minor"/>
    </font>
    <font>
      <sz val="7"/>
      <color theme="1"/>
      <name val="Times New Roman"/>
      <family val="1"/>
    </font>
    <font>
      <b/>
      <sz val="7"/>
      <color theme="1"/>
      <name val="Times New Roman"/>
      <family val="1"/>
    </font>
    <font>
      <sz val="12"/>
      <color rgb="FFFF0000"/>
      <name val="Arial"/>
      <family val="2"/>
    </font>
    <font>
      <sz val="9"/>
      <color theme="1"/>
      <name val="Times New Roman"/>
      <family val="1"/>
    </font>
    <font>
      <sz val="7"/>
      <color rgb="FFFF0000"/>
      <name val="Arial"/>
      <family val="2"/>
    </font>
    <font>
      <b/>
      <sz val="11"/>
      <color theme="0"/>
      <name val="Times New Roman"/>
      <family val="1"/>
    </font>
    <font>
      <sz val="11"/>
      <color theme="0"/>
      <name val="Arial"/>
      <family val="2"/>
    </font>
    <font>
      <sz val="10"/>
      <color theme="0"/>
      <name val="Arial"/>
      <family val="2"/>
    </font>
    <font>
      <u/>
      <sz val="8"/>
      <color theme="1"/>
      <name val="Times New Roman"/>
      <family val="1"/>
    </font>
    <font>
      <b/>
      <u/>
      <sz val="8"/>
      <color theme="1"/>
      <name val="Times New Roman"/>
      <family val="1"/>
    </font>
    <font>
      <sz val="7"/>
      <color theme="1"/>
      <name val="Arial"/>
      <family val="2"/>
    </font>
    <font>
      <sz val="8"/>
      <color theme="1"/>
      <name val="Times New Roman"/>
      <family val="1"/>
    </font>
    <font>
      <b/>
      <sz val="10"/>
      <color indexed="8"/>
      <name val="Times New Roman"/>
      <family val="1"/>
    </font>
    <font>
      <sz val="13"/>
      <color indexed="8"/>
      <name val="Times New Roman"/>
      <family val="1"/>
    </font>
    <font>
      <sz val="12"/>
      <color theme="1"/>
      <name val="Arial"/>
      <family val="2"/>
    </font>
    <font>
      <b/>
      <sz val="8"/>
      <color rgb="FFFF0000"/>
      <name val="Times New Roman"/>
      <family val="1"/>
    </font>
    <font>
      <b/>
      <sz val="8"/>
      <color indexed="12"/>
      <name val="Times New Roman"/>
      <family val="1"/>
    </font>
    <font>
      <sz val="8"/>
      <color indexed="10"/>
      <name val="Times New Roman"/>
      <family val="1"/>
    </font>
    <font>
      <b/>
      <i/>
      <sz val="15"/>
      <name val="細明體"/>
      <family val="3"/>
      <charset val="136"/>
    </font>
    <font>
      <sz val="16"/>
      <name val="Times New Roman"/>
      <family val="1"/>
    </font>
    <font>
      <sz val="7"/>
      <name val="Times New Roman"/>
      <family val="1"/>
    </font>
    <font>
      <sz val="7"/>
      <color rgb="FFFF0000"/>
      <name val="Times New Roman"/>
      <family val="1"/>
    </font>
    <font>
      <b/>
      <sz val="9"/>
      <name val="Times New Roman"/>
      <family val="1"/>
    </font>
    <font>
      <b/>
      <sz val="8"/>
      <name val="Times New Roman"/>
      <family val="1"/>
    </font>
    <font>
      <sz val="9"/>
      <color rgb="FFFF0000"/>
      <name val="Arial"/>
      <family val="2"/>
    </font>
    <font>
      <b/>
      <sz val="9"/>
      <color rgb="FFFF0000"/>
      <name val="Arial"/>
      <family val="2"/>
    </font>
    <font>
      <u/>
      <sz val="9"/>
      <color rgb="FFFF0000"/>
      <name val="Arial"/>
      <family val="2"/>
    </font>
    <font>
      <sz val="11"/>
      <name val="Times New Roman"/>
      <family val="1"/>
    </font>
    <font>
      <sz val="10"/>
      <color indexed="8"/>
      <name val="Times New Roman"/>
      <family val="1"/>
    </font>
    <font>
      <sz val="11"/>
      <color theme="1"/>
      <name val="Times New Roman"/>
      <family val="1"/>
    </font>
    <font>
      <b/>
      <u/>
      <sz val="9"/>
      <color rgb="FFFF0000"/>
      <name val="Arial"/>
      <family val="2"/>
    </font>
    <font>
      <b/>
      <sz val="8"/>
      <name val="Times New Roman"/>
      <family val="1"/>
    </font>
    <font>
      <b/>
      <sz val="8"/>
      <color indexed="8"/>
      <name val="Times New Roman"/>
      <family val="1"/>
    </font>
    <font>
      <sz val="12"/>
      <color rgb="FF00B050"/>
      <name val="Arial"/>
      <family val="2"/>
    </font>
    <font>
      <sz val="7"/>
      <color rgb="FF00B050"/>
      <name val="Times New Roman"/>
      <family val="1"/>
    </font>
    <font>
      <sz val="20"/>
      <name val="Times New Roman"/>
      <family val="1"/>
    </font>
    <font>
      <sz val="22"/>
      <name val="Times New Roman"/>
      <family val="1"/>
    </font>
    <font>
      <sz val="17"/>
      <name val="Times New Roman"/>
      <family val="1"/>
    </font>
    <font>
      <b/>
      <i/>
      <sz val="7"/>
      <color rgb="FFFF0000"/>
      <name val="Times New Roman"/>
      <family val="1"/>
    </font>
    <font>
      <sz val="9"/>
      <color rgb="FFFF0000"/>
      <name val="Times New Roman"/>
      <family val="1"/>
    </font>
    <font>
      <b/>
      <i/>
      <u/>
      <sz val="9"/>
      <color indexed="18"/>
      <name val="Arial"/>
      <family val="2"/>
    </font>
    <font>
      <b/>
      <sz val="11"/>
      <color theme="1"/>
      <name val="Arial"/>
      <family val="2"/>
    </font>
    <font>
      <sz val="10"/>
      <color theme="1"/>
      <name val="Arial"/>
      <family val="2"/>
    </font>
    <font>
      <sz val="10"/>
      <color theme="1"/>
      <name val="Arial"/>
      <family val="2"/>
    </font>
    <font>
      <b/>
      <sz val="14"/>
      <color theme="1"/>
      <name val="Arial"/>
      <family val="2"/>
    </font>
    <font>
      <b/>
      <sz val="14"/>
      <color rgb="FFFF0000"/>
      <name val="Arial"/>
      <family val="2"/>
    </font>
    <font>
      <b/>
      <sz val="11"/>
      <color rgb="FFFF0000"/>
      <name val="Arial"/>
      <family val="2"/>
    </font>
    <font>
      <b/>
      <sz val="9"/>
      <color rgb="FFFF0000"/>
      <name val="Times New Roman"/>
      <family val="1"/>
    </font>
    <font>
      <b/>
      <i/>
      <u/>
      <sz val="9"/>
      <color rgb="FFFF0000"/>
      <name val="Arial"/>
      <family val="2"/>
    </font>
    <font>
      <u/>
      <sz val="9"/>
      <color indexed="18"/>
      <name val="Arial"/>
      <family val="2"/>
    </font>
    <font>
      <b/>
      <u/>
      <sz val="9"/>
      <color indexed="18"/>
      <name val="Arial"/>
      <family val="2"/>
    </font>
    <font>
      <sz val="10"/>
      <name val="Arial"/>
      <family val="2"/>
    </font>
    <font>
      <b/>
      <sz val="11"/>
      <color theme="1"/>
      <name val="Calibri"/>
      <family val="2"/>
      <scheme val="minor"/>
    </font>
    <font>
      <sz val="11"/>
      <color theme="1"/>
      <name val="Calibri"/>
      <family val="2"/>
      <scheme val="minor"/>
    </font>
    <font>
      <i/>
      <u/>
      <sz val="9"/>
      <name val="Arial"/>
      <family val="2"/>
    </font>
    <font>
      <sz val="9"/>
      <color theme="3"/>
      <name val="Times New Roman"/>
      <family val="1"/>
    </font>
    <font>
      <sz val="9"/>
      <color theme="3"/>
      <name val="Arial"/>
      <family val="2"/>
    </font>
    <font>
      <u/>
      <sz val="9"/>
      <color theme="3"/>
      <name val="Arial"/>
      <family val="2"/>
    </font>
    <font>
      <sz val="10"/>
      <color theme="3"/>
      <name val="Arial"/>
      <family val="2"/>
    </font>
    <font>
      <u/>
      <sz val="9"/>
      <color theme="3"/>
      <name val="Times New Roman"/>
      <family val="1"/>
    </font>
    <font>
      <b/>
      <sz val="16"/>
      <color indexed="9"/>
      <name val="Times New Roman"/>
      <family val="1"/>
    </font>
    <font>
      <b/>
      <sz val="16"/>
      <color indexed="9"/>
      <name val="Arial MT"/>
    </font>
    <font>
      <sz val="16"/>
      <color indexed="9"/>
      <name val="Arial"/>
      <family val="2"/>
    </font>
    <font>
      <sz val="16"/>
      <color indexed="9"/>
      <name val="Arial MT"/>
    </font>
    <font>
      <sz val="16"/>
      <name val="Arial"/>
      <family val="2"/>
    </font>
    <font>
      <sz val="16"/>
      <name val="Arial MT"/>
    </font>
    <font>
      <b/>
      <i/>
      <sz val="12"/>
      <name val="Times New Roman"/>
      <family val="1"/>
    </font>
    <font>
      <u/>
      <sz val="10"/>
      <name val="Arial"/>
      <family val="2"/>
    </font>
    <font>
      <sz val="11.75"/>
      <name val="Trebuchet MS"/>
      <family val="2"/>
    </font>
    <font>
      <sz val="9"/>
      <color theme="1"/>
      <name val="Arial"/>
      <family val="2"/>
    </font>
    <font>
      <b/>
      <sz val="9"/>
      <name val="DaunPenh"/>
    </font>
    <font>
      <sz val="10"/>
      <color rgb="FFFF0000"/>
      <name val="Times New Roman"/>
      <family val="1"/>
    </font>
    <font>
      <sz val="11"/>
      <color rgb="FFFF0000"/>
      <name val="Calibri"/>
      <family val="2"/>
      <scheme val="minor"/>
    </font>
    <font>
      <sz val="10"/>
      <name val="DaunPenh"/>
    </font>
    <font>
      <sz val="11"/>
      <name val="DaunPenh"/>
    </font>
    <font>
      <sz val="10"/>
      <name val="Khmer Kep"/>
    </font>
    <font>
      <b/>
      <sz val="11"/>
      <name val="Khmer Kep"/>
    </font>
    <font>
      <b/>
      <sz val="10"/>
      <name val="Khmer Kep"/>
    </font>
    <font>
      <sz val="12"/>
      <name val="Arial"/>
      <family val="2"/>
    </font>
    <font>
      <b/>
      <sz val="9"/>
      <color theme="1"/>
      <name val="Arial"/>
      <family val="2"/>
    </font>
    <font>
      <sz val="12"/>
      <color theme="1"/>
      <name val="Arial"/>
      <family val="2"/>
    </font>
  </fonts>
  <fills count="33">
    <fill>
      <patternFill patternType="none"/>
    </fill>
    <fill>
      <patternFill patternType="gray125"/>
    </fill>
    <fill>
      <patternFill patternType="solid">
        <fgColor indexed="9"/>
      </patternFill>
    </fill>
    <fill>
      <patternFill patternType="solid">
        <fgColor indexed="13"/>
      </patternFill>
    </fill>
    <fill>
      <patternFill patternType="solid">
        <fgColor indexed="12"/>
      </patternFill>
    </fill>
    <fill>
      <patternFill patternType="solid">
        <fgColor indexed="9"/>
        <bgColor indexed="64"/>
      </patternFill>
    </fill>
    <fill>
      <patternFill patternType="solid">
        <fgColor indexed="15"/>
        <bgColor indexed="64"/>
      </patternFill>
    </fill>
    <fill>
      <patternFill patternType="solid">
        <fgColor indexed="44"/>
        <bgColor indexed="64"/>
      </patternFill>
    </fill>
    <fill>
      <patternFill patternType="solid">
        <fgColor indexed="45"/>
        <bgColor indexed="64"/>
      </patternFill>
    </fill>
    <fill>
      <patternFill patternType="solid">
        <fgColor indexed="53"/>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F66CC"/>
        <bgColor indexed="64"/>
      </patternFill>
    </fill>
    <fill>
      <patternFill patternType="solid">
        <fgColor rgb="FFFF0000"/>
        <bgColor indexed="64"/>
      </patternFill>
    </fill>
    <fill>
      <patternFill patternType="solid">
        <fgColor theme="0"/>
      </patternFill>
    </fill>
    <fill>
      <patternFill patternType="solid">
        <fgColor rgb="FF66FFFF"/>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45"/>
      </patternFill>
    </fill>
    <fill>
      <patternFill patternType="solid">
        <fgColor theme="6" tint="0.79998168889431442"/>
        <bgColor indexed="65"/>
      </patternFill>
    </fill>
    <fill>
      <patternFill patternType="solid">
        <fgColor rgb="FF92D050"/>
        <bgColor indexed="64"/>
      </patternFill>
    </fill>
    <fill>
      <patternFill patternType="solid">
        <fgColor theme="6"/>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16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hair">
        <color indexed="8"/>
      </top>
      <bottom style="medium">
        <color indexed="8"/>
      </bottom>
      <diagonal/>
    </border>
    <border>
      <left style="medium">
        <color indexed="8"/>
      </left>
      <right style="medium">
        <color indexed="8"/>
      </right>
      <top/>
      <bottom style="medium">
        <color indexed="8"/>
      </bottom>
      <diagonal/>
    </border>
    <border>
      <left/>
      <right style="medium">
        <color indexed="64"/>
      </right>
      <top style="thin">
        <color indexed="64"/>
      </top>
      <bottom style="thin">
        <color indexed="64"/>
      </bottom>
      <diagonal/>
    </border>
    <border>
      <left/>
      <right/>
      <top style="medium">
        <color indexed="8"/>
      </top>
      <bottom/>
      <diagonal/>
    </border>
    <border>
      <left/>
      <right style="medium">
        <color indexed="8"/>
      </right>
      <top/>
      <bottom/>
      <diagonal/>
    </border>
    <border>
      <left style="thin">
        <color indexed="8"/>
      </left>
      <right style="thin">
        <color indexed="8"/>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8"/>
      </top>
      <bottom/>
      <diagonal/>
    </border>
    <border>
      <left/>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medium">
        <color indexed="64"/>
      </right>
      <top/>
      <bottom/>
      <diagonal/>
    </border>
    <border>
      <left style="medium">
        <color indexed="64"/>
      </left>
      <right/>
      <top/>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hair">
        <color indexed="64"/>
      </top>
      <bottom/>
      <diagonal/>
    </border>
    <border>
      <left/>
      <right style="thin">
        <color indexed="64"/>
      </right>
      <top/>
      <bottom/>
      <diagonal/>
    </border>
    <border>
      <left style="double">
        <color indexed="64"/>
      </left>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top style="hair">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thin">
        <color indexed="64"/>
      </top>
      <bottom style="medium">
        <color indexed="64"/>
      </bottom>
      <diagonal/>
    </border>
    <border>
      <left/>
      <right/>
      <top style="double">
        <color indexed="64"/>
      </top>
      <bottom/>
      <diagonal/>
    </border>
    <border>
      <left style="medium">
        <color indexed="64"/>
      </left>
      <right/>
      <top style="hair">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style="hair">
        <color indexed="64"/>
      </bottom>
      <diagonal/>
    </border>
    <border>
      <left style="thin">
        <color indexed="64"/>
      </left>
      <right style="medium">
        <color indexed="64"/>
      </right>
      <top style="hair">
        <color indexed="64"/>
      </top>
      <bottom/>
      <diagonal/>
    </border>
    <border>
      <left style="medium">
        <color indexed="8"/>
      </left>
      <right style="medium">
        <color indexed="8"/>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64"/>
      </right>
      <top style="medium">
        <color indexed="8"/>
      </top>
      <bottom style="medium">
        <color indexed="8"/>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8"/>
      </right>
      <top style="medium">
        <color indexed="8"/>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8"/>
      </left>
      <right/>
      <top style="medium">
        <color indexed="8"/>
      </top>
      <bottom style="medium">
        <color indexed="8"/>
      </bottom>
      <diagonal/>
    </border>
    <border>
      <left/>
      <right/>
      <top style="thin">
        <color indexed="64"/>
      </top>
      <bottom/>
      <diagonal/>
    </border>
    <border>
      <left/>
      <right style="thin">
        <color indexed="64"/>
      </right>
      <top style="hair">
        <color indexed="64"/>
      </top>
      <bottom style="medium">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8"/>
      </left>
      <right style="thin">
        <color indexed="8"/>
      </right>
      <top/>
      <bottom style="medium">
        <color indexed="8"/>
      </bottom>
      <diagonal/>
    </border>
    <border>
      <left style="medium">
        <color indexed="64"/>
      </left>
      <right style="medium">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double">
        <color indexed="64"/>
      </left>
      <right style="medium">
        <color indexed="64"/>
      </right>
      <top style="medium">
        <color indexed="64"/>
      </top>
      <bottom style="double">
        <color indexed="64"/>
      </bottom>
      <diagonal/>
    </border>
    <border>
      <left style="double">
        <color indexed="64"/>
      </left>
      <right style="thin">
        <color indexed="64"/>
      </right>
      <top style="hair">
        <color indexed="64"/>
      </top>
      <bottom/>
      <diagonal/>
    </border>
    <border>
      <left/>
      <right style="double">
        <color indexed="64"/>
      </right>
      <top/>
      <bottom/>
      <diagonal/>
    </border>
    <border>
      <left style="thin">
        <color indexed="64"/>
      </left>
      <right style="medium">
        <color indexed="64"/>
      </right>
      <top style="hair">
        <color indexed="64"/>
      </top>
      <bottom/>
      <diagonal/>
    </border>
    <border>
      <left/>
      <right style="thin">
        <color indexed="64"/>
      </right>
      <top style="hair">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double">
        <color indexed="64"/>
      </right>
      <top style="hair">
        <color indexed="64"/>
      </top>
      <bottom style="hair">
        <color indexed="64"/>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medium">
        <color indexed="64"/>
      </left>
      <right style="medium">
        <color indexed="8"/>
      </right>
      <top style="thin">
        <color indexed="64"/>
      </top>
      <bottom style="thin">
        <color indexed="64"/>
      </bottom>
      <diagonal/>
    </border>
    <border>
      <left style="medium">
        <color indexed="8"/>
      </left>
      <right style="medium">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double">
        <color indexed="64"/>
      </right>
      <top style="medium">
        <color indexed="64"/>
      </top>
      <bottom style="double">
        <color indexed="64"/>
      </bottom>
      <diagonal/>
    </border>
    <border>
      <left style="double">
        <color indexed="64"/>
      </left>
      <right/>
      <top style="double">
        <color indexed="64"/>
      </top>
      <bottom style="hair">
        <color indexed="64"/>
      </bottom>
      <diagonal/>
    </border>
    <border>
      <left style="double">
        <color indexed="64"/>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hair">
        <color auto="1"/>
      </top>
      <bottom style="thin">
        <color indexed="64"/>
      </bottom>
      <diagonal/>
    </border>
    <border>
      <left/>
      <right/>
      <top style="hair">
        <color auto="1"/>
      </top>
      <bottom/>
      <diagonal/>
    </border>
    <border>
      <left style="double">
        <color indexed="64"/>
      </left>
      <right style="medium">
        <color indexed="64"/>
      </right>
      <top/>
      <bottom style="medium">
        <color indexed="64"/>
      </bottom>
      <diagonal/>
    </border>
    <border>
      <left style="medium">
        <color indexed="64"/>
      </left>
      <right style="double">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auto="1"/>
      </left>
      <right style="hair">
        <color auto="1"/>
      </right>
      <top style="hair">
        <color auto="1"/>
      </top>
      <bottom style="hair">
        <color indexed="64"/>
      </bottom>
      <diagonal/>
    </border>
    <border>
      <left style="hair">
        <color indexed="64"/>
      </left>
      <right style="medium">
        <color indexed="64"/>
      </right>
      <top style="hair">
        <color indexed="64"/>
      </top>
      <bottom style="hair">
        <color indexed="64"/>
      </bottom>
      <diagonal/>
    </border>
    <border>
      <left style="double">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hair">
        <color auto="1"/>
      </right>
      <top style="hair">
        <color auto="1"/>
      </top>
      <bottom style="hair">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hair">
        <color auto="1"/>
      </top>
      <bottom style="hair">
        <color indexed="64"/>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ck">
        <color indexed="64"/>
      </right>
      <top style="hair">
        <color indexed="64"/>
      </top>
      <bottom style="hair">
        <color indexed="64"/>
      </bottom>
      <diagonal/>
    </border>
    <border>
      <left/>
      <right style="thick">
        <color indexed="64"/>
      </right>
      <top style="thin">
        <color indexed="64"/>
      </top>
      <bottom style="double">
        <color indexed="64"/>
      </bottom>
      <diagonal/>
    </border>
    <border>
      <left style="double">
        <color indexed="64"/>
      </left>
      <right/>
      <top/>
      <bottom style="double">
        <color indexed="64"/>
      </bottom>
      <diagonal/>
    </border>
    <border>
      <left style="hair">
        <color auto="1"/>
      </left>
      <right style="thin">
        <color auto="1"/>
      </right>
      <top style="hair">
        <color auto="1"/>
      </top>
      <bottom style="hair">
        <color indexed="64"/>
      </bottom>
      <diagonal/>
    </border>
    <border>
      <left style="thin">
        <color indexed="64"/>
      </left>
      <right style="thick">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double">
        <color indexed="64"/>
      </right>
      <top style="hair">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hair">
        <color auto="1"/>
      </bottom>
      <diagonal/>
    </border>
  </borders>
  <cellStyleXfs count="104">
    <xf numFmtId="0" fontId="0" fillId="2"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06" fillId="0" borderId="0" applyFont="0" applyFill="0" applyBorder="0" applyAlignment="0" applyProtection="0"/>
    <xf numFmtId="43" fontId="72"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73" fillId="0" borderId="0"/>
    <xf numFmtId="0" fontId="73" fillId="0" borderId="1"/>
    <xf numFmtId="0" fontId="74" fillId="0" borderId="0" applyNumberFormat="0" applyFill="0" applyBorder="0" applyAlignment="0" applyProtection="0">
      <alignment vertical="top"/>
      <protection locked="0"/>
    </xf>
    <xf numFmtId="0" fontId="75" fillId="3" borderId="1"/>
    <xf numFmtId="0" fontId="10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06" fillId="0" borderId="0"/>
    <xf numFmtId="0" fontId="107" fillId="0" borderId="0"/>
    <xf numFmtId="0" fontId="106" fillId="0" borderId="0"/>
    <xf numFmtId="0" fontId="106" fillId="0" borderId="0"/>
    <xf numFmtId="0" fontId="107" fillId="0" borderId="0"/>
    <xf numFmtId="0" fontId="10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17" fillId="0" borderId="0"/>
    <xf numFmtId="0" fontId="72" fillId="0" borderId="0"/>
    <xf numFmtId="0" fontId="23" fillId="2" borderId="0"/>
    <xf numFmtId="0" fontId="106" fillId="0" borderId="0"/>
    <xf numFmtId="0" fontId="17" fillId="0" borderId="0"/>
    <xf numFmtId="0" fontId="17" fillId="0" borderId="0"/>
    <xf numFmtId="0" fontId="17" fillId="0" borderId="0"/>
    <xf numFmtId="0" fontId="17" fillId="0" borderId="0"/>
    <xf numFmtId="0" fontId="17" fillId="0" borderId="0"/>
    <xf numFmtId="0" fontId="17" fillId="0" borderId="0"/>
    <xf numFmtId="168" fontId="49" fillId="0" borderId="0"/>
    <xf numFmtId="0" fontId="49" fillId="0" borderId="0"/>
    <xf numFmtId="0" fontId="84" fillId="0" borderId="0"/>
    <xf numFmtId="0" fontId="87" fillId="0" borderId="0"/>
    <xf numFmtId="0" fontId="17" fillId="0" borderId="0"/>
    <xf numFmtId="0" fontId="23" fillId="2" borderId="0"/>
    <xf numFmtId="9" fontId="66" fillId="0" borderId="0" applyFont="0" applyFill="0" applyBorder="0" applyAlignment="0" applyProtection="0"/>
    <xf numFmtId="9" fontId="17" fillId="0" borderId="0" applyFont="0" applyFill="0" applyBorder="0" applyAlignment="0" applyProtection="0"/>
    <xf numFmtId="9" fontId="22" fillId="0" borderId="0" applyFont="0" applyFill="0" applyBorder="0" applyAlignment="0" applyProtection="0"/>
    <xf numFmtId="9" fontId="72" fillId="0" borderId="0" applyFont="0" applyFill="0" applyBorder="0" applyAlignment="0" applyProtection="0"/>
    <xf numFmtId="9" fontId="2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73" fillId="0" borderId="0"/>
    <xf numFmtId="0" fontId="73" fillId="0" borderId="1"/>
    <xf numFmtId="0" fontId="76" fillId="4" borderId="0"/>
    <xf numFmtId="0" fontId="75" fillId="0" borderId="2"/>
    <xf numFmtId="0" fontId="75" fillId="0" borderId="1"/>
    <xf numFmtId="0" fontId="17" fillId="0" borderId="0"/>
    <xf numFmtId="0" fontId="4" fillId="0" borderId="0"/>
    <xf numFmtId="0" fontId="3" fillId="0" borderId="0"/>
  </cellStyleXfs>
  <cellXfs count="1779">
    <xf numFmtId="0" fontId="0" fillId="2" borderId="0" xfId="0"/>
    <xf numFmtId="43" fontId="17" fillId="13" borderId="0" xfId="2" applyFont="1" applyFill="1" applyBorder="1" applyAlignment="1">
      <alignment vertical="center"/>
    </xf>
    <xf numFmtId="164" fontId="21" fillId="0" borderId="0" xfId="2" applyNumberFormat="1" applyFont="1" applyFill="1" applyBorder="1" applyAlignment="1">
      <alignment horizontal="center" vertical="center"/>
    </xf>
    <xf numFmtId="43" fontId="19" fillId="0" borderId="0" xfId="2" applyFont="1" applyFill="1" applyBorder="1" applyAlignment="1">
      <alignment horizontal="center" vertical="center"/>
    </xf>
    <xf numFmtId="43" fontId="20" fillId="0" borderId="0" xfId="2" applyFont="1" applyFill="1" applyBorder="1" applyAlignment="1">
      <alignment horizontal="center" vertical="center"/>
    </xf>
    <xf numFmtId="43" fontId="30" fillId="0" borderId="0" xfId="2" applyFont="1" applyFill="1"/>
    <xf numFmtId="43" fontId="9" fillId="0" borderId="0" xfId="2" applyFont="1" applyFill="1" applyBorder="1" applyAlignment="1">
      <alignment vertical="center"/>
    </xf>
    <xf numFmtId="164" fontId="17" fillId="0" borderId="0" xfId="2" applyNumberFormat="1" applyFont="1" applyFill="1" applyBorder="1" applyAlignment="1">
      <alignment horizontal="center" vertical="center"/>
    </xf>
    <xf numFmtId="43" fontId="17" fillId="0" borderId="0" xfId="2" applyFont="1" applyFill="1" applyBorder="1" applyAlignment="1">
      <alignment vertical="center"/>
    </xf>
    <xf numFmtId="43" fontId="17" fillId="0" borderId="0" xfId="2" applyFont="1" applyFill="1" applyBorder="1" applyAlignment="1">
      <alignment horizontal="center" vertical="center"/>
    </xf>
    <xf numFmtId="43" fontId="28" fillId="0" borderId="0" xfId="2" applyFont="1" applyFill="1"/>
    <xf numFmtId="164" fontId="31" fillId="0" borderId="0" xfId="2" applyNumberFormat="1" applyFont="1" applyFill="1" applyBorder="1" applyAlignment="1">
      <alignment horizontal="center" vertical="center"/>
    </xf>
    <xf numFmtId="164" fontId="20" fillId="0" borderId="0" xfId="2" applyNumberFormat="1" applyFont="1" applyFill="1" applyBorder="1" applyAlignment="1">
      <alignment horizontal="center" vertical="center"/>
    </xf>
    <xf numFmtId="43" fontId="9" fillId="0" borderId="0" xfId="2" applyFont="1" applyFill="1" applyBorder="1" applyAlignment="1">
      <alignment horizontal="center" vertical="center"/>
    </xf>
    <xf numFmtId="43" fontId="13" fillId="0" borderId="0" xfId="2" applyFont="1" applyFill="1" applyBorder="1" applyAlignment="1">
      <alignment vertical="center"/>
    </xf>
    <xf numFmtId="0" fontId="56" fillId="0" borderId="0" xfId="0" applyNumberFormat="1" applyFont="1" applyFill="1"/>
    <xf numFmtId="0" fontId="57" fillId="0" borderId="0" xfId="0" applyNumberFormat="1" applyFont="1" applyFill="1"/>
    <xf numFmtId="0" fontId="58" fillId="6" borderId="8" xfId="0" applyNumberFormat="1" applyFont="1" applyFill="1" applyBorder="1" applyAlignment="1">
      <alignment horizontal="center"/>
    </xf>
    <xf numFmtId="0" fontId="61" fillId="0" borderId="0" xfId="0" applyNumberFormat="1" applyFont="1" applyFill="1" applyBorder="1" applyAlignment="1">
      <alignment horizontal="center" vertical="center"/>
    </xf>
    <xf numFmtId="15" fontId="61" fillId="0" borderId="0" xfId="0" applyNumberFormat="1" applyFont="1" applyFill="1" applyBorder="1" applyAlignment="1">
      <alignment horizontal="center" vertical="center"/>
    </xf>
    <xf numFmtId="0" fontId="61" fillId="0" borderId="0" xfId="0" applyNumberFormat="1" applyFont="1" applyFill="1" applyBorder="1" applyAlignment="1">
      <alignment horizontal="left" vertical="center"/>
    </xf>
    <xf numFmtId="0" fontId="61" fillId="0" borderId="0" xfId="0" applyNumberFormat="1" applyFont="1" applyFill="1" applyBorder="1" applyAlignment="1">
      <alignment vertical="center"/>
    </xf>
    <xf numFmtId="39" fontId="61" fillId="0" borderId="0" xfId="0" applyNumberFormat="1" applyFont="1" applyFill="1" applyBorder="1" applyAlignment="1">
      <alignment horizontal="center" vertical="center"/>
    </xf>
    <xf numFmtId="43" fontId="61" fillId="0" borderId="0" xfId="0" applyNumberFormat="1" applyFont="1" applyFill="1" applyBorder="1" applyAlignment="1">
      <alignment horizontal="left" vertical="center"/>
    </xf>
    <xf numFmtId="39" fontId="61" fillId="0" borderId="0" xfId="0" applyNumberFormat="1" applyFont="1" applyFill="1" applyBorder="1" applyAlignment="1">
      <alignment horizontal="right" vertical="center"/>
    </xf>
    <xf numFmtId="39" fontId="61" fillId="0" borderId="0" xfId="0" quotePrefix="1" applyNumberFormat="1" applyFont="1" applyFill="1" applyBorder="1" applyAlignment="1">
      <alignment vertical="center"/>
    </xf>
    <xf numFmtId="0" fontId="61" fillId="0" borderId="0" xfId="0" applyNumberFormat="1" applyFont="1" applyFill="1" applyBorder="1" applyAlignment="1">
      <alignment horizontal="center"/>
    </xf>
    <xf numFmtId="0" fontId="61" fillId="0" borderId="0" xfId="0" applyNumberFormat="1" applyFont="1" applyFill="1" applyBorder="1" applyAlignment="1">
      <alignment horizontal="left"/>
    </xf>
    <xf numFmtId="15" fontId="61" fillId="0" borderId="0" xfId="0" applyNumberFormat="1" applyFont="1" applyFill="1" applyBorder="1" applyAlignment="1">
      <alignment horizontal="center"/>
    </xf>
    <xf numFmtId="0" fontId="61" fillId="0" borderId="0" xfId="0" applyNumberFormat="1" applyFont="1" applyFill="1" applyBorder="1" applyAlignment="1">
      <alignment horizontal="left" indent="1"/>
    </xf>
    <xf numFmtId="39" fontId="61" fillId="0" borderId="0" xfId="0" quotePrefix="1" applyNumberFormat="1" applyFont="1" applyFill="1" applyBorder="1" applyAlignment="1"/>
    <xf numFmtId="39" fontId="61" fillId="0" borderId="0" xfId="0" applyNumberFormat="1" applyFont="1" applyFill="1" applyBorder="1" applyAlignment="1">
      <alignment horizontal="right"/>
    </xf>
    <xf numFmtId="15" fontId="62" fillId="0" borderId="0" xfId="0" applyNumberFormat="1" applyFont="1" applyFill="1" applyBorder="1" applyAlignment="1">
      <alignment horizontal="center"/>
    </xf>
    <xf numFmtId="0" fontId="62" fillId="0" borderId="0" xfId="0" applyNumberFormat="1" applyFont="1" applyFill="1" applyBorder="1" applyAlignment="1">
      <alignment horizontal="left" indent="1"/>
    </xf>
    <xf numFmtId="15" fontId="62" fillId="0" borderId="9" xfId="0" applyNumberFormat="1" applyFont="1" applyFill="1" applyBorder="1" applyAlignment="1">
      <alignment horizontal="center" vertical="center"/>
    </xf>
    <xf numFmtId="0" fontId="62" fillId="0" borderId="9" xfId="0" applyNumberFormat="1" applyFont="1" applyFill="1" applyBorder="1" applyAlignment="1">
      <alignment horizontal="left" vertical="center"/>
    </xf>
    <xf numFmtId="0" fontId="61" fillId="0" borderId="9" xfId="0" applyNumberFormat="1" applyFont="1" applyFill="1" applyBorder="1" applyAlignment="1">
      <alignment horizontal="left" vertical="center"/>
    </xf>
    <xf numFmtId="0" fontId="61" fillId="0" borderId="9" xfId="0" applyNumberFormat="1" applyFont="1" applyFill="1" applyBorder="1" applyAlignment="1">
      <alignment horizontal="center" vertical="center"/>
    </xf>
    <xf numFmtId="39" fontId="61" fillId="0" borderId="9" xfId="0" applyNumberFormat="1" applyFont="1" applyFill="1" applyBorder="1" applyAlignment="1">
      <alignment horizontal="center" vertical="center"/>
    </xf>
    <xf numFmtId="39" fontId="61" fillId="0" borderId="9" xfId="0" applyNumberFormat="1" applyFont="1" applyFill="1" applyBorder="1" applyAlignment="1">
      <alignment horizontal="right" vertical="center"/>
    </xf>
    <xf numFmtId="4" fontId="62" fillId="7" borderId="10" xfId="0" applyNumberFormat="1" applyFont="1" applyFill="1" applyBorder="1" applyAlignment="1">
      <alignment horizontal="right" vertical="center"/>
    </xf>
    <xf numFmtId="4" fontId="61" fillId="5" borderId="0" xfId="0" applyNumberFormat="1" applyFont="1" applyFill="1" applyBorder="1" applyAlignment="1">
      <alignment horizontal="right" vertical="center"/>
    </xf>
    <xf numFmtId="4" fontId="61" fillId="0" borderId="11" xfId="0" applyNumberFormat="1" applyFont="1" applyFill="1" applyBorder="1" applyAlignment="1">
      <alignment horizontal="right" vertical="center"/>
    </xf>
    <xf numFmtId="0" fontId="64" fillId="0" borderId="0" xfId="0" applyNumberFormat="1" applyFont="1" applyFill="1" applyBorder="1" applyAlignment="1">
      <alignment vertical="center"/>
    </xf>
    <xf numFmtId="9" fontId="59" fillId="0" borderId="0" xfId="72" applyFont="1" applyFill="1" applyAlignment="1">
      <alignment horizontal="center" vertical="center"/>
    </xf>
    <xf numFmtId="9" fontId="58" fillId="0" borderId="0" xfId="72" applyFont="1" applyFill="1" applyAlignment="1">
      <alignment horizontal="center" vertical="center"/>
    </xf>
    <xf numFmtId="0" fontId="9" fillId="5" borderId="0" xfId="58" applyFont="1" applyFill="1" applyBorder="1" applyAlignment="1">
      <alignment vertical="center"/>
    </xf>
    <xf numFmtId="15" fontId="13" fillId="0" borderId="13" xfId="58" applyNumberFormat="1" applyFont="1" applyFill="1" applyBorder="1" applyAlignment="1">
      <alignment horizontal="center" vertical="center"/>
    </xf>
    <xf numFmtId="0" fontId="13" fillId="0" borderId="3" xfId="58" applyFont="1" applyFill="1" applyBorder="1" applyAlignment="1">
      <alignment vertical="center"/>
    </xf>
    <xf numFmtId="15" fontId="13" fillId="0" borderId="3" xfId="58" applyNumberFormat="1" applyFont="1" applyFill="1" applyBorder="1" applyAlignment="1">
      <alignment horizontal="center" vertical="center"/>
    </xf>
    <xf numFmtId="4" fontId="13" fillId="0" borderId="3" xfId="58" applyNumberFormat="1" applyFont="1" applyFill="1" applyBorder="1" applyAlignment="1">
      <alignment vertical="center"/>
    </xf>
    <xf numFmtId="0" fontId="15" fillId="5" borderId="0" xfId="58" applyFont="1" applyFill="1" applyBorder="1" applyAlignment="1">
      <alignment vertical="center"/>
    </xf>
    <xf numFmtId="0" fontId="9" fillId="5" borderId="3" xfId="58" applyFont="1" applyFill="1" applyBorder="1" applyAlignment="1">
      <alignment horizontal="center" vertical="center"/>
    </xf>
    <xf numFmtId="4" fontId="12" fillId="5" borderId="3" xfId="58" applyNumberFormat="1" applyFont="1" applyFill="1" applyBorder="1" applyAlignment="1">
      <alignment horizontal="centerContinuous" vertical="center"/>
    </xf>
    <xf numFmtId="4" fontId="9" fillId="5" borderId="3" xfId="58" applyNumberFormat="1" applyFont="1" applyFill="1" applyBorder="1" applyAlignment="1">
      <alignment vertical="center"/>
    </xf>
    <xf numFmtId="15" fontId="13" fillId="5" borderId="3" xfId="58" applyNumberFormat="1" applyFont="1" applyFill="1" applyBorder="1" applyAlignment="1">
      <alignment horizontal="center" vertical="center"/>
    </xf>
    <xf numFmtId="4" fontId="13" fillId="5" borderId="3" xfId="58" applyNumberFormat="1" applyFont="1" applyFill="1" applyBorder="1" applyAlignment="1">
      <alignment vertical="center"/>
    </xf>
    <xf numFmtId="4" fontId="15" fillId="7" borderId="3" xfId="58" applyNumberFormat="1" applyFont="1" applyFill="1" applyBorder="1" applyAlignment="1">
      <alignment vertical="center"/>
    </xf>
    <xf numFmtId="0" fontId="15" fillId="0" borderId="0" xfId="58" applyFont="1" applyFill="1"/>
    <xf numFmtId="0" fontId="12" fillId="8" borderId="3" xfId="58" applyNumberFormat="1" applyFont="1" applyFill="1" applyBorder="1" applyAlignment="1">
      <alignment vertical="center"/>
    </xf>
    <xf numFmtId="0" fontId="13" fillId="0" borderId="3" xfId="58" applyFont="1" applyFill="1" applyBorder="1" applyAlignment="1">
      <alignment horizontal="left" vertical="center"/>
    </xf>
    <xf numFmtId="4" fontId="9" fillId="0" borderId="0" xfId="58" applyNumberFormat="1" applyFont="1" applyFill="1" applyBorder="1" applyAlignment="1">
      <alignment vertical="center"/>
    </xf>
    <xf numFmtId="0" fontId="9" fillId="0" borderId="0" xfId="58" applyFont="1" applyFill="1" applyBorder="1" applyAlignment="1">
      <alignment vertical="center"/>
    </xf>
    <xf numFmtId="0" fontId="13" fillId="13" borderId="0" xfId="58" applyFont="1" applyFill="1" applyBorder="1" applyAlignment="1">
      <alignment horizontal="center" vertical="center"/>
    </xf>
    <xf numFmtId="0" fontId="19" fillId="5" borderId="0" xfId="58" applyFont="1" applyFill="1"/>
    <xf numFmtId="0" fontId="19" fillId="5" borderId="0" xfId="58" applyFont="1" applyFill="1" applyBorder="1" applyAlignment="1">
      <alignment horizontal="center"/>
    </xf>
    <xf numFmtId="0" fontId="19" fillId="0" borderId="0" xfId="58" applyFont="1" applyFill="1" applyBorder="1" applyAlignment="1">
      <alignment horizontal="right" vertical="center"/>
    </xf>
    <xf numFmtId="0" fontId="17" fillId="13" borderId="0" xfId="58" applyFont="1" applyFill="1" applyBorder="1" applyAlignment="1">
      <alignment horizontal="center"/>
    </xf>
    <xf numFmtId="0" fontId="20" fillId="0" borderId="0" xfId="58" applyFont="1" applyFill="1" applyBorder="1"/>
    <xf numFmtId="4" fontId="19" fillId="5" borderId="0" xfId="58" applyNumberFormat="1" applyFont="1" applyFill="1"/>
    <xf numFmtId="0" fontId="19" fillId="5" borderId="0" xfId="58" applyFont="1" applyFill="1" applyBorder="1"/>
    <xf numFmtId="4" fontId="27" fillId="0" borderId="0" xfId="58" applyNumberFormat="1" applyFont="1" applyFill="1" applyAlignment="1">
      <alignment vertical="center"/>
    </xf>
    <xf numFmtId="0" fontId="33" fillId="0" borderId="0" xfId="58" applyFont="1" applyFill="1" applyAlignment="1"/>
    <xf numFmtId="0" fontId="34" fillId="0" borderId="16" xfId="58" applyFont="1" applyFill="1" applyBorder="1" applyAlignment="1">
      <alignment horizontal="center" vertical="center"/>
    </xf>
    <xf numFmtId="0" fontId="36" fillId="0" borderId="16" xfId="58" applyNumberFormat="1" applyFont="1" applyFill="1" applyBorder="1" applyAlignment="1">
      <alignment horizontal="center" vertical="center"/>
    </xf>
    <xf numFmtId="0" fontId="17" fillId="0" borderId="16" xfId="58" applyNumberFormat="1" applyFont="1" applyFill="1" applyBorder="1" applyAlignment="1">
      <alignment horizontal="center" vertical="center"/>
    </xf>
    <xf numFmtId="0" fontId="32" fillId="0" borderId="17" xfId="58" applyFont="1" applyFill="1" applyBorder="1" applyAlignment="1">
      <alignment horizontal="center" vertical="center"/>
    </xf>
    <xf numFmtId="0" fontId="32" fillId="0" borderId="16" xfId="58" applyFont="1" applyFill="1" applyBorder="1" applyAlignment="1">
      <alignment horizontal="left" vertical="center"/>
    </xf>
    <xf numFmtId="165" fontId="27" fillId="0" borderId="16" xfId="58" applyNumberFormat="1" applyFont="1" applyFill="1" applyBorder="1" applyAlignment="1">
      <alignment vertical="center"/>
    </xf>
    <xf numFmtId="165" fontId="25" fillId="0" borderId="16" xfId="58" applyNumberFormat="1" applyFont="1" applyFill="1" applyBorder="1" applyAlignment="1">
      <alignment vertical="center"/>
    </xf>
    <xf numFmtId="0" fontId="35" fillId="0" borderId="0" xfId="58" applyFont="1" applyFill="1" applyAlignment="1">
      <alignment horizontal="left"/>
    </xf>
    <xf numFmtId="0" fontId="28" fillId="0" borderId="16" xfId="58" applyFont="1" applyFill="1" applyBorder="1" applyAlignment="1">
      <alignment horizontal="left" vertical="center"/>
    </xf>
    <xf numFmtId="0" fontId="6" fillId="0" borderId="0" xfId="58" applyFont="1" applyFill="1" applyBorder="1" applyAlignment="1">
      <alignment horizontal="left" vertical="center"/>
    </xf>
    <xf numFmtId="0" fontId="35" fillId="0" borderId="0" xfId="58" applyFont="1" applyFill="1" applyAlignment="1">
      <alignment horizontal="left" vertical="center"/>
    </xf>
    <xf numFmtId="0" fontId="41" fillId="0" borderId="0" xfId="58" applyFont="1" applyFill="1" applyBorder="1" applyAlignment="1">
      <alignment horizontal="center" vertical="center"/>
    </xf>
    <xf numFmtId="0" fontId="42" fillId="0" borderId="0" xfId="58" applyFont="1" applyFill="1" applyAlignment="1">
      <alignment horizontal="center"/>
    </xf>
    <xf numFmtId="4" fontId="41" fillId="2" borderId="0" xfId="58" applyNumberFormat="1" applyFont="1" applyBorder="1" applyAlignment="1">
      <alignment vertical="center"/>
    </xf>
    <xf numFmtId="9" fontId="41" fillId="0" borderId="0" xfId="58" applyNumberFormat="1" applyFont="1" applyFill="1" applyBorder="1" applyAlignment="1">
      <alignment horizontal="right" vertical="center"/>
    </xf>
    <xf numFmtId="165" fontId="41" fillId="0" borderId="0" xfId="58" applyNumberFormat="1" applyFont="1" applyFill="1" applyBorder="1" applyAlignment="1">
      <alignment vertical="center"/>
    </xf>
    <xf numFmtId="15" fontId="43" fillId="2" borderId="0" xfId="58" applyNumberFormat="1" applyFont="1" applyBorder="1" applyAlignment="1">
      <alignment horizontal="left" vertical="center"/>
    </xf>
    <xf numFmtId="0" fontId="35" fillId="0" borderId="0" xfId="58" applyFont="1" applyFill="1" applyBorder="1" applyAlignment="1">
      <alignment horizontal="left"/>
    </xf>
    <xf numFmtId="15" fontId="13" fillId="2" borderId="0" xfId="58" applyNumberFormat="1" applyFont="1" applyBorder="1" applyAlignment="1">
      <alignment horizontal="left" vertical="center"/>
    </xf>
    <xf numFmtId="0" fontId="36" fillId="0" borderId="0" xfId="58" applyFont="1" applyFill="1" applyAlignment="1">
      <alignment horizontal="center"/>
    </xf>
    <xf numFmtId="0" fontId="44" fillId="0" borderId="0" xfId="58" applyFont="1" applyFill="1"/>
    <xf numFmtId="4" fontId="44" fillId="0" borderId="0" xfId="58" applyNumberFormat="1" applyFont="1" applyFill="1" applyAlignment="1">
      <alignment horizontal="right"/>
    </xf>
    <xf numFmtId="0" fontId="31" fillId="0" borderId="0" xfId="58" applyFont="1" applyFill="1" applyAlignment="1">
      <alignment horizontal="left"/>
    </xf>
    <xf numFmtId="0" fontId="23" fillId="0" borderId="0" xfId="58" applyFill="1" applyAlignment="1">
      <alignment horizontal="center"/>
    </xf>
    <xf numFmtId="0" fontId="45" fillId="0" borderId="0" xfId="58" applyNumberFormat="1" applyFont="1" applyFill="1" applyAlignment="1">
      <alignment horizontal="left"/>
    </xf>
    <xf numFmtId="0" fontId="46" fillId="0" borderId="0" xfId="58" applyNumberFormat="1" applyFont="1" applyFill="1"/>
    <xf numFmtId="0" fontId="47" fillId="0" borderId="0" xfId="58" applyNumberFormat="1" applyFont="1" applyFill="1" applyAlignment="1">
      <alignment horizontal="left"/>
    </xf>
    <xf numFmtId="0" fontId="48" fillId="0" borderId="0" xfId="58" applyNumberFormat="1" applyFont="1" applyFill="1" applyAlignment="1">
      <alignment horizontal="left"/>
    </xf>
    <xf numFmtId="0" fontId="23" fillId="0" borderId="0" xfId="58" applyNumberFormat="1" applyFont="1" applyFill="1"/>
    <xf numFmtId="0" fontId="49" fillId="0" borderId="0" xfId="58" applyNumberFormat="1" applyFont="1" applyFill="1" applyAlignment="1">
      <alignment horizontal="left"/>
    </xf>
    <xf numFmtId="0" fontId="19" fillId="0" borderId="0" xfId="58" applyNumberFormat="1" applyFont="1" applyFill="1" applyAlignment="1">
      <alignment vertical="center"/>
    </xf>
    <xf numFmtId="0" fontId="9" fillId="0" borderId="0" xfId="58" applyFont="1" applyFill="1"/>
    <xf numFmtId="4" fontId="67" fillId="0" borderId="0" xfId="58" applyNumberFormat="1" applyFont="1" applyFill="1"/>
    <xf numFmtId="39" fontId="23" fillId="0" borderId="0" xfId="58" applyNumberFormat="1" applyFont="1" applyFill="1" applyAlignment="1">
      <alignment horizontal="right"/>
    </xf>
    <xf numFmtId="0" fontId="23" fillId="0" borderId="0" xfId="58" applyNumberFormat="1" applyFont="1" applyFill="1" applyAlignment="1">
      <alignment horizontal="right"/>
    </xf>
    <xf numFmtId="39" fontId="49" fillId="0" borderId="0" xfId="58" applyNumberFormat="1" applyFont="1" applyFill="1" applyAlignment="1">
      <alignment horizontal="right" vertical="center"/>
    </xf>
    <xf numFmtId="0" fontId="19" fillId="0" borderId="0" xfId="58" applyNumberFormat="1" applyFont="1" applyFill="1"/>
    <xf numFmtId="0" fontId="50" fillId="0" borderId="0" xfId="58" applyNumberFormat="1" applyFont="1" applyFill="1" applyAlignment="1">
      <alignment vertical="center"/>
    </xf>
    <xf numFmtId="0" fontId="51" fillId="0" borderId="0" xfId="58" applyNumberFormat="1" applyFont="1" applyFill="1"/>
    <xf numFmtId="0" fontId="9" fillId="6" borderId="18" xfId="58" applyFont="1" applyFill="1" applyBorder="1" applyAlignment="1">
      <alignment horizontal="center" vertical="center"/>
    </xf>
    <xf numFmtId="0" fontId="9" fillId="6" borderId="19" xfId="58" applyFont="1" applyFill="1" applyBorder="1" applyAlignment="1">
      <alignment horizontal="center" vertical="center"/>
    </xf>
    <xf numFmtId="0" fontId="10" fillId="6" borderId="19" xfId="58" applyFont="1" applyFill="1" applyBorder="1" applyAlignment="1">
      <alignment horizontal="center" vertical="center"/>
    </xf>
    <xf numFmtId="0" fontId="11" fillId="6" borderId="19" xfId="58" applyFont="1" applyFill="1" applyBorder="1" applyAlignment="1">
      <alignment horizontal="center" vertical="center"/>
    </xf>
    <xf numFmtId="0" fontId="9" fillId="6" borderId="20" xfId="58" applyFont="1" applyFill="1" applyBorder="1" applyAlignment="1">
      <alignment horizontal="center" vertical="center"/>
    </xf>
    <xf numFmtId="39" fontId="23" fillId="0" borderId="0" xfId="58" applyNumberFormat="1" applyFont="1" applyFill="1"/>
    <xf numFmtId="4" fontId="9" fillId="0" borderId="19" xfId="58" applyNumberFormat="1" applyFont="1" applyFill="1" applyBorder="1" applyAlignment="1">
      <alignment vertical="center"/>
    </xf>
    <xf numFmtId="15" fontId="52" fillId="0" borderId="0" xfId="58" applyNumberFormat="1" applyFont="1" applyFill="1" applyBorder="1" applyAlignment="1">
      <alignment horizontal="center" vertical="center"/>
    </xf>
    <xf numFmtId="15" fontId="9" fillId="0" borderId="0" xfId="58" applyNumberFormat="1" applyFont="1" applyFill="1" applyBorder="1" applyAlignment="1">
      <alignment horizontal="center" vertical="center"/>
    </xf>
    <xf numFmtId="0" fontId="9" fillId="0" borderId="0" xfId="58" applyNumberFormat="1" applyFont="1" applyFill="1" applyBorder="1" applyAlignment="1">
      <alignment horizontal="left" vertical="center" indent="1"/>
    </xf>
    <xf numFmtId="39" fontId="53" fillId="0" borderId="0" xfId="58" applyNumberFormat="1" applyFont="1" applyFill="1"/>
    <xf numFmtId="0" fontId="42" fillId="5" borderId="0" xfId="58" applyFont="1" applyFill="1" applyAlignment="1">
      <alignment horizontal="center"/>
    </xf>
    <xf numFmtId="0" fontId="42" fillId="5" borderId="0" xfId="58" applyFont="1" applyFill="1" applyAlignment="1">
      <alignment horizontal="right"/>
    </xf>
    <xf numFmtId="0" fontId="42" fillId="2" borderId="0" xfId="58" applyFont="1" applyBorder="1" applyAlignment="1">
      <alignment horizontal="left"/>
    </xf>
    <xf numFmtId="0" fontId="13" fillId="0" borderId="0" xfId="58" applyNumberFormat="1" applyFont="1" applyFill="1"/>
    <xf numFmtId="0" fontId="54" fillId="0" borderId="0" xfId="58" applyNumberFormat="1" applyFont="1" applyFill="1" applyAlignment="1">
      <alignment horizontal="center"/>
    </xf>
    <xf numFmtId="0" fontId="69" fillId="0" borderId="0" xfId="58" applyNumberFormat="1" applyFont="1" applyFill="1" applyAlignment="1">
      <alignment horizontal="left"/>
    </xf>
    <xf numFmtId="4" fontId="9" fillId="0" borderId="0" xfId="58" applyNumberFormat="1" applyFont="1" applyFill="1" applyBorder="1" applyAlignment="1">
      <alignment horizontal="right" vertical="center"/>
    </xf>
    <xf numFmtId="9" fontId="9" fillId="0" borderId="0" xfId="58" applyNumberFormat="1" applyFont="1" applyFill="1" applyBorder="1" applyAlignment="1">
      <alignment vertical="center"/>
    </xf>
    <xf numFmtId="15" fontId="9" fillId="0" borderId="0" xfId="58" applyNumberFormat="1" applyFont="1" applyFill="1" applyBorder="1" applyAlignment="1">
      <alignment horizontal="left" vertical="center"/>
    </xf>
    <xf numFmtId="0" fontId="9" fillId="0" borderId="21" xfId="58" applyFont="1" applyFill="1" applyBorder="1" applyAlignment="1">
      <alignment horizontal="center" vertical="center"/>
    </xf>
    <xf numFmtId="0" fontId="20" fillId="0" borderId="21" xfId="58" applyNumberFormat="1" applyFont="1" applyFill="1" applyBorder="1" applyAlignment="1">
      <alignment vertical="center"/>
    </xf>
    <xf numFmtId="15" fontId="9" fillId="0" borderId="21" xfId="58" applyNumberFormat="1" applyFont="1" applyFill="1" applyBorder="1" applyAlignment="1">
      <alignment horizontal="center" vertical="center"/>
    </xf>
    <xf numFmtId="4" fontId="9" fillId="0" borderId="21" xfId="58" applyNumberFormat="1" applyFont="1" applyFill="1" applyBorder="1" applyAlignment="1">
      <alignment horizontal="right" vertical="center"/>
    </xf>
    <xf numFmtId="9" fontId="9" fillId="0" borderId="21" xfId="58" applyNumberFormat="1" applyFont="1" applyFill="1" applyBorder="1" applyAlignment="1">
      <alignment vertical="center"/>
    </xf>
    <xf numFmtId="4" fontId="9" fillId="0" borderId="21" xfId="58" applyNumberFormat="1" applyFont="1" applyFill="1" applyBorder="1" applyAlignment="1">
      <alignment vertical="center"/>
    </xf>
    <xf numFmtId="15" fontId="9" fillId="0" borderId="21" xfId="58" applyNumberFormat="1" applyFont="1" applyFill="1" applyBorder="1" applyAlignment="1">
      <alignment horizontal="left" vertical="center"/>
    </xf>
    <xf numFmtId="0" fontId="9" fillId="0" borderId="21" xfId="58" applyNumberFormat="1" applyFont="1" applyFill="1" applyBorder="1" applyAlignment="1">
      <alignment horizontal="left" vertical="center" indent="1"/>
    </xf>
    <xf numFmtId="0" fontId="9" fillId="6" borderId="22" xfId="58" applyFont="1" applyFill="1" applyBorder="1" applyAlignment="1">
      <alignment horizontal="center" vertical="center"/>
    </xf>
    <xf numFmtId="0" fontId="11" fillId="6" borderId="22" xfId="58" applyFont="1" applyFill="1" applyBorder="1" applyAlignment="1">
      <alignment horizontal="center" vertical="center"/>
    </xf>
    <xf numFmtId="4" fontId="20" fillId="0" borderId="23" xfId="58" applyNumberFormat="1" applyFont="1" applyFill="1" applyBorder="1" applyAlignment="1">
      <alignment vertical="center"/>
    </xf>
    <xf numFmtId="4" fontId="9" fillId="0" borderId="23" xfId="58" applyNumberFormat="1" applyFont="1" applyFill="1" applyBorder="1" applyAlignment="1">
      <alignment vertical="center"/>
    </xf>
    <xf numFmtId="0" fontId="9" fillId="0" borderId="0" xfId="58" applyFont="1" applyFill="1" applyBorder="1" applyAlignment="1">
      <alignment horizontal="center" vertical="center"/>
    </xf>
    <xf numFmtId="4" fontId="13" fillId="0" borderId="0" xfId="58" applyNumberFormat="1" applyFont="1" applyFill="1"/>
    <xf numFmtId="0" fontId="9" fillId="0" borderId="26" xfId="58" applyNumberFormat="1" applyFont="1" applyFill="1" applyBorder="1" applyAlignment="1">
      <alignment horizontal="left" vertical="center" indent="1"/>
    </xf>
    <xf numFmtId="9" fontId="9" fillId="0" borderId="23" xfId="58" applyNumberFormat="1" applyFont="1" applyFill="1" applyBorder="1" applyAlignment="1">
      <alignment horizontal="center" vertical="center"/>
    </xf>
    <xf numFmtId="15" fontId="9" fillId="0" borderId="23" xfId="58" applyNumberFormat="1" applyFont="1" applyFill="1" applyBorder="1" applyAlignment="1">
      <alignment horizontal="center" vertical="center"/>
    </xf>
    <xf numFmtId="0" fontId="19" fillId="0" borderId="0" xfId="58" applyFont="1" applyFill="1" applyAlignment="1"/>
    <xf numFmtId="0" fontId="19" fillId="9" borderId="0" xfId="58" applyNumberFormat="1" applyFont="1" applyFill="1" applyAlignment="1">
      <alignment horizontal="left" vertical="center"/>
    </xf>
    <xf numFmtId="0" fontId="55" fillId="9" borderId="0" xfId="58" applyNumberFormat="1" applyFont="1" applyFill="1" applyAlignment="1">
      <alignment horizontal="left" vertical="center"/>
    </xf>
    <xf numFmtId="0" fontId="13" fillId="0" borderId="28" xfId="58" applyFont="1" applyFill="1" applyBorder="1" applyAlignment="1">
      <alignment horizontal="left" vertical="center"/>
    </xf>
    <xf numFmtId="15" fontId="13" fillId="0" borderId="28" xfId="58" applyNumberFormat="1" applyFont="1" applyFill="1" applyBorder="1" applyAlignment="1">
      <alignment horizontal="center" vertical="center"/>
    </xf>
    <xf numFmtId="4" fontId="13" fillId="0" borderId="28" xfId="58" applyNumberFormat="1" applyFont="1" applyFill="1" applyBorder="1" applyAlignment="1">
      <alignment vertical="center"/>
    </xf>
    <xf numFmtId="0" fontId="13" fillId="0" borderId="29" xfId="58" applyFont="1" applyFill="1" applyBorder="1" applyAlignment="1">
      <alignment horizontal="center" vertical="center"/>
    </xf>
    <xf numFmtId="0" fontId="13" fillId="0" borderId="30" xfId="58" applyFont="1" applyFill="1" applyBorder="1" applyAlignment="1">
      <alignment horizontal="left" vertical="center"/>
    </xf>
    <xf numFmtId="15" fontId="13" fillId="0" borderId="30" xfId="58" applyNumberFormat="1" applyFont="1" applyFill="1" applyBorder="1" applyAlignment="1">
      <alignment horizontal="center" vertical="center"/>
    </xf>
    <xf numFmtId="4" fontId="13" fillId="0" borderId="30" xfId="58" applyNumberFormat="1" applyFont="1" applyFill="1" applyBorder="1" applyAlignment="1">
      <alignment vertical="center"/>
    </xf>
    <xf numFmtId="4" fontId="13" fillId="0" borderId="30" xfId="58" applyNumberFormat="1" applyFont="1" applyFill="1" applyBorder="1" applyAlignment="1">
      <alignment horizontal="center" vertical="center"/>
    </xf>
    <xf numFmtId="4" fontId="20" fillId="11" borderId="24" xfId="58" applyNumberFormat="1" applyFont="1" applyFill="1" applyBorder="1" applyAlignment="1">
      <alignment horizontal="right" vertical="center"/>
    </xf>
    <xf numFmtId="0" fontId="19" fillId="9" borderId="0" xfId="58" applyNumberFormat="1" applyFont="1" applyFill="1" applyAlignment="1">
      <alignment vertical="center"/>
    </xf>
    <xf numFmtId="0" fontId="55" fillId="9" borderId="0" xfId="58" applyFont="1" applyFill="1" applyBorder="1" applyAlignment="1">
      <alignment horizontal="left" vertical="center"/>
    </xf>
    <xf numFmtId="4" fontId="9" fillId="0" borderId="0" xfId="58" applyNumberFormat="1" applyFont="1" applyFill="1" applyBorder="1" applyAlignment="1">
      <alignment horizontal="right" vertical="center" indent="1"/>
    </xf>
    <xf numFmtId="0" fontId="13" fillId="2" borderId="31" xfId="58" applyFont="1" applyBorder="1" applyAlignment="1">
      <alignment horizontal="center" vertical="center"/>
    </xf>
    <xf numFmtId="15" fontId="13" fillId="0" borderId="28" xfId="58" applyNumberFormat="1" applyFont="1" applyFill="1" applyBorder="1" applyAlignment="1">
      <alignment horizontal="left" vertical="center" wrapText="1"/>
    </xf>
    <xf numFmtId="165" fontId="13" fillId="0" borderId="30" xfId="58" applyNumberFormat="1" applyFont="1" applyFill="1" applyBorder="1" applyAlignment="1">
      <alignment horizontal="center" vertical="center"/>
    </xf>
    <xf numFmtId="0" fontId="9" fillId="0" borderId="0" xfId="58" applyFont="1" applyFill="1" applyAlignment="1">
      <alignment horizontal="center"/>
    </xf>
    <xf numFmtId="9" fontId="13" fillId="0" borderId="28" xfId="58" applyNumberFormat="1" applyFont="1" applyFill="1" applyBorder="1" applyAlignment="1">
      <alignment horizontal="center" vertical="center"/>
    </xf>
    <xf numFmtId="9" fontId="13" fillId="0" borderId="30" xfId="58" applyNumberFormat="1" applyFont="1" applyFill="1" applyBorder="1" applyAlignment="1">
      <alignment horizontal="center" vertical="center"/>
    </xf>
    <xf numFmtId="4" fontId="9" fillId="0" borderId="0" xfId="58" applyNumberFormat="1" applyFont="1" applyFill="1" applyBorder="1" applyAlignment="1">
      <alignment horizontal="center" vertical="center"/>
    </xf>
    <xf numFmtId="4" fontId="13" fillId="0" borderId="0" xfId="58" applyNumberFormat="1" applyFont="1" applyFill="1" applyAlignment="1">
      <alignment horizontal="center"/>
    </xf>
    <xf numFmtId="0" fontId="109" fillId="0" borderId="32" xfId="59" applyFont="1" applyBorder="1" applyAlignment="1"/>
    <xf numFmtId="0" fontId="106" fillId="0" borderId="0" xfId="59" applyBorder="1"/>
    <xf numFmtId="0" fontId="106" fillId="0" borderId="0" xfId="59" applyFont="1" applyBorder="1"/>
    <xf numFmtId="167" fontId="110" fillId="0" borderId="0" xfId="59" applyNumberFormat="1" applyFont="1" applyBorder="1" applyAlignment="1">
      <alignment horizontal="left"/>
    </xf>
    <xf numFmtId="0" fontId="108" fillId="0" borderId="33" xfId="59" applyFont="1" applyBorder="1" applyAlignment="1">
      <alignment vertical="top" wrapText="1"/>
    </xf>
    <xf numFmtId="0" fontId="108" fillId="0" borderId="34" xfId="59" applyFont="1" applyBorder="1" applyAlignment="1">
      <alignment horizontal="center" vertical="center" wrapText="1"/>
    </xf>
    <xf numFmtId="0" fontId="108" fillId="0" borderId="34" xfId="59" applyFont="1" applyFill="1" applyBorder="1" applyAlignment="1">
      <alignment horizontal="center" vertical="center" wrapText="1"/>
    </xf>
    <xf numFmtId="0" fontId="111" fillId="0" borderId="34" xfId="59" applyFont="1" applyFill="1" applyBorder="1" applyAlignment="1">
      <alignment horizontal="center" vertical="center" wrapText="1"/>
    </xf>
    <xf numFmtId="0" fontId="108" fillId="0" borderId="34" xfId="59" applyFont="1" applyBorder="1" applyAlignment="1">
      <alignment vertical="top" wrapText="1"/>
    </xf>
    <xf numFmtId="43" fontId="106" fillId="0" borderId="34" xfId="6" applyFont="1" applyBorder="1"/>
    <xf numFmtId="0" fontId="109" fillId="0" borderId="0" xfId="59" applyFont="1" applyBorder="1" applyAlignment="1">
      <alignment horizontal="center" vertical="center"/>
    </xf>
    <xf numFmtId="43" fontId="112" fillId="0" borderId="0" xfId="59" applyNumberFormat="1" applyFont="1" applyBorder="1" applyAlignment="1">
      <alignment vertical="center"/>
    </xf>
    <xf numFmtId="43" fontId="106" fillId="0" borderId="0" xfId="6" applyFont="1" applyBorder="1" applyAlignment="1"/>
    <xf numFmtId="43" fontId="106" fillId="0" borderId="0" xfId="59" applyNumberFormat="1" applyFont="1" applyBorder="1"/>
    <xf numFmtId="0" fontId="17" fillId="0" borderId="34" xfId="59" applyFont="1" applyBorder="1" applyAlignment="1">
      <alignment horizontal="right" vertical="center"/>
    </xf>
    <xf numFmtId="49" fontId="17" fillId="0" borderId="34" xfId="59" applyNumberFormat="1" applyFont="1" applyBorder="1" applyAlignment="1">
      <alignment horizontal="right" vertical="center"/>
    </xf>
    <xf numFmtId="0" fontId="20" fillId="0" borderId="34" xfId="59" applyFont="1" applyBorder="1" applyAlignment="1">
      <alignment horizontal="left" vertical="center"/>
    </xf>
    <xf numFmtId="43" fontId="108" fillId="0" borderId="34" xfId="6" applyFont="1" applyBorder="1"/>
    <xf numFmtId="49" fontId="20" fillId="0" borderId="34" xfId="59" applyNumberFormat="1" applyFont="1" applyBorder="1" applyAlignment="1">
      <alignment horizontal="left" vertical="center"/>
    </xf>
    <xf numFmtId="0" fontId="17" fillId="0" borderId="34" xfId="59" applyFont="1" applyBorder="1" applyAlignment="1">
      <alignment horizontal="right"/>
    </xf>
    <xf numFmtId="0" fontId="17" fillId="0" borderId="35" xfId="59" applyFont="1" applyBorder="1" applyAlignment="1">
      <alignment horizontal="right" vertical="center"/>
    </xf>
    <xf numFmtId="0" fontId="106" fillId="0" borderId="34" xfId="59" applyFont="1" applyBorder="1" applyAlignment="1">
      <alignment horizontal="right" vertical="center"/>
    </xf>
    <xf numFmtId="0" fontId="108" fillId="0" borderId="34" xfId="59" applyFont="1" applyBorder="1" applyAlignment="1">
      <alignment vertical="center"/>
    </xf>
    <xf numFmtId="0" fontId="20" fillId="0" borderId="34" xfId="59" applyFont="1" applyBorder="1" applyAlignment="1">
      <alignment horizontal="left"/>
    </xf>
    <xf numFmtId="0" fontId="20" fillId="0" borderId="35" xfId="59" applyFont="1" applyBorder="1" applyAlignment="1">
      <alignment vertical="center"/>
    </xf>
    <xf numFmtId="0" fontId="108" fillId="0" borderId="34" xfId="59" applyFont="1" applyBorder="1" applyAlignment="1">
      <alignment horizontal="left" vertical="center"/>
    </xf>
    <xf numFmtId="0" fontId="109" fillId="0" borderId="0" xfId="59" applyFont="1" applyBorder="1" applyAlignment="1"/>
    <xf numFmtId="0" fontId="108" fillId="0" borderId="34" xfId="59" applyFont="1" applyBorder="1" applyAlignment="1">
      <alignment horizontal="center" vertical="top" wrapText="1"/>
    </xf>
    <xf numFmtId="39" fontId="61" fillId="0" borderId="0" xfId="0" applyNumberFormat="1" applyFont="1" applyFill="1" applyBorder="1" applyAlignment="1">
      <alignment horizontal="left" vertical="center" wrapText="1"/>
    </xf>
    <xf numFmtId="0" fontId="61" fillId="0" borderId="0" xfId="0" applyNumberFormat="1" applyFont="1" applyFill="1" applyBorder="1" applyAlignment="1">
      <alignment vertical="center" wrapText="1"/>
    </xf>
    <xf numFmtId="39" fontId="61" fillId="0" borderId="9" xfId="0" applyNumberFormat="1" applyFont="1" applyFill="1" applyBorder="1" applyAlignment="1">
      <alignment horizontal="left" vertical="center" wrapText="1"/>
    </xf>
    <xf numFmtId="4" fontId="113" fillId="5" borderId="0" xfId="0" applyNumberFormat="1" applyFont="1" applyFill="1" applyBorder="1" applyAlignment="1">
      <alignment horizontal="right" vertical="center"/>
    </xf>
    <xf numFmtId="43" fontId="31" fillId="0" borderId="0" xfId="2" applyFont="1" applyFill="1" applyBorder="1" applyAlignment="1">
      <alignment horizontal="center" vertical="center"/>
    </xf>
    <xf numFmtId="43" fontId="25" fillId="0" borderId="16" xfId="2" applyFont="1" applyFill="1" applyBorder="1" applyAlignment="1">
      <alignment horizontal="left" vertical="center"/>
    </xf>
    <xf numFmtId="4" fontId="9" fillId="5" borderId="0" xfId="58" applyNumberFormat="1" applyFont="1" applyFill="1"/>
    <xf numFmtId="0" fontId="50" fillId="15" borderId="0" xfId="58" applyNumberFormat="1" applyFont="1" applyFill="1" applyAlignment="1">
      <alignment vertical="center"/>
    </xf>
    <xf numFmtId="0" fontId="51" fillId="15" borderId="0" xfId="58" applyNumberFormat="1" applyFont="1" applyFill="1"/>
    <xf numFmtId="37" fontId="61" fillId="0" borderId="0" xfId="0" applyNumberFormat="1" applyFont="1" applyFill="1" applyBorder="1" applyAlignment="1">
      <alignment horizontal="center" vertical="center"/>
    </xf>
    <xf numFmtId="4" fontId="61" fillId="0" borderId="0" xfId="0" applyNumberFormat="1" applyFont="1" applyFill="1" applyBorder="1" applyAlignment="1">
      <alignment horizontal="right" vertical="center"/>
    </xf>
    <xf numFmtId="0" fontId="59" fillId="0" borderId="0" xfId="0" applyNumberFormat="1" applyFont="1" applyFill="1" applyAlignment="1">
      <alignment vertical="center"/>
    </xf>
    <xf numFmtId="0" fontId="77" fillId="0" borderId="0" xfId="0" applyNumberFormat="1" applyFont="1" applyFill="1"/>
    <xf numFmtId="0" fontId="77" fillId="0" borderId="0" xfId="0" applyNumberFormat="1" applyFont="1" applyFill="1" applyAlignment="1">
      <alignment horizontal="left" vertical="center"/>
    </xf>
    <xf numFmtId="0" fontId="114" fillId="0" borderId="0" xfId="0" applyNumberFormat="1" applyFont="1" applyFill="1"/>
    <xf numFmtId="0" fontId="78" fillId="0" borderId="0" xfId="0" applyNumberFormat="1" applyFont="1" applyFill="1"/>
    <xf numFmtId="0" fontId="56" fillId="0" borderId="0" xfId="0" applyNumberFormat="1" applyFont="1" applyFill="1" applyAlignment="1">
      <alignment horizontal="left" vertical="center"/>
    </xf>
    <xf numFmtId="4" fontId="56" fillId="0" borderId="0" xfId="0" applyNumberFormat="1" applyFont="1" applyFill="1"/>
    <xf numFmtId="0" fontId="115" fillId="0" borderId="0" xfId="0" applyNumberFormat="1" applyFont="1" applyFill="1"/>
    <xf numFmtId="0" fontId="79" fillId="0" borderId="0" xfId="0" applyNumberFormat="1" applyFont="1" applyFill="1"/>
    <xf numFmtId="2" fontId="80" fillId="0" borderId="0" xfId="0" applyNumberFormat="1" applyFont="1" applyFill="1"/>
    <xf numFmtId="15" fontId="77" fillId="0" borderId="0" xfId="0" applyNumberFormat="1" applyFont="1" applyFill="1"/>
    <xf numFmtId="2" fontId="77" fillId="0" borderId="0" xfId="0" applyNumberFormat="1" applyFont="1" applyFill="1"/>
    <xf numFmtId="4" fontId="77" fillId="0" borderId="0" xfId="0" applyNumberFormat="1" applyFont="1" applyFill="1"/>
    <xf numFmtId="4" fontId="77" fillId="0" borderId="0" xfId="0" applyNumberFormat="1" applyFont="1" applyFill="1" applyAlignment="1">
      <alignment horizontal="right"/>
    </xf>
    <xf numFmtId="4" fontId="114" fillId="0" borderId="0" xfId="0" applyNumberFormat="1" applyFont="1" applyFill="1" applyAlignment="1">
      <alignment horizontal="right"/>
    </xf>
    <xf numFmtId="43" fontId="58" fillId="0" borderId="0" xfId="2" applyFont="1" applyFill="1" applyBorder="1" applyAlignment="1">
      <alignment horizontal="right" vertical="center"/>
    </xf>
    <xf numFmtId="37" fontId="61" fillId="0" borderId="7" xfId="0" applyNumberFormat="1" applyFont="1" applyFill="1" applyBorder="1" applyAlignment="1">
      <alignment horizontal="center"/>
    </xf>
    <xf numFmtId="4" fontId="61" fillId="0" borderId="7" xfId="0" applyNumberFormat="1" applyFont="1" applyFill="1" applyBorder="1" applyAlignment="1">
      <alignment horizontal="right"/>
    </xf>
    <xf numFmtId="0" fontId="59" fillId="0" borderId="0" xfId="0" applyNumberFormat="1" applyFont="1" applyFill="1" applyBorder="1"/>
    <xf numFmtId="0" fontId="59" fillId="0" borderId="0" xfId="0" applyNumberFormat="1" applyFont="1" applyFill="1" applyBorder="1" applyAlignment="1">
      <alignment vertical="center"/>
    </xf>
    <xf numFmtId="0" fontId="59" fillId="0" borderId="0" xfId="0" applyNumberFormat="1" applyFont="1" applyFill="1" applyAlignment="1">
      <alignment horizontal="left" vertical="center"/>
    </xf>
    <xf numFmtId="0" fontId="59" fillId="5" borderId="0" xfId="0" applyNumberFormat="1" applyFont="1" applyFill="1" applyAlignment="1">
      <alignment vertical="center"/>
    </xf>
    <xf numFmtId="0" fontId="59" fillId="5" borderId="0" xfId="0" applyNumberFormat="1" applyFont="1" applyFill="1" applyAlignment="1">
      <alignment horizontal="left" vertical="center"/>
    </xf>
    <xf numFmtId="0" fontId="65" fillId="0" borderId="0" xfId="0" applyNumberFormat="1" applyFont="1" applyFill="1" applyBorder="1" applyAlignment="1">
      <alignment horizontal="left" vertical="center"/>
    </xf>
    <xf numFmtId="43" fontId="19" fillId="0" borderId="0" xfId="2" applyFont="1" applyFill="1" applyBorder="1" applyAlignment="1">
      <alignment horizontal="right" vertical="center"/>
    </xf>
    <xf numFmtId="0" fontId="55" fillId="2" borderId="0" xfId="0" applyFont="1"/>
    <xf numFmtId="0" fontId="23" fillId="2" borderId="0" xfId="0" applyFont="1"/>
    <xf numFmtId="0" fontId="0" fillId="2" borderId="34" xfId="0" applyBorder="1"/>
    <xf numFmtId="0" fontId="58" fillId="5" borderId="36" xfId="34" applyNumberFormat="1" applyFont="1" applyFill="1" applyBorder="1" applyAlignment="1">
      <alignment horizontal="left" vertical="center"/>
    </xf>
    <xf numFmtId="0" fontId="59" fillId="5" borderId="37" xfId="34" applyNumberFormat="1" applyFont="1" applyFill="1" applyBorder="1" applyAlignment="1">
      <alignment horizontal="left" vertical="center"/>
    </xf>
    <xf numFmtId="43" fontId="59" fillId="5" borderId="37" xfId="2" applyFont="1" applyFill="1" applyBorder="1" applyAlignment="1">
      <alignment horizontal="left" vertical="center"/>
    </xf>
    <xf numFmtId="0" fontId="58" fillId="5" borderId="37" xfId="34" applyNumberFormat="1" applyFont="1" applyFill="1" applyBorder="1" applyAlignment="1">
      <alignment horizontal="center" vertical="center"/>
    </xf>
    <xf numFmtId="0" fontId="25" fillId="5" borderId="36" xfId="34" applyNumberFormat="1" applyFont="1" applyFill="1" applyBorder="1" applyAlignment="1">
      <alignment horizontal="left" vertical="center"/>
    </xf>
    <xf numFmtId="0" fontId="25" fillId="5" borderId="37" xfId="34" applyNumberFormat="1" applyFont="1" applyFill="1" applyBorder="1" applyAlignment="1">
      <alignment horizontal="left" vertical="center"/>
    </xf>
    <xf numFmtId="0" fontId="25" fillId="5" borderId="38" xfId="34" applyNumberFormat="1" applyFont="1" applyFill="1" applyBorder="1" applyAlignment="1">
      <alignment horizontal="left" vertical="center"/>
    </xf>
    <xf numFmtId="0" fontId="25" fillId="5" borderId="0" xfId="34" applyNumberFormat="1" applyFont="1" applyFill="1" applyBorder="1" applyAlignment="1">
      <alignment horizontal="left" vertical="center"/>
    </xf>
    <xf numFmtId="0" fontId="25" fillId="5" borderId="39" xfId="34" applyNumberFormat="1" applyFont="1" applyFill="1" applyBorder="1" applyAlignment="1">
      <alignment horizontal="left" vertical="center"/>
    </xf>
    <xf numFmtId="0" fontId="59" fillId="5" borderId="34" xfId="34" applyNumberFormat="1" applyFont="1" applyFill="1" applyBorder="1" applyAlignment="1">
      <alignment horizontal="left" vertical="center"/>
    </xf>
    <xf numFmtId="0" fontId="25" fillId="5" borderId="40" xfId="34" applyNumberFormat="1" applyFont="1" applyFill="1" applyBorder="1" applyAlignment="1">
      <alignment horizontal="left" vertical="center"/>
    </xf>
    <xf numFmtId="0" fontId="58" fillId="5" borderId="34" xfId="34" applyNumberFormat="1" applyFont="1" applyFill="1" applyBorder="1" applyAlignment="1">
      <alignment horizontal="left" vertical="center"/>
    </xf>
    <xf numFmtId="0" fontId="27" fillId="5" borderId="0" xfId="34" applyNumberFormat="1" applyFont="1" applyFill="1" applyBorder="1" applyAlignment="1">
      <alignment horizontal="left" vertical="center"/>
    </xf>
    <xf numFmtId="0" fontId="25" fillId="5" borderId="0" xfId="34" applyNumberFormat="1" applyFont="1" applyFill="1" applyBorder="1" applyAlignment="1">
      <alignment horizontal="center" vertical="center"/>
    </xf>
    <xf numFmtId="43" fontId="27" fillId="5" borderId="0" xfId="2" applyFont="1" applyFill="1" applyBorder="1" applyAlignment="1">
      <alignment horizontal="left" vertical="center"/>
    </xf>
    <xf numFmtId="0" fontId="58" fillId="5" borderId="40" xfId="34" applyNumberFormat="1" applyFont="1" applyFill="1" applyBorder="1" applyAlignment="1">
      <alignment horizontal="left" vertical="center"/>
    </xf>
    <xf numFmtId="0" fontId="59" fillId="5" borderId="0" xfId="34" applyNumberFormat="1" applyFont="1" applyFill="1" applyBorder="1" applyAlignment="1">
      <alignment horizontal="left" vertical="center"/>
    </xf>
    <xf numFmtId="0" fontId="58" fillId="5" borderId="0" xfId="34" applyNumberFormat="1" applyFont="1" applyFill="1" applyBorder="1" applyAlignment="1">
      <alignment horizontal="center" vertical="center"/>
    </xf>
    <xf numFmtId="43" fontId="59" fillId="5" borderId="0" xfId="2" applyFont="1" applyFill="1" applyBorder="1" applyAlignment="1">
      <alignment horizontal="left" vertical="center"/>
    </xf>
    <xf numFmtId="43" fontId="58" fillId="5" borderId="34" xfId="2" applyFont="1" applyFill="1" applyBorder="1" applyAlignment="1">
      <alignment horizontal="left" vertical="center"/>
    </xf>
    <xf numFmtId="0" fontId="40" fillId="5" borderId="0" xfId="34" applyNumberFormat="1" applyFont="1" applyFill="1" applyBorder="1" applyAlignment="1">
      <alignment horizontal="left" vertical="center"/>
    </xf>
    <xf numFmtId="0" fontId="59" fillId="16" borderId="37" xfId="34" applyNumberFormat="1" applyFont="1" applyFill="1" applyBorder="1" applyAlignment="1">
      <alignment horizontal="left" vertical="center"/>
    </xf>
    <xf numFmtId="0" fontId="58" fillId="16" borderId="37" xfId="34" applyNumberFormat="1" applyFont="1" applyFill="1" applyBorder="1" applyAlignment="1">
      <alignment horizontal="center" vertical="center"/>
    </xf>
    <xf numFmtId="43" fontId="59" fillId="16" borderId="37" xfId="2" applyFont="1" applyFill="1" applyBorder="1" applyAlignment="1">
      <alignment horizontal="left" vertical="center"/>
    </xf>
    <xf numFmtId="0" fontId="83" fillId="16" borderId="36" xfId="34" applyNumberFormat="1" applyFont="1" applyFill="1" applyBorder="1" applyAlignment="1">
      <alignment horizontal="left" vertical="center"/>
    </xf>
    <xf numFmtId="0" fontId="40" fillId="5" borderId="37" xfId="34" applyNumberFormat="1" applyFont="1" applyFill="1" applyBorder="1" applyAlignment="1">
      <alignment horizontal="left" vertical="center"/>
    </xf>
    <xf numFmtId="43" fontId="59" fillId="5" borderId="34" xfId="2" applyFont="1" applyFill="1" applyBorder="1" applyAlignment="1">
      <alignment horizontal="left" vertical="center"/>
    </xf>
    <xf numFmtId="0" fontId="61" fillId="5" borderId="41" xfId="34" applyNumberFormat="1" applyFont="1" applyFill="1" applyBorder="1" applyAlignment="1">
      <alignment horizontal="center" vertical="center"/>
    </xf>
    <xf numFmtId="0" fontId="61" fillId="5" borderId="42" xfId="34" applyNumberFormat="1" applyFont="1" applyFill="1" applyBorder="1" applyAlignment="1">
      <alignment horizontal="center" vertical="center"/>
    </xf>
    <xf numFmtId="0" fontId="61" fillId="5" borderId="43" xfId="34" applyNumberFormat="1" applyFont="1" applyFill="1" applyBorder="1" applyAlignment="1">
      <alignment horizontal="center" vertical="center"/>
    </xf>
    <xf numFmtId="0" fontId="59" fillId="5" borderId="34" xfId="34" applyNumberFormat="1" applyFont="1" applyFill="1" applyBorder="1" applyAlignment="1">
      <alignment horizontal="left" vertical="center" wrapText="1"/>
    </xf>
    <xf numFmtId="9" fontId="59" fillId="5" borderId="34" xfId="72" applyFont="1" applyFill="1" applyBorder="1" applyAlignment="1">
      <alignment horizontal="left" vertical="center"/>
    </xf>
    <xf numFmtId="43" fontId="58" fillId="5" borderId="0" xfId="2" applyFont="1" applyFill="1" applyBorder="1" applyAlignment="1">
      <alignment horizontal="left" vertical="center"/>
    </xf>
    <xf numFmtId="0" fontId="58" fillId="5" borderId="41" xfId="34" applyNumberFormat="1" applyFont="1" applyFill="1" applyBorder="1" applyAlignment="1">
      <alignment horizontal="left" vertical="center"/>
    </xf>
    <xf numFmtId="0" fontId="59" fillId="5" borderId="42" xfId="34" applyNumberFormat="1" applyFont="1" applyFill="1" applyBorder="1" applyAlignment="1">
      <alignment horizontal="left" vertical="center"/>
    </xf>
    <xf numFmtId="0" fontId="58" fillId="5" borderId="42" xfId="34" applyNumberFormat="1" applyFont="1" applyFill="1" applyBorder="1" applyAlignment="1">
      <alignment horizontal="center" vertical="center"/>
    </xf>
    <xf numFmtId="43" fontId="58" fillId="5" borderId="42" xfId="2" applyFont="1" applyFill="1" applyBorder="1" applyAlignment="1">
      <alignment horizontal="left" vertical="center"/>
    </xf>
    <xf numFmtId="43" fontId="59" fillId="5" borderId="42" xfId="2" applyFont="1" applyFill="1" applyBorder="1" applyAlignment="1">
      <alignment horizontal="left" vertical="center"/>
    </xf>
    <xf numFmtId="0" fontId="40" fillId="5" borderId="42" xfId="34" applyNumberFormat="1" applyFont="1" applyFill="1" applyBorder="1" applyAlignment="1">
      <alignment horizontal="left" vertical="center"/>
    </xf>
    <xf numFmtId="0" fontId="59" fillId="5" borderId="43" xfId="34" applyNumberFormat="1" applyFont="1" applyFill="1" applyBorder="1" applyAlignment="1">
      <alignment horizontal="left" vertical="center"/>
    </xf>
    <xf numFmtId="0" fontId="25" fillId="5" borderId="42" xfId="34" applyNumberFormat="1" applyFont="1" applyFill="1" applyBorder="1" applyAlignment="1">
      <alignment horizontal="left" vertical="center"/>
    </xf>
    <xf numFmtId="0" fontId="58" fillId="5" borderId="44" xfId="34" applyNumberFormat="1" applyFont="1" applyFill="1" applyBorder="1" applyAlignment="1">
      <alignment horizontal="left" vertical="center"/>
    </xf>
    <xf numFmtId="0" fontId="59" fillId="5" borderId="45" xfId="34" applyNumberFormat="1" applyFont="1" applyFill="1" applyBorder="1" applyAlignment="1">
      <alignment horizontal="left" vertical="center"/>
    </xf>
    <xf numFmtId="0" fontId="61" fillId="5" borderId="0" xfId="34" applyNumberFormat="1" applyFont="1" applyFill="1" applyBorder="1" applyAlignment="1">
      <alignment horizontal="center" vertical="center"/>
    </xf>
    <xf numFmtId="0" fontId="40" fillId="5" borderId="45" xfId="34" applyNumberFormat="1" applyFont="1" applyFill="1" applyBorder="1" applyAlignment="1">
      <alignment horizontal="left" vertical="center"/>
    </xf>
    <xf numFmtId="43" fontId="25" fillId="0" borderId="10" xfId="0" applyNumberFormat="1" applyFont="1" applyFill="1" applyBorder="1"/>
    <xf numFmtId="43" fontId="27" fillId="0" borderId="0" xfId="2" applyFont="1" applyFill="1"/>
    <xf numFmtId="0" fontId="61" fillId="5" borderId="0" xfId="34" applyNumberFormat="1" applyFont="1" applyFill="1" applyBorder="1" applyAlignment="1">
      <alignment vertical="center"/>
    </xf>
    <xf numFmtId="0" fontId="58" fillId="5" borderId="46" xfId="34" applyNumberFormat="1" applyFont="1" applyFill="1" applyBorder="1" applyAlignment="1">
      <alignment horizontal="left" vertical="center"/>
    </xf>
    <xf numFmtId="0" fontId="59" fillId="5" borderId="47" xfId="34" applyNumberFormat="1" applyFont="1" applyFill="1" applyBorder="1" applyAlignment="1">
      <alignment horizontal="left" vertical="center"/>
    </xf>
    <xf numFmtId="0" fontId="59" fillId="5" borderId="38" xfId="34" applyNumberFormat="1" applyFont="1" applyFill="1" applyBorder="1" applyAlignment="1">
      <alignment horizontal="left" vertical="center"/>
    </xf>
    <xf numFmtId="0" fontId="27" fillId="5" borderId="39" xfId="34" applyNumberFormat="1" applyFont="1" applyFill="1" applyBorder="1" applyAlignment="1">
      <alignment horizontal="left" vertical="center"/>
    </xf>
    <xf numFmtId="0" fontId="59" fillId="5" borderId="39" xfId="34" applyNumberFormat="1" applyFont="1" applyFill="1" applyBorder="1" applyAlignment="1">
      <alignment horizontal="left" vertical="center"/>
    </xf>
    <xf numFmtId="0" fontId="59" fillId="5" borderId="46" xfId="34" applyNumberFormat="1" applyFont="1" applyFill="1" applyBorder="1" applyAlignment="1">
      <alignment horizontal="left" vertical="center"/>
    </xf>
    <xf numFmtId="0" fontId="59" fillId="16" borderId="38" xfId="34" applyNumberFormat="1" applyFont="1" applyFill="1" applyBorder="1" applyAlignment="1">
      <alignment horizontal="left" vertical="center"/>
    </xf>
    <xf numFmtId="0" fontId="59" fillId="5" borderId="48" xfId="34" applyNumberFormat="1" applyFont="1" applyFill="1" applyBorder="1" applyAlignment="1">
      <alignment horizontal="left" vertical="center"/>
    </xf>
    <xf numFmtId="0" fontId="61" fillId="5" borderId="40" xfId="34" applyNumberFormat="1" applyFont="1" applyFill="1" applyBorder="1" applyAlignment="1">
      <alignment horizontal="center" vertical="center"/>
    </xf>
    <xf numFmtId="0" fontId="61" fillId="5" borderId="39" xfId="34" applyNumberFormat="1" applyFont="1" applyFill="1" applyBorder="1" applyAlignment="1">
      <alignment horizontal="center" vertical="center"/>
    </xf>
    <xf numFmtId="0" fontId="58" fillId="0" borderId="36" xfId="34" applyNumberFormat="1" applyFont="1" applyFill="1" applyBorder="1" applyAlignment="1">
      <alignment horizontal="left" vertical="center"/>
    </xf>
    <xf numFmtId="0" fontId="59" fillId="0" borderId="37" xfId="34" applyNumberFormat="1" applyFont="1" applyFill="1" applyBorder="1" applyAlignment="1">
      <alignment horizontal="left" vertical="center"/>
    </xf>
    <xf numFmtId="0" fontId="58" fillId="0" borderId="34" xfId="34" applyNumberFormat="1" applyFont="1" applyFill="1" applyBorder="1" applyAlignment="1">
      <alignment horizontal="left" vertical="center"/>
    </xf>
    <xf numFmtId="43" fontId="58" fillId="0" borderId="34" xfId="2" applyFont="1" applyFill="1" applyBorder="1" applyAlignment="1">
      <alignment horizontal="left" vertical="center"/>
    </xf>
    <xf numFmtId="0" fontId="59" fillId="0" borderId="38" xfId="34" applyNumberFormat="1" applyFont="1" applyFill="1" applyBorder="1" applyAlignment="1">
      <alignment horizontal="left" vertical="center"/>
    </xf>
    <xf numFmtId="0" fontId="61" fillId="5" borderId="7" xfId="34" applyNumberFormat="1" applyFont="1" applyFill="1" applyBorder="1" applyAlignment="1">
      <alignment vertical="center"/>
    </xf>
    <xf numFmtId="15" fontId="43" fillId="0" borderId="51" xfId="58" applyNumberFormat="1" applyFont="1" applyFill="1" applyBorder="1" applyAlignment="1">
      <alignment horizontal="left" vertical="center"/>
    </xf>
    <xf numFmtId="15" fontId="18" fillId="0" borderId="52" xfId="58" applyNumberFormat="1" applyFont="1" applyFill="1" applyBorder="1" applyAlignment="1">
      <alignment horizontal="left" vertical="center" wrapText="1"/>
    </xf>
    <xf numFmtId="4" fontId="26" fillId="0" borderId="0" xfId="58" applyNumberFormat="1" applyFont="1" applyFill="1" applyBorder="1" applyAlignment="1">
      <alignment horizontal="right" vertical="center"/>
    </xf>
    <xf numFmtId="15" fontId="13" fillId="0" borderId="30" xfId="58" applyNumberFormat="1" applyFont="1" applyFill="1" applyBorder="1" applyAlignment="1">
      <alignment horizontal="left" vertical="center" wrapText="1"/>
    </xf>
    <xf numFmtId="43" fontId="106" fillId="0" borderId="0" xfId="2" applyFont="1" applyBorder="1" applyAlignment="1">
      <alignment vertical="center"/>
    </xf>
    <xf numFmtId="43" fontId="27" fillId="0" borderId="0" xfId="0" applyNumberFormat="1" applyFont="1" applyFill="1"/>
    <xf numFmtId="43" fontId="117" fillId="0" borderId="0" xfId="0" applyNumberFormat="1" applyFont="1" applyFill="1"/>
    <xf numFmtId="9" fontId="59" fillId="0" borderId="34" xfId="72" applyFont="1" applyFill="1" applyBorder="1" applyAlignment="1">
      <alignment horizontal="left" vertical="center"/>
    </xf>
    <xf numFmtId="43" fontId="59" fillId="0" borderId="34" xfId="2" applyFont="1" applyFill="1" applyBorder="1" applyAlignment="1">
      <alignment horizontal="left" vertical="center"/>
    </xf>
    <xf numFmtId="0" fontId="59" fillId="0" borderId="47" xfId="34" applyNumberFormat="1" applyFont="1" applyFill="1" applyBorder="1" applyAlignment="1">
      <alignment horizontal="left" vertical="center"/>
    </xf>
    <xf numFmtId="43" fontId="59" fillId="5" borderId="37" xfId="34" applyNumberFormat="1" applyFont="1" applyFill="1" applyBorder="1" applyAlignment="1">
      <alignment horizontal="left" vertical="center"/>
    </xf>
    <xf numFmtId="43" fontId="61" fillId="5" borderId="42" xfId="34" applyNumberFormat="1" applyFont="1" applyFill="1" applyBorder="1" applyAlignment="1">
      <alignment horizontal="center" vertical="center"/>
    </xf>
    <xf numFmtId="43" fontId="58" fillId="5" borderId="53" xfId="2" applyFont="1" applyFill="1" applyBorder="1" applyAlignment="1">
      <alignment horizontal="left" vertical="center"/>
    </xf>
    <xf numFmtId="0" fontId="58" fillId="0" borderId="46" xfId="34" applyNumberFormat="1" applyFont="1" applyFill="1" applyBorder="1" applyAlignment="1">
      <alignment horizontal="left" vertical="center"/>
    </xf>
    <xf numFmtId="0" fontId="59" fillId="0" borderId="34" xfId="34" applyNumberFormat="1" applyFont="1" applyFill="1" applyBorder="1" applyAlignment="1">
      <alignment horizontal="left" vertical="center"/>
    </xf>
    <xf numFmtId="0" fontId="59" fillId="0" borderId="34" xfId="34" applyNumberFormat="1" applyFont="1" applyFill="1" applyBorder="1" applyAlignment="1">
      <alignment horizontal="left" vertical="center" wrapText="1"/>
    </xf>
    <xf numFmtId="0" fontId="58" fillId="0" borderId="40" xfId="34" applyNumberFormat="1" applyFont="1" applyFill="1" applyBorder="1" applyAlignment="1">
      <alignment horizontal="left" vertical="center"/>
    </xf>
    <xf numFmtId="0" fontId="59" fillId="0" borderId="0" xfId="34" applyNumberFormat="1" applyFont="1" applyFill="1" applyBorder="1" applyAlignment="1">
      <alignment horizontal="left" vertical="center"/>
    </xf>
    <xf numFmtId="0" fontId="59" fillId="0" borderId="39" xfId="34" applyNumberFormat="1" applyFont="1" applyFill="1" applyBorder="1" applyAlignment="1">
      <alignment horizontal="left" vertical="center"/>
    </xf>
    <xf numFmtId="164" fontId="111" fillId="0" borderId="34" xfId="59" applyNumberFormat="1" applyFont="1" applyFill="1" applyBorder="1" applyAlignment="1">
      <alignment horizontal="center" vertical="center" wrapText="1"/>
    </xf>
    <xf numFmtId="0" fontId="58" fillId="6" borderId="8" xfId="0" applyFont="1" applyFill="1" applyBorder="1" applyAlignment="1">
      <alignment horizontal="center" vertical="center"/>
    </xf>
    <xf numFmtId="0" fontId="58" fillId="6" borderId="54" xfId="0" applyFont="1" applyFill="1" applyBorder="1" applyAlignment="1">
      <alignment horizontal="center" vertical="center"/>
    </xf>
    <xf numFmtId="0" fontId="58" fillId="6" borderId="8" xfId="0" applyFont="1" applyFill="1" applyBorder="1" applyAlignment="1">
      <alignment horizontal="center" vertical="center" wrapText="1"/>
    </xf>
    <xf numFmtId="43" fontId="58" fillId="6" borderId="8" xfId="2" applyFont="1" applyFill="1" applyBorder="1" applyAlignment="1">
      <alignment horizontal="center" vertical="center"/>
    </xf>
    <xf numFmtId="9" fontId="77" fillId="0" borderId="0" xfId="76" applyFont="1" applyFill="1"/>
    <xf numFmtId="9" fontId="56" fillId="0" borderId="0" xfId="76" applyFont="1" applyFill="1"/>
    <xf numFmtId="9" fontId="63" fillId="0" borderId="0" xfId="76" applyFont="1" applyFill="1" applyBorder="1" applyAlignment="1">
      <alignment horizontal="center" vertical="center"/>
    </xf>
    <xf numFmtId="9" fontId="61" fillId="0" borderId="0" xfId="76" applyFont="1" applyFill="1" applyBorder="1" applyAlignment="1">
      <alignment horizontal="center" vertical="center"/>
    </xf>
    <xf numFmtId="9" fontId="61" fillId="0" borderId="7" xfId="76" applyFont="1" applyFill="1" applyBorder="1" applyAlignment="1">
      <alignment horizontal="center"/>
    </xf>
    <xf numFmtId="9" fontId="61" fillId="0" borderId="9" xfId="76" applyFont="1" applyFill="1" applyBorder="1" applyAlignment="1">
      <alignment horizontal="center" vertical="center"/>
    </xf>
    <xf numFmtId="9" fontId="59" fillId="5" borderId="0" xfId="76" applyFont="1" applyFill="1" applyAlignment="1">
      <alignment vertical="center"/>
    </xf>
    <xf numFmtId="39" fontId="61" fillId="0" borderId="0" xfId="0" applyNumberFormat="1" applyFont="1" applyFill="1" applyBorder="1" applyAlignment="1">
      <alignment horizontal="center"/>
    </xf>
    <xf numFmtId="15" fontId="52" fillId="0" borderId="26" xfId="58" applyNumberFormat="1" applyFont="1" applyFill="1" applyBorder="1" applyAlignment="1">
      <alignment horizontal="center" vertical="center"/>
    </xf>
    <xf numFmtId="15" fontId="9" fillId="0" borderId="26" xfId="58" applyNumberFormat="1" applyFont="1" applyFill="1" applyBorder="1" applyAlignment="1">
      <alignment horizontal="center" vertical="center"/>
    </xf>
    <xf numFmtId="39" fontId="53" fillId="0" borderId="26" xfId="58" applyNumberFormat="1" applyFont="1" applyFill="1" applyBorder="1"/>
    <xf numFmtId="0" fontId="85" fillId="0" borderId="0" xfId="58" applyFont="1" applyFill="1" applyBorder="1" applyAlignment="1">
      <alignment horizontal="center" vertical="center"/>
    </xf>
    <xf numFmtId="0" fontId="86" fillId="0" borderId="0" xfId="58" applyFont="1" applyFill="1"/>
    <xf numFmtId="4" fontId="86" fillId="0" borderId="0" xfId="58" applyNumberFormat="1" applyFont="1" applyFill="1" applyAlignment="1">
      <alignment horizontal="right"/>
    </xf>
    <xf numFmtId="0" fontId="85" fillId="0" borderId="0" xfId="58" applyFont="1" applyFill="1" applyBorder="1" applyAlignment="1">
      <alignment horizontal="left"/>
    </xf>
    <xf numFmtId="43" fontId="116" fillId="0" borderId="42" xfId="2" applyFont="1" applyFill="1" applyBorder="1" applyAlignment="1">
      <alignment horizontal="left" vertical="center"/>
    </xf>
    <xf numFmtId="39" fontId="106" fillId="0" borderId="0" xfId="59" applyNumberFormat="1" applyFont="1" applyBorder="1"/>
    <xf numFmtId="43" fontId="108" fillId="0" borderId="34" xfId="6" applyNumberFormat="1" applyFont="1" applyBorder="1"/>
    <xf numFmtId="43" fontId="106" fillId="0" borderId="0" xfId="59" applyNumberFormat="1" applyBorder="1"/>
    <xf numFmtId="43" fontId="108" fillId="0" borderId="34" xfId="59" applyNumberFormat="1" applyFont="1" applyBorder="1" applyAlignment="1">
      <alignment horizontal="center" vertical="top" wrapText="1"/>
    </xf>
    <xf numFmtId="43" fontId="108" fillId="0" borderId="34" xfId="59" applyNumberFormat="1" applyFont="1" applyBorder="1" applyAlignment="1">
      <alignment horizontal="center" vertical="center" wrapText="1"/>
    </xf>
    <xf numFmtId="43" fontId="108" fillId="0" borderId="34" xfId="59" applyNumberFormat="1" applyFont="1" applyFill="1" applyBorder="1" applyAlignment="1">
      <alignment horizontal="center" vertical="center" wrapText="1"/>
    </xf>
    <xf numFmtId="15" fontId="20" fillId="0" borderId="22" xfId="58" applyNumberFormat="1" applyFont="1" applyFill="1" applyBorder="1" applyAlignment="1">
      <alignment horizontal="center" vertical="center"/>
    </xf>
    <xf numFmtId="164" fontId="106" fillId="0" borderId="0" xfId="59" applyNumberFormat="1" applyFont="1" applyBorder="1"/>
    <xf numFmtId="4" fontId="20" fillId="0" borderId="22" xfId="58" applyNumberFormat="1" applyFont="1" applyFill="1" applyBorder="1" applyAlignment="1">
      <alignment vertical="center"/>
    </xf>
    <xf numFmtId="0" fontId="55" fillId="15" borderId="0" xfId="58" applyNumberFormat="1" applyFont="1" applyFill="1" applyBorder="1" applyAlignment="1">
      <alignment vertical="center"/>
    </xf>
    <xf numFmtId="43" fontId="118" fillId="0" borderId="0" xfId="59" applyNumberFormat="1" applyFont="1" applyBorder="1" applyAlignment="1">
      <alignment vertical="center"/>
    </xf>
    <xf numFmtId="0" fontId="25" fillId="5" borderId="61" xfId="34" applyNumberFormat="1" applyFont="1" applyFill="1" applyBorder="1" applyAlignment="1">
      <alignment horizontal="left" vertical="center"/>
    </xf>
    <xf numFmtId="0" fontId="83" fillId="16" borderId="40" xfId="34" applyNumberFormat="1" applyFont="1" applyFill="1" applyBorder="1" applyAlignment="1">
      <alignment horizontal="left" vertical="center"/>
    </xf>
    <xf numFmtId="0" fontId="59" fillId="16" borderId="0" xfId="34" applyNumberFormat="1" applyFont="1" applyFill="1" applyBorder="1" applyAlignment="1">
      <alignment horizontal="left" vertical="center"/>
    </xf>
    <xf numFmtId="0" fontId="25" fillId="2" borderId="0" xfId="0" applyFont="1"/>
    <xf numFmtId="0" fontId="27" fillId="2" borderId="0" xfId="0" applyFont="1"/>
    <xf numFmtId="0" fontId="55" fillId="2" borderId="0" xfId="0" applyFont="1" applyAlignment="1">
      <alignment vertical="center"/>
    </xf>
    <xf numFmtId="0" fontId="59" fillId="5" borderId="0" xfId="34" applyNumberFormat="1" applyFont="1" applyFill="1" applyBorder="1" applyAlignment="1">
      <alignment horizontal="center" vertical="center"/>
    </xf>
    <xf numFmtId="0" fontId="59" fillId="0" borderId="0" xfId="34" applyNumberFormat="1" applyFont="1" applyFill="1" applyBorder="1" applyAlignment="1">
      <alignment horizontal="center" vertical="center"/>
    </xf>
    <xf numFmtId="43" fontId="59" fillId="0" borderId="0" xfId="2" applyFont="1" applyFill="1" applyBorder="1" applyAlignment="1">
      <alignment horizontal="center" vertical="center"/>
    </xf>
    <xf numFmtId="15" fontId="59" fillId="0" borderId="0" xfId="2" applyNumberFormat="1" applyFont="1" applyFill="1" applyBorder="1" applyAlignment="1">
      <alignment horizontal="center" vertical="center"/>
    </xf>
    <xf numFmtId="37" fontId="59" fillId="0" borderId="0" xfId="34" applyNumberFormat="1" applyFont="1" applyFill="1" applyBorder="1" applyAlignment="1">
      <alignment horizontal="center" vertical="center"/>
    </xf>
    <xf numFmtId="10" fontId="58" fillId="6" borderId="54" xfId="76" applyNumberFormat="1" applyFont="1" applyFill="1" applyBorder="1" applyAlignment="1">
      <alignment horizontal="center" vertical="center"/>
    </xf>
    <xf numFmtId="0" fontId="0" fillId="2" borderId="0" xfId="0" applyAlignment="1">
      <alignment horizontal="right"/>
    </xf>
    <xf numFmtId="0" fontId="17" fillId="0" borderId="16" xfId="58" applyNumberFormat="1" applyFont="1" applyFill="1" applyBorder="1" applyAlignment="1">
      <alignment horizontal="left" vertical="center"/>
    </xf>
    <xf numFmtId="4" fontId="27" fillId="0" borderId="16" xfId="58" applyNumberFormat="1" applyFont="1" applyFill="1" applyBorder="1" applyAlignment="1">
      <alignment vertical="center"/>
    </xf>
    <xf numFmtId="0" fontId="34" fillId="0" borderId="0" xfId="58" applyFont="1" applyFill="1" applyBorder="1" applyAlignment="1">
      <alignment horizontal="center" vertical="center"/>
    </xf>
    <xf numFmtId="0" fontId="38" fillId="0" borderId="0" xfId="58" applyFont="1" applyFill="1" applyBorder="1" applyAlignment="1">
      <alignment horizontal="right" vertical="center"/>
    </xf>
    <xf numFmtId="165" fontId="39" fillId="0" borderId="0" xfId="58" applyNumberFormat="1" applyFont="1" applyFill="1" applyBorder="1" applyAlignment="1">
      <alignment horizontal="right" vertical="center"/>
    </xf>
    <xf numFmtId="43" fontId="59" fillId="0" borderId="0" xfId="2" applyFont="1" applyFill="1" applyBorder="1" applyAlignment="1">
      <alignment horizontal="right" vertical="center"/>
    </xf>
    <xf numFmtId="10" fontId="59" fillId="0" borderId="0" xfId="2" applyNumberFormat="1" applyFont="1" applyFill="1" applyBorder="1" applyAlignment="1">
      <alignment horizontal="center" vertical="center"/>
    </xf>
    <xf numFmtId="0" fontId="58" fillId="0" borderId="35" xfId="34" applyNumberFormat="1" applyFont="1" applyFill="1" applyBorder="1" applyAlignment="1">
      <alignment horizontal="left" vertical="center"/>
    </xf>
    <xf numFmtId="0" fontId="59" fillId="0" borderId="34" xfId="0" applyFont="1" applyFill="1" applyBorder="1" applyAlignment="1">
      <alignment horizontal="left" vertical="center"/>
    </xf>
    <xf numFmtId="43" fontId="117" fillId="0" borderId="0" xfId="2" applyFont="1" applyFill="1"/>
    <xf numFmtId="0" fontId="58" fillId="5" borderId="17" xfId="34" applyNumberFormat="1" applyFont="1" applyFill="1" applyBorder="1" applyAlignment="1">
      <alignment horizontal="left" vertical="center"/>
    </xf>
    <xf numFmtId="0" fontId="58" fillId="5" borderId="34" xfId="34" applyNumberFormat="1" applyFont="1" applyFill="1" applyBorder="1" applyAlignment="1">
      <alignment horizontal="center" vertical="center"/>
    </xf>
    <xf numFmtId="0" fontId="83" fillId="16" borderId="68" xfId="34" applyNumberFormat="1" applyFont="1" applyFill="1" applyBorder="1" applyAlignment="1">
      <alignment horizontal="left" vertical="center"/>
    </xf>
    <xf numFmtId="0" fontId="83" fillId="16" borderId="69" xfId="34" applyNumberFormat="1" applyFont="1" applyFill="1" applyBorder="1" applyAlignment="1">
      <alignment horizontal="left" vertical="center"/>
    </xf>
    <xf numFmtId="0" fontId="83" fillId="16" borderId="70" xfId="34" applyNumberFormat="1" applyFont="1" applyFill="1" applyBorder="1" applyAlignment="1">
      <alignment horizontal="left" vertical="center"/>
    </xf>
    <xf numFmtId="43" fontId="58" fillId="0" borderId="8" xfId="2" applyFont="1" applyFill="1" applyBorder="1" applyAlignment="1">
      <alignment horizontal="center" vertical="center"/>
    </xf>
    <xf numFmtId="43" fontId="58" fillId="0" borderId="63" xfId="2" applyFont="1" applyFill="1" applyBorder="1" applyAlignment="1">
      <alignment horizontal="center" vertical="center"/>
    </xf>
    <xf numFmtId="0" fontId="58" fillId="0" borderId="54" xfId="0" applyFont="1" applyFill="1" applyBorder="1" applyAlignment="1">
      <alignment horizontal="center" vertical="center"/>
    </xf>
    <xf numFmtId="0" fontId="59" fillId="0" borderId="71" xfId="0" applyFont="1" applyFill="1" applyBorder="1" applyAlignment="1">
      <alignment horizontal="center" vertical="center"/>
    </xf>
    <xf numFmtId="0" fontId="58" fillId="0" borderId="8" xfId="0" applyFont="1" applyFill="1" applyBorder="1" applyAlignment="1">
      <alignment horizontal="center" vertical="center"/>
    </xf>
    <xf numFmtId="0" fontId="58" fillId="0" borderId="63" xfId="0" applyFont="1" applyFill="1" applyBorder="1" applyAlignment="1">
      <alignment horizontal="center" vertical="center"/>
    </xf>
    <xf numFmtId="0" fontId="116" fillId="0" borderId="63" xfId="0" applyFont="1" applyFill="1" applyBorder="1" applyAlignment="1">
      <alignment horizontal="center" vertical="center"/>
    </xf>
    <xf numFmtId="9" fontId="58" fillId="0" borderId="54" xfId="72" applyFont="1" applyFill="1" applyBorder="1" applyAlignment="1">
      <alignment horizontal="center" vertical="center"/>
    </xf>
    <xf numFmtId="9" fontId="59" fillId="0" borderId="71" xfId="72" applyFont="1" applyFill="1" applyBorder="1" applyAlignment="1">
      <alignment horizontal="center" vertical="center"/>
    </xf>
    <xf numFmtId="0" fontId="58" fillId="0" borderId="8" xfId="0" applyFont="1" applyFill="1" applyBorder="1" applyAlignment="1">
      <alignment horizontal="center" vertical="center" wrapText="1"/>
    </xf>
    <xf numFmtId="0" fontId="58" fillId="0" borderId="63" xfId="0" applyFont="1" applyFill="1" applyBorder="1" applyAlignment="1">
      <alignment horizontal="center" vertical="center" wrapText="1"/>
    </xf>
    <xf numFmtId="0" fontId="58" fillId="5" borderId="62" xfId="34" applyNumberFormat="1" applyFont="1" applyFill="1" applyBorder="1" applyAlignment="1">
      <alignment horizontal="center" vertical="center"/>
    </xf>
    <xf numFmtId="0" fontId="58" fillId="5" borderId="53" xfId="34" applyNumberFormat="1" applyFont="1" applyFill="1" applyBorder="1" applyAlignment="1">
      <alignment horizontal="center" vertical="center"/>
    </xf>
    <xf numFmtId="0" fontId="58" fillId="0" borderId="34" xfId="34" applyNumberFormat="1" applyFont="1" applyFill="1" applyBorder="1" applyAlignment="1">
      <alignment horizontal="center" vertical="center"/>
    </xf>
    <xf numFmtId="0" fontId="25" fillId="0" borderId="10" xfId="0" applyNumberFormat="1" applyFont="1" applyFill="1" applyBorder="1" applyAlignment="1">
      <alignment horizontal="center" vertical="center"/>
    </xf>
    <xf numFmtId="0" fontId="25" fillId="0" borderId="10" xfId="0" applyNumberFormat="1" applyFont="1" applyFill="1" applyBorder="1" applyAlignment="1">
      <alignment horizontal="center"/>
    </xf>
    <xf numFmtId="0" fontId="19" fillId="5" borderId="0" xfId="58" applyFont="1" applyFill="1" applyAlignment="1">
      <alignment horizontal="center"/>
    </xf>
    <xf numFmtId="43" fontId="5" fillId="5" borderId="0" xfId="58" applyNumberFormat="1" applyFont="1" applyFill="1" applyAlignment="1">
      <alignment horizontal="left" vertical="center"/>
    </xf>
    <xf numFmtId="43" fontId="7" fillId="5" borderId="0" xfId="58" applyNumberFormat="1" applyFont="1" applyFill="1" applyAlignment="1">
      <alignment vertical="center"/>
    </xf>
    <xf numFmtId="43" fontId="8" fillId="5" borderId="0" xfId="58" applyNumberFormat="1" applyFont="1" applyFill="1" applyAlignment="1">
      <alignment horizontal="left"/>
    </xf>
    <xf numFmtId="43" fontId="24" fillId="0" borderId="0" xfId="2" applyFont="1" applyFill="1" applyAlignment="1"/>
    <xf numFmtId="43" fontId="24" fillId="0" borderId="0" xfId="2" applyFont="1" applyFill="1" applyAlignment="1">
      <alignment horizontal="left"/>
    </xf>
    <xf numFmtId="0" fontId="37" fillId="10" borderId="16" xfId="58" applyFont="1" applyFill="1" applyBorder="1" applyAlignment="1">
      <alignment horizontal="left" vertical="center"/>
    </xf>
    <xf numFmtId="0" fontId="37" fillId="0" borderId="25" xfId="58" applyFont="1" applyFill="1" applyBorder="1" applyAlignment="1">
      <alignment horizontal="left" vertical="center"/>
    </xf>
    <xf numFmtId="0" fontId="19" fillId="0" borderId="0" xfId="58" applyFont="1" applyFill="1" applyAlignment="1">
      <alignment horizontal="left"/>
    </xf>
    <xf numFmtId="0" fontId="9" fillId="0" borderId="0" xfId="58" applyFont="1" applyFill="1" applyBorder="1" applyAlignment="1">
      <alignment horizontal="right" vertical="center"/>
    </xf>
    <xf numFmtId="43" fontId="60" fillId="0" borderId="34" xfId="2" applyFont="1" applyFill="1" applyBorder="1" applyAlignment="1">
      <alignment vertical="center"/>
    </xf>
    <xf numFmtId="4" fontId="0" fillId="2" borderId="0" xfId="0" applyNumberFormat="1"/>
    <xf numFmtId="0" fontId="121" fillId="2" borderId="0" xfId="0" applyFont="1"/>
    <xf numFmtId="0" fontId="58" fillId="5" borderId="73" xfId="34" applyNumberFormat="1" applyFont="1" applyFill="1" applyBorder="1" applyAlignment="1">
      <alignment horizontal="left" vertical="center"/>
    </xf>
    <xf numFmtId="0" fontId="20" fillId="2" borderId="0" xfId="58" applyFont="1"/>
    <xf numFmtId="0" fontId="91" fillId="0" borderId="0" xfId="58" applyNumberFormat="1" applyFont="1" applyFill="1"/>
    <xf numFmtId="0" fontId="23" fillId="0" borderId="0" xfId="58" applyNumberFormat="1" applyFont="1" applyFill="1" applyAlignment="1">
      <alignment horizontal="center"/>
    </xf>
    <xf numFmtId="0" fontId="23" fillId="0" borderId="0" xfId="58" applyFill="1"/>
    <xf numFmtId="0" fontId="35" fillId="0" borderId="0" xfId="58" applyFont="1" applyFill="1" applyAlignment="1">
      <alignment horizontal="center"/>
    </xf>
    <xf numFmtId="0" fontId="35" fillId="0" borderId="0" xfId="58" applyFont="1" applyFill="1"/>
    <xf numFmtId="0" fontId="35" fillId="0" borderId="0" xfId="58" applyFont="1" applyFill="1" applyAlignment="1">
      <alignment vertical="center"/>
    </xf>
    <xf numFmtId="0" fontId="85" fillId="0" borderId="0" xfId="58" applyFont="1" applyFill="1" applyBorder="1"/>
    <xf numFmtId="0" fontId="35" fillId="0" borderId="0" xfId="58" applyFont="1" applyFill="1" applyBorder="1"/>
    <xf numFmtId="0" fontId="20" fillId="2" borderId="0" xfId="58" applyFont="1" applyAlignment="1">
      <alignment vertical="center"/>
    </xf>
    <xf numFmtId="0" fontId="23" fillId="2" borderId="0" xfId="58" applyNumberFormat="1"/>
    <xf numFmtId="0" fontId="92" fillId="0" borderId="0" xfId="58" applyNumberFormat="1" applyFont="1" applyFill="1" applyAlignment="1">
      <alignment horizontal="left"/>
    </xf>
    <xf numFmtId="0" fontId="20" fillId="0" borderId="0" xfId="58" applyNumberFormat="1" applyFont="1" applyFill="1"/>
    <xf numFmtId="0" fontId="60" fillId="0" borderId="34" xfId="58" applyFont="1" applyFill="1" applyBorder="1" applyAlignment="1">
      <alignment vertical="center"/>
    </xf>
    <xf numFmtId="4" fontId="9" fillId="0" borderId="3" xfId="58" applyNumberFormat="1" applyFont="1" applyFill="1" applyBorder="1" applyAlignment="1">
      <alignment vertical="center"/>
    </xf>
    <xf numFmtId="0" fontId="37" fillId="0" borderId="17" xfId="58" applyFont="1" applyFill="1" applyBorder="1" applyAlignment="1">
      <alignment horizontal="left" vertical="center"/>
    </xf>
    <xf numFmtId="0" fontId="20" fillId="0" borderId="22" xfId="58" applyFont="1" applyFill="1" applyBorder="1" applyAlignment="1">
      <alignment vertical="center"/>
    </xf>
    <xf numFmtId="0" fontId="23" fillId="0" borderId="0" xfId="0" applyFont="1" applyFill="1"/>
    <xf numFmtId="0" fontId="9" fillId="2" borderId="22" xfId="58" applyFont="1" applyBorder="1" applyAlignment="1">
      <alignment horizontal="center" vertical="center"/>
    </xf>
    <xf numFmtId="0" fontId="20" fillId="2" borderId="22" xfId="58" applyFont="1" applyBorder="1" applyAlignment="1">
      <alignment horizontal="left" vertical="center"/>
    </xf>
    <xf numFmtId="15" fontId="9" fillId="2" borderId="22" xfId="58" applyNumberFormat="1" applyFont="1" applyBorder="1" applyAlignment="1">
      <alignment horizontal="center" vertical="center"/>
    </xf>
    <xf numFmtId="4" fontId="20" fillId="2" borderId="22" xfId="58" applyNumberFormat="1" applyFont="1" applyBorder="1" applyAlignment="1">
      <alignment vertical="center"/>
    </xf>
    <xf numFmtId="4" fontId="9" fillId="2" borderId="22" xfId="58" applyNumberFormat="1" applyFont="1" applyBorder="1" applyAlignment="1">
      <alignment vertical="center"/>
    </xf>
    <xf numFmtId="9" fontId="9" fillId="0" borderId="22" xfId="58" applyNumberFormat="1" applyFont="1" applyFill="1" applyBorder="1" applyAlignment="1">
      <alignment horizontal="center" vertical="center"/>
    </xf>
    <xf numFmtId="4" fontId="9" fillId="0" borderId="22" xfId="58" applyNumberFormat="1" applyFont="1" applyFill="1" applyBorder="1" applyAlignment="1">
      <alignment vertical="center"/>
    </xf>
    <xf numFmtId="15" fontId="9" fillId="0" borderId="22" xfId="58" applyNumberFormat="1" applyFont="1" applyFill="1" applyBorder="1" applyAlignment="1">
      <alignment horizontal="center" vertical="center"/>
    </xf>
    <xf numFmtId="0" fontId="23" fillId="2" borderId="0" xfId="0" applyFont="1" applyAlignment="1">
      <alignment horizontal="right"/>
    </xf>
    <xf numFmtId="0" fontId="59" fillId="0" borderId="0" xfId="34" applyFont="1" applyFill="1" applyBorder="1" applyAlignment="1">
      <alignment horizontal="left" vertical="center"/>
    </xf>
    <xf numFmtId="0" fontId="59" fillId="6" borderId="55" xfId="0" applyFont="1" applyFill="1" applyBorder="1" applyAlignment="1">
      <alignment horizontal="center" vertical="center"/>
    </xf>
    <xf numFmtId="0" fontId="58" fillId="6" borderId="74" xfId="0" applyFont="1" applyFill="1" applyBorder="1" applyAlignment="1">
      <alignment horizontal="center" vertical="center"/>
    </xf>
    <xf numFmtId="0" fontId="58" fillId="6" borderId="74" xfId="0" applyFont="1" applyFill="1" applyBorder="1" applyAlignment="1">
      <alignment horizontal="center" vertical="center" wrapText="1"/>
    </xf>
    <xf numFmtId="0" fontId="58" fillId="6" borderId="74" xfId="0" applyNumberFormat="1" applyFont="1" applyFill="1" applyBorder="1" applyAlignment="1">
      <alignment horizontal="center"/>
    </xf>
    <xf numFmtId="0" fontId="58" fillId="6" borderId="55" xfId="0" applyFont="1" applyFill="1" applyBorder="1" applyAlignment="1">
      <alignment horizontal="center" vertical="center"/>
    </xf>
    <xf numFmtId="0" fontId="42" fillId="5" borderId="0" xfId="58" applyFont="1" applyFill="1" applyAlignment="1">
      <alignment horizontal="left"/>
    </xf>
    <xf numFmtId="0" fontId="42" fillId="2" borderId="0" xfId="58" applyFont="1" applyBorder="1" applyAlignment="1">
      <alignment horizontal="center"/>
    </xf>
    <xf numFmtId="0" fontId="90" fillId="5" borderId="34" xfId="34" applyNumberFormat="1" applyFont="1" applyFill="1" applyBorder="1" applyAlignment="1">
      <alignment horizontal="left"/>
    </xf>
    <xf numFmtId="0" fontId="41" fillId="0" borderId="16" xfId="58" applyFont="1" applyFill="1" applyBorder="1" applyAlignment="1">
      <alignment horizontal="left" vertical="center"/>
    </xf>
    <xf numFmtId="4" fontId="20" fillId="0" borderId="0" xfId="58" applyNumberFormat="1" applyFont="1" applyFill="1" applyBorder="1" applyAlignment="1">
      <alignment vertical="center"/>
    </xf>
    <xf numFmtId="0" fontId="0" fillId="0" borderId="0" xfId="0" applyFill="1"/>
    <xf numFmtId="0" fontId="26" fillId="0" borderId="0" xfId="58" applyFont="1" applyFill="1" applyBorder="1" applyAlignment="1">
      <alignment horizontal="left" vertical="center"/>
    </xf>
    <xf numFmtId="0" fontId="94" fillId="0" borderId="0" xfId="58" applyFont="1" applyFill="1" applyBorder="1" applyAlignment="1">
      <alignment horizontal="left" vertical="center"/>
    </xf>
    <xf numFmtId="4" fontId="26" fillId="0" borderId="0" xfId="58" applyNumberFormat="1" applyFont="1" applyFill="1" applyBorder="1" applyAlignment="1">
      <alignment horizontal="center" vertical="center"/>
    </xf>
    <xf numFmtId="43" fontId="20" fillId="0" borderId="0" xfId="58" applyNumberFormat="1" applyFont="1" applyFill="1" applyBorder="1" applyAlignment="1">
      <alignment horizontal="center" vertical="center"/>
    </xf>
    <xf numFmtId="0" fontId="0" fillId="2" borderId="0" xfId="0" applyAlignment="1">
      <alignment wrapText="1"/>
    </xf>
    <xf numFmtId="0" fontId="56" fillId="0" borderId="0" xfId="0" applyNumberFormat="1" applyFont="1" applyFill="1" applyAlignment="1">
      <alignment wrapText="1"/>
    </xf>
    <xf numFmtId="2" fontId="77" fillId="0" borderId="0" xfId="0" applyNumberFormat="1" applyFont="1" applyFill="1" applyAlignment="1">
      <alignment wrapText="1"/>
    </xf>
    <xf numFmtId="0" fontId="61" fillId="0" borderId="0" xfId="0" applyNumberFormat="1" applyFont="1" applyFill="1" applyBorder="1" applyAlignment="1">
      <alignment wrapText="1"/>
    </xf>
    <xf numFmtId="0" fontId="61" fillId="0" borderId="9" xfId="0" applyNumberFormat="1" applyFont="1" applyFill="1" applyBorder="1" applyAlignment="1">
      <alignment vertical="center" wrapText="1"/>
    </xf>
    <xf numFmtId="15" fontId="77" fillId="0" borderId="0" xfId="0" applyNumberFormat="1" applyFont="1" applyFill="1" applyAlignment="1">
      <alignment wrapText="1"/>
    </xf>
    <xf numFmtId="0" fontId="25" fillId="0" borderId="0" xfId="0" applyNumberFormat="1" applyFont="1" applyFill="1" applyAlignment="1">
      <alignment horizontal="center" wrapText="1"/>
    </xf>
    <xf numFmtId="39" fontId="61" fillId="0" borderId="0" xfId="0" applyNumberFormat="1" applyFont="1" applyFill="1" applyBorder="1" applyAlignment="1">
      <alignment horizontal="left" wrapText="1"/>
    </xf>
    <xf numFmtId="4" fontId="86" fillId="0" borderId="0" xfId="2" applyNumberFormat="1" applyFont="1" applyFill="1" applyBorder="1" applyAlignment="1">
      <alignment horizontal="center"/>
    </xf>
    <xf numFmtId="4" fontId="86" fillId="0" borderId="0" xfId="58" applyNumberFormat="1" applyFont="1" applyFill="1" applyBorder="1" applyAlignment="1">
      <alignment horizontal="right" vertical="top"/>
    </xf>
    <xf numFmtId="4" fontId="86" fillId="0" borderId="0" xfId="58" applyNumberFormat="1" applyFont="1" applyFill="1" applyAlignment="1">
      <alignment horizontal="left"/>
    </xf>
    <xf numFmtId="0" fontId="19" fillId="0" borderId="0" xfId="58" applyNumberFormat="1" applyFont="1" applyFill="1" applyAlignment="1">
      <alignment horizontal="left" vertical="top"/>
    </xf>
    <xf numFmtId="0" fontId="0" fillId="2" borderId="0" xfId="0" applyNumberFormat="1"/>
    <xf numFmtId="0" fontId="63" fillId="0" borderId="0" xfId="0" applyNumberFormat="1" applyFont="1" applyFill="1" applyBorder="1" applyAlignment="1">
      <alignment horizontal="center" vertical="center"/>
    </xf>
    <xf numFmtId="0" fontId="60" fillId="2" borderId="0" xfId="0" applyFont="1"/>
    <xf numFmtId="0" fontId="55" fillId="0" borderId="0" xfId="0" applyFont="1" applyFill="1"/>
    <xf numFmtId="4" fontId="0" fillId="2" borderId="0" xfId="0" applyNumberFormat="1" applyAlignment="1">
      <alignment horizontal="left"/>
    </xf>
    <xf numFmtId="0" fontId="13" fillId="2" borderId="0" xfId="0" applyFont="1"/>
    <xf numFmtId="43" fontId="52" fillId="5" borderId="63" xfId="2" applyNumberFormat="1" applyFont="1" applyFill="1" applyBorder="1" applyAlignment="1">
      <alignment horizontal="center" vertical="center"/>
    </xf>
    <xf numFmtId="10" fontId="52" fillId="5" borderId="65" xfId="76" applyNumberFormat="1" applyFont="1" applyFill="1" applyBorder="1" applyAlignment="1">
      <alignment horizontal="center" vertical="center"/>
    </xf>
    <xf numFmtId="10" fontId="52" fillId="5" borderId="10" xfId="2" applyNumberFormat="1" applyFont="1" applyFill="1" applyBorder="1" applyAlignment="1">
      <alignment horizontal="right" vertical="center"/>
    </xf>
    <xf numFmtId="0" fontId="13" fillId="0" borderId="10" xfId="0" applyFont="1" applyFill="1" applyBorder="1"/>
    <xf numFmtId="0" fontId="13" fillId="0" borderId="0" xfId="0" applyFont="1" applyFill="1"/>
    <xf numFmtId="0" fontId="59" fillId="0" borderId="34" xfId="2" applyNumberFormat="1" applyFont="1" applyFill="1" applyBorder="1" applyAlignment="1">
      <alignment vertical="center"/>
    </xf>
    <xf numFmtId="0" fontId="23" fillId="5" borderId="0" xfId="0" applyFont="1" applyFill="1"/>
    <xf numFmtId="4" fontId="13" fillId="2" borderId="0" xfId="0" applyNumberFormat="1" applyFont="1"/>
    <xf numFmtId="0" fontId="55" fillId="0" borderId="0" xfId="0" applyFont="1" applyFill="1" applyAlignment="1">
      <alignment vertical="center"/>
    </xf>
    <xf numFmtId="0" fontId="23" fillId="0" borderId="0" xfId="0" applyFont="1" applyFill="1" applyAlignment="1">
      <alignment horizontal="right"/>
    </xf>
    <xf numFmtId="0" fontId="23" fillId="0" borderId="0" xfId="0" applyFont="1" applyFill="1" applyAlignment="1">
      <alignment horizontal="right" vertical="center"/>
    </xf>
    <xf numFmtId="10" fontId="58" fillId="0" borderId="0" xfId="76" applyNumberFormat="1" applyFont="1" applyFill="1" applyBorder="1" applyAlignment="1">
      <alignment horizontal="center" vertical="center"/>
    </xf>
    <xf numFmtId="10" fontId="58" fillId="0" borderId="0" xfId="2" applyNumberFormat="1" applyFont="1" applyFill="1" applyBorder="1" applyAlignment="1">
      <alignment horizontal="right" vertical="center"/>
    </xf>
    <xf numFmtId="0" fontId="60" fillId="0" borderId="34" xfId="58" applyNumberFormat="1" applyFont="1" applyFill="1" applyBorder="1" applyAlignment="1">
      <alignment vertical="center"/>
    </xf>
    <xf numFmtId="4" fontId="10" fillId="0" borderId="0" xfId="58" applyNumberFormat="1" applyFont="1" applyFill="1" applyBorder="1" applyAlignment="1">
      <alignment vertical="center"/>
    </xf>
    <xf numFmtId="43" fontId="58" fillId="0" borderId="53" xfId="2" applyFont="1" applyFill="1" applyBorder="1" applyAlignment="1">
      <alignment horizontal="left" vertical="center"/>
    </xf>
    <xf numFmtId="0" fontId="88" fillId="0" borderId="22" xfId="58" applyNumberFormat="1" applyFont="1" applyFill="1" applyBorder="1" applyAlignment="1">
      <alignment horizontal="left" vertical="center" wrapText="1"/>
    </xf>
    <xf numFmtId="4" fontId="0" fillId="0" borderId="0" xfId="0" applyNumberFormat="1" applyFill="1"/>
    <xf numFmtId="43" fontId="8" fillId="0" borderId="0" xfId="58" applyNumberFormat="1" applyFont="1" applyFill="1" applyAlignment="1">
      <alignment horizontal="left"/>
    </xf>
    <xf numFmtId="0" fontId="59" fillId="5" borderId="34" xfId="0" applyFont="1" applyFill="1" applyBorder="1" applyAlignment="1">
      <alignment horizontal="left" vertical="center"/>
    </xf>
    <xf numFmtId="0" fontId="59" fillId="5" borderId="34" xfId="2" applyNumberFormat="1" applyFont="1" applyFill="1" applyBorder="1" applyAlignment="1">
      <alignment horizontal="left" vertical="center"/>
    </xf>
    <xf numFmtId="0" fontId="59" fillId="5" borderId="34" xfId="72" applyNumberFormat="1" applyFont="1" applyFill="1" applyBorder="1" applyAlignment="1">
      <alignment horizontal="left" vertical="center"/>
    </xf>
    <xf numFmtId="43" fontId="58" fillId="5" borderId="62" xfId="2" applyFont="1" applyFill="1" applyBorder="1" applyAlignment="1">
      <alignment horizontal="left" vertical="center"/>
    </xf>
    <xf numFmtId="0" fontId="59" fillId="5" borderId="61" xfId="34" applyNumberFormat="1" applyFont="1" applyFill="1" applyBorder="1" applyAlignment="1">
      <alignment horizontal="left" vertical="center"/>
    </xf>
    <xf numFmtId="0" fontId="59" fillId="5" borderId="56" xfId="34" applyNumberFormat="1" applyFont="1" applyFill="1" applyBorder="1" applyAlignment="1">
      <alignment horizontal="left" vertical="center"/>
    </xf>
    <xf numFmtId="0" fontId="58" fillId="5" borderId="61" xfId="34" applyNumberFormat="1" applyFont="1" applyFill="1" applyBorder="1" applyAlignment="1">
      <alignment horizontal="left" vertical="center"/>
    </xf>
    <xf numFmtId="0" fontId="0" fillId="2" borderId="61" xfId="0" applyBorder="1"/>
    <xf numFmtId="0" fontId="116" fillId="5" borderId="45" xfId="34" applyNumberFormat="1" applyFont="1" applyFill="1" applyBorder="1" applyAlignment="1">
      <alignment horizontal="left" vertical="center"/>
    </xf>
    <xf numFmtId="0" fontId="113" fillId="5" borderId="45" xfId="34" applyNumberFormat="1" applyFont="1" applyFill="1" applyBorder="1" applyAlignment="1">
      <alignment horizontal="left" vertical="center" wrapText="1"/>
    </xf>
    <xf numFmtId="0" fontId="113" fillId="5" borderId="32" xfId="34" applyNumberFormat="1" applyFont="1" applyFill="1" applyBorder="1" applyAlignment="1">
      <alignment horizontal="left" vertical="center"/>
    </xf>
    <xf numFmtId="43" fontId="113" fillId="5" borderId="32" xfId="2" applyFont="1" applyFill="1" applyBorder="1" applyAlignment="1">
      <alignment horizontal="left" vertical="center"/>
    </xf>
    <xf numFmtId="9" fontId="113" fillId="5" borderId="32" xfId="72" applyFont="1" applyFill="1" applyBorder="1" applyAlignment="1">
      <alignment horizontal="left" vertical="center"/>
    </xf>
    <xf numFmtId="0" fontId="113" fillId="5" borderId="76" xfId="34" applyNumberFormat="1" applyFont="1" applyFill="1" applyBorder="1" applyAlignment="1">
      <alignment horizontal="left" vertical="center"/>
    </xf>
    <xf numFmtId="0" fontId="58" fillId="5" borderId="77" xfId="34" applyNumberFormat="1" applyFont="1" applyFill="1" applyBorder="1" applyAlignment="1">
      <alignment horizontal="center" vertical="center"/>
    </xf>
    <xf numFmtId="43" fontId="58" fillId="5" borderId="77" xfId="2" applyFont="1" applyFill="1" applyBorder="1" applyAlignment="1">
      <alignment horizontal="left" vertical="center"/>
    </xf>
    <xf numFmtId="0" fontId="121" fillId="0" borderId="0" xfId="0" applyFont="1" applyFill="1"/>
    <xf numFmtId="0" fontId="19" fillId="0" borderId="26" xfId="58" applyFont="1" applyFill="1" applyBorder="1" applyAlignment="1">
      <alignment horizontal="right" vertical="center"/>
    </xf>
    <xf numFmtId="39" fontId="71" fillId="2" borderId="22" xfId="58" applyNumberFormat="1" applyFont="1" applyBorder="1" applyAlignment="1">
      <alignment horizontal="center" vertical="center"/>
    </xf>
    <xf numFmtId="39" fontId="93" fillId="2" borderId="22" xfId="58" applyNumberFormat="1" applyFont="1" applyBorder="1" applyAlignment="1">
      <alignment horizontal="center" vertical="center"/>
    </xf>
    <xf numFmtId="165" fontId="34" fillId="0" borderId="16" xfId="58" applyNumberFormat="1" applyFont="1" applyFill="1" applyBorder="1" applyAlignment="1">
      <alignment vertical="center"/>
    </xf>
    <xf numFmtId="43" fontId="106" fillId="0" borderId="0" xfId="59" applyNumberFormat="1" applyFont="1" applyBorder="1" applyAlignment="1">
      <alignment horizontal="right"/>
    </xf>
    <xf numFmtId="0" fontId="60" fillId="0" borderId="34" xfId="58" applyNumberFormat="1" applyFont="1" applyFill="1" applyBorder="1" applyAlignment="1" applyProtection="1">
      <alignment vertical="center"/>
    </xf>
    <xf numFmtId="0" fontId="59" fillId="5" borderId="34" xfId="34" applyNumberFormat="1" applyFont="1" applyFill="1" applyBorder="1" applyAlignment="1" applyProtection="1">
      <alignment horizontal="left" vertical="center"/>
    </xf>
    <xf numFmtId="165" fontId="25" fillId="0" borderId="16" xfId="58" applyNumberFormat="1" applyFont="1" applyFill="1" applyBorder="1" applyAlignment="1">
      <alignment horizontal="right" vertical="center"/>
    </xf>
    <xf numFmtId="0" fontId="13" fillId="2" borderId="29" xfId="58" applyFont="1" applyBorder="1" applyAlignment="1">
      <alignment horizontal="center" vertical="center"/>
    </xf>
    <xf numFmtId="0" fontId="13" fillId="5" borderId="30" xfId="58" applyFont="1" applyFill="1" applyBorder="1" applyAlignment="1">
      <alignment horizontal="left" vertical="center"/>
    </xf>
    <xf numFmtId="15" fontId="18" fillId="0" borderId="51" xfId="58" applyNumberFormat="1" applyFont="1" applyFill="1" applyBorder="1" applyAlignment="1">
      <alignment horizontal="left" vertical="center" wrapText="1"/>
    </xf>
    <xf numFmtId="0" fontId="9" fillId="0" borderId="0" xfId="58" applyNumberFormat="1" applyFont="1" applyFill="1" applyBorder="1" applyAlignment="1">
      <alignment horizontal="right" vertical="center"/>
    </xf>
    <xf numFmtId="0" fontId="31" fillId="0" borderId="0" xfId="58" applyFont="1" applyFill="1" applyAlignment="1">
      <alignment horizontal="center" vertical="center"/>
    </xf>
    <xf numFmtId="0" fontId="9" fillId="6" borderId="80" xfId="58" applyFont="1" applyFill="1" applyBorder="1" applyAlignment="1">
      <alignment horizontal="center" vertical="center"/>
    </xf>
    <xf numFmtId="0" fontId="9" fillId="6" borderId="81" xfId="58" applyFont="1" applyFill="1" applyBorder="1" applyAlignment="1">
      <alignment horizontal="center" vertical="center"/>
    </xf>
    <xf numFmtId="0" fontId="11" fillId="6" borderId="81" xfId="58" applyFont="1" applyFill="1" applyBorder="1" applyAlignment="1">
      <alignment horizontal="center" vertical="center"/>
    </xf>
    <xf numFmtId="0" fontId="9" fillId="6" borderId="82" xfId="58" applyFont="1" applyFill="1" applyBorder="1" applyAlignment="1">
      <alignment horizontal="center" vertical="center"/>
    </xf>
    <xf numFmtId="4" fontId="20" fillId="12" borderId="22" xfId="58" applyNumberFormat="1" applyFont="1" applyFill="1" applyBorder="1" applyAlignment="1">
      <alignment horizontal="right" vertical="center"/>
    </xf>
    <xf numFmtId="0" fontId="26" fillId="0" borderId="0" xfId="58" applyFont="1" applyFill="1" applyAlignment="1">
      <alignment horizontal="left"/>
    </xf>
    <xf numFmtId="0" fontId="9" fillId="0" borderId="3" xfId="58" applyFont="1" applyFill="1" applyBorder="1" applyAlignment="1">
      <alignment horizontal="center" vertical="center"/>
    </xf>
    <xf numFmtId="0" fontId="124" fillId="0" borderId="40" xfId="58" applyFont="1" applyFill="1" applyBorder="1" applyAlignment="1">
      <alignment horizontal="center" vertical="center"/>
    </xf>
    <xf numFmtId="0" fontId="125" fillId="0" borderId="0" xfId="58" applyNumberFormat="1" applyFont="1" applyFill="1" applyBorder="1" applyAlignment="1">
      <alignment horizontal="center" vertical="center"/>
    </xf>
    <xf numFmtId="0" fontId="126" fillId="0" borderId="0" xfId="58" applyNumberFormat="1" applyFont="1" applyFill="1" applyBorder="1" applyAlignment="1">
      <alignment horizontal="center" vertical="center"/>
    </xf>
    <xf numFmtId="0" fontId="124" fillId="0" borderId="39" xfId="58" applyFont="1" applyFill="1" applyBorder="1" applyAlignment="1">
      <alignment horizontal="center" vertical="center"/>
    </xf>
    <xf numFmtId="0" fontId="34" fillId="0" borderId="40" xfId="58" applyFont="1" applyFill="1" applyBorder="1" applyAlignment="1">
      <alignment horizontal="center" vertical="center"/>
    </xf>
    <xf numFmtId="0" fontId="36" fillId="0" borderId="0" xfId="58" applyNumberFormat="1" applyFont="1" applyFill="1" applyBorder="1" applyAlignment="1">
      <alignment horizontal="center" vertical="center"/>
    </xf>
    <xf numFmtId="0" fontId="17" fillId="0" borderId="0" xfId="58" applyNumberFormat="1" applyFont="1" applyFill="1" applyBorder="1" applyAlignment="1">
      <alignment horizontal="center" vertical="center"/>
    </xf>
    <xf numFmtId="0" fontId="34" fillId="0" borderId="39" xfId="58" applyFont="1" applyFill="1" applyBorder="1" applyAlignment="1">
      <alignment horizontal="center" vertical="center"/>
    </xf>
    <xf numFmtId="0" fontId="36" fillId="0" borderId="71" xfId="58" applyNumberFormat="1" applyFont="1" applyFill="1" applyBorder="1" applyAlignment="1">
      <alignment horizontal="center" vertical="center"/>
    </xf>
    <xf numFmtId="0" fontId="34" fillId="0" borderId="71" xfId="58" applyFont="1" applyFill="1" applyBorder="1" applyAlignment="1">
      <alignment horizontal="center" vertical="center"/>
    </xf>
    <xf numFmtId="0" fontId="0" fillId="0" borderId="0" xfId="0" applyFill="1" applyAlignment="1">
      <alignment wrapText="1"/>
    </xf>
    <xf numFmtId="43" fontId="97" fillId="0" borderId="78" xfId="2" applyFont="1" applyFill="1" applyBorder="1" applyAlignment="1">
      <alignment horizontal="left" vertical="center" wrapText="1"/>
    </xf>
    <xf numFmtId="43" fontId="97" fillId="0" borderId="83" xfId="2" applyFont="1" applyFill="1" applyBorder="1" applyAlignment="1">
      <alignment horizontal="left" vertical="center" wrapText="1"/>
    </xf>
    <xf numFmtId="0" fontId="37" fillId="0" borderId="84" xfId="58" applyFont="1" applyFill="1" applyBorder="1" applyAlignment="1">
      <alignment horizontal="left" vertical="center"/>
    </xf>
    <xf numFmtId="0" fontId="37" fillId="0" borderId="76" xfId="58" applyFont="1" applyFill="1" applyBorder="1" applyAlignment="1">
      <alignment horizontal="left" vertical="center"/>
    </xf>
    <xf numFmtId="165" fontId="27" fillId="0" borderId="85" xfId="58" applyNumberFormat="1" applyFont="1" applyFill="1" applyBorder="1" applyAlignment="1">
      <alignment vertical="center"/>
    </xf>
    <xf numFmtId="0" fontId="36" fillId="0" borderId="85" xfId="58" applyNumberFormat="1" applyFont="1" applyFill="1" applyBorder="1" applyAlignment="1">
      <alignment horizontal="center" vertical="center"/>
    </xf>
    <xf numFmtId="0" fontId="28" fillId="0" borderId="85" xfId="58" applyFont="1" applyFill="1" applyBorder="1" applyAlignment="1">
      <alignment horizontal="left" vertical="center"/>
    </xf>
    <xf numFmtId="169" fontId="27" fillId="0" borderId="16" xfId="58" applyNumberFormat="1" applyFont="1" applyFill="1" applyBorder="1" applyAlignment="1">
      <alignment vertical="center"/>
    </xf>
    <xf numFmtId="0" fontId="68" fillId="2" borderId="0" xfId="58" applyFont="1" applyAlignment="1">
      <alignment horizontal="left" vertical="center"/>
    </xf>
    <xf numFmtId="0" fontId="38" fillId="0" borderId="17" xfId="58" applyFont="1" applyFill="1" applyBorder="1" applyAlignment="1">
      <alignment horizontal="right" vertical="center" wrapText="1"/>
    </xf>
    <xf numFmtId="0" fontId="38" fillId="0" borderId="25" xfId="58" applyFont="1" applyFill="1" applyBorder="1" applyAlignment="1">
      <alignment horizontal="right" vertical="center" wrapText="1"/>
    </xf>
    <xf numFmtId="0" fontId="20" fillId="0" borderId="23" xfId="58" applyFont="1" applyFill="1" applyBorder="1" applyAlignment="1">
      <alignment horizontal="center" vertical="center"/>
    </xf>
    <xf numFmtId="4" fontId="9" fillId="0" borderId="23" xfId="58" applyNumberFormat="1" applyFont="1" applyFill="1" applyBorder="1" applyAlignment="1">
      <alignment horizontal="center" vertical="center"/>
    </xf>
    <xf numFmtId="4" fontId="28" fillId="0" borderId="22" xfId="34" applyNumberFormat="1" applyFont="1" applyFill="1" applyBorder="1" applyAlignment="1">
      <alignment horizontal="center" vertical="center"/>
    </xf>
    <xf numFmtId="0" fontId="0" fillId="5" borderId="0" xfId="0" applyFill="1"/>
    <xf numFmtId="43" fontId="0" fillId="2" borderId="0" xfId="0" applyNumberFormat="1"/>
    <xf numFmtId="15" fontId="98" fillId="0" borderId="21" xfId="58" applyNumberFormat="1" applyFont="1" applyFill="1" applyBorder="1" applyAlignment="1">
      <alignment horizontal="center" vertical="center"/>
    </xf>
    <xf numFmtId="4" fontId="98" fillId="0" borderId="21" xfId="58" applyNumberFormat="1" applyFont="1" applyFill="1" applyBorder="1" applyAlignment="1">
      <alignment horizontal="right" vertical="center"/>
    </xf>
    <xf numFmtId="9" fontId="98" fillId="0" borderId="21" xfId="58" applyNumberFormat="1" applyFont="1" applyFill="1" applyBorder="1" applyAlignment="1">
      <alignment vertical="center"/>
    </xf>
    <xf numFmtId="4" fontId="98" fillId="0" borderId="21" xfId="58" applyNumberFormat="1" applyFont="1" applyFill="1" applyBorder="1" applyAlignment="1">
      <alignment vertical="center"/>
    </xf>
    <xf numFmtId="39" fontId="0" fillId="0" borderId="0" xfId="58" applyNumberFormat="1" applyFont="1" applyFill="1"/>
    <xf numFmtId="0" fontId="0" fillId="0" borderId="0" xfId="58" applyFont="1" applyFill="1"/>
    <xf numFmtId="0" fontId="99" fillId="0" borderId="0" xfId="58" applyNumberFormat="1" applyFont="1" applyFill="1" applyAlignment="1">
      <alignment horizontal="left" vertical="top"/>
    </xf>
    <xf numFmtId="15" fontId="98" fillId="0" borderId="0" xfId="58" applyNumberFormat="1" applyFont="1" applyFill="1" applyBorder="1" applyAlignment="1">
      <alignment horizontal="center" vertical="center"/>
    </xf>
    <xf numFmtId="4" fontId="98" fillId="0" borderId="0" xfId="58" applyNumberFormat="1" applyFont="1" applyFill="1" applyBorder="1" applyAlignment="1">
      <alignment vertical="center"/>
    </xf>
    <xf numFmtId="15" fontId="99" fillId="0" borderId="0" xfId="58" applyNumberFormat="1" applyFont="1" applyFill="1" applyBorder="1" applyAlignment="1">
      <alignment horizontal="center" vertical="center"/>
    </xf>
    <xf numFmtId="4" fontId="99" fillId="0" borderId="0" xfId="58" applyNumberFormat="1" applyFont="1" applyFill="1" applyBorder="1" applyAlignment="1">
      <alignment horizontal="right" vertical="center"/>
    </xf>
    <xf numFmtId="9" fontId="99" fillId="0" borderId="0" xfId="58" applyNumberFormat="1" applyFont="1" applyFill="1" applyBorder="1" applyAlignment="1">
      <alignment vertical="center"/>
    </xf>
    <xf numFmtId="15" fontId="99" fillId="0" borderId="0" xfId="58" applyNumberFormat="1" applyFont="1" applyFill="1" applyBorder="1" applyAlignment="1">
      <alignment horizontal="left" vertical="center"/>
    </xf>
    <xf numFmtId="0" fontId="99" fillId="0" borderId="0" xfId="58" applyFont="1" applyFill="1" applyBorder="1" applyAlignment="1">
      <alignment horizontal="left" vertical="center"/>
    </xf>
    <xf numFmtId="0" fontId="101" fillId="15" borderId="0" xfId="58" applyFont="1" applyFill="1" applyBorder="1" applyAlignment="1">
      <alignment vertical="center"/>
    </xf>
    <xf numFmtId="0" fontId="98" fillId="0" borderId="21" xfId="58" applyFont="1" applyFill="1" applyBorder="1" applyAlignment="1">
      <alignment horizontal="center" vertical="center"/>
    </xf>
    <xf numFmtId="0" fontId="99" fillId="0" borderId="21" xfId="58" applyFont="1" applyFill="1" applyBorder="1" applyAlignment="1">
      <alignment vertical="center"/>
    </xf>
    <xf numFmtId="15" fontId="102" fillId="0" borderId="21" xfId="58" applyNumberFormat="1" applyFont="1" applyFill="1" applyBorder="1" applyAlignment="1">
      <alignment horizontal="left" vertical="center"/>
    </xf>
    <xf numFmtId="4" fontId="102" fillId="0" borderId="21" xfId="58" applyNumberFormat="1" applyFont="1" applyFill="1" applyBorder="1" applyAlignment="1">
      <alignment horizontal="right" vertical="center"/>
    </xf>
    <xf numFmtId="0" fontId="100" fillId="0" borderId="21" xfId="58" applyFont="1" applyFill="1" applyBorder="1" applyAlignment="1">
      <alignment horizontal="left" vertical="center"/>
    </xf>
    <xf numFmtId="0" fontId="28" fillId="0" borderId="16" xfId="58" applyNumberFormat="1" applyFont="1" applyFill="1" applyBorder="1" applyAlignment="1">
      <alignment horizontal="left" vertical="center"/>
    </xf>
    <xf numFmtId="9" fontId="27" fillId="0" borderId="16" xfId="58" applyNumberFormat="1" applyFont="1" applyFill="1" applyBorder="1" applyAlignment="1">
      <alignment horizontal="center" vertical="center"/>
    </xf>
    <xf numFmtId="0" fontId="62" fillId="0" borderId="3" xfId="0" applyFont="1" applyFill="1" applyBorder="1" applyAlignment="1">
      <alignment horizontal="left" vertical="center" wrapText="1"/>
    </xf>
    <xf numFmtId="39" fontId="103" fillId="5" borderId="22" xfId="58" applyNumberFormat="1" applyFont="1" applyFill="1" applyBorder="1" applyAlignment="1">
      <alignment vertical="center" wrapText="1"/>
    </xf>
    <xf numFmtId="0" fontId="103" fillId="0" borderId="3" xfId="58" applyNumberFormat="1" applyFont="1" applyFill="1" applyBorder="1" applyAlignment="1">
      <alignment horizontal="left" vertical="center" wrapText="1"/>
    </xf>
    <xf numFmtId="165" fontId="82" fillId="0" borderId="16" xfId="58" applyNumberFormat="1" applyFont="1" applyFill="1" applyBorder="1" applyAlignment="1">
      <alignment vertical="center"/>
    </xf>
    <xf numFmtId="9" fontId="36" fillId="0" borderId="16" xfId="58" applyNumberFormat="1" applyFont="1" applyFill="1" applyBorder="1" applyAlignment="1">
      <alignment horizontal="center" vertical="center"/>
    </xf>
    <xf numFmtId="15" fontId="119" fillId="13" borderId="0" xfId="2" applyNumberFormat="1" applyFont="1" applyFill="1" applyBorder="1" applyAlignment="1">
      <alignment horizontal="center" vertical="center"/>
    </xf>
    <xf numFmtId="15" fontId="119" fillId="13" borderId="32" xfId="2" applyNumberFormat="1" applyFont="1" applyFill="1" applyBorder="1" applyAlignment="1">
      <alignment horizontal="center" vertical="center"/>
    </xf>
    <xf numFmtId="15" fontId="119" fillId="13" borderId="9" xfId="2" applyNumberFormat="1" applyFont="1" applyFill="1" applyBorder="1" applyAlignment="1">
      <alignment horizontal="center" vertical="center"/>
    </xf>
    <xf numFmtId="4" fontId="62" fillId="17" borderId="74" xfId="0" applyNumberFormat="1" applyFont="1" applyFill="1" applyBorder="1" applyAlignment="1">
      <alignment horizontal="right" vertical="center"/>
    </xf>
    <xf numFmtId="4" fontId="61" fillId="0" borderId="0" xfId="0" applyNumberFormat="1" applyFont="1" applyFill="1" applyBorder="1" applyAlignment="1">
      <alignment horizontal="right"/>
    </xf>
    <xf numFmtId="43" fontId="58" fillId="0" borderId="9" xfId="2" applyFont="1" applyFill="1" applyBorder="1" applyAlignment="1">
      <alignment horizontal="center" vertical="center"/>
    </xf>
    <xf numFmtId="0" fontId="62" fillId="0" borderId="65" xfId="0" applyNumberFormat="1" applyFont="1" applyFill="1" applyBorder="1" applyAlignment="1"/>
    <xf numFmtId="9" fontId="61" fillId="0" borderId="63" xfId="76" applyFont="1" applyFill="1" applyBorder="1" applyAlignment="1">
      <alignment horizontal="center"/>
    </xf>
    <xf numFmtId="4" fontId="62" fillId="17" borderId="63" xfId="0" applyNumberFormat="1" applyFont="1" applyFill="1" applyBorder="1" applyAlignment="1">
      <alignment horizontal="right"/>
    </xf>
    <xf numFmtId="0" fontId="59" fillId="0" borderId="10" xfId="0" applyNumberFormat="1" applyFont="1" applyFill="1" applyBorder="1" applyAlignment="1">
      <alignment horizontal="left" vertical="center"/>
    </xf>
    <xf numFmtId="15" fontId="59" fillId="0" borderId="10" xfId="2" applyNumberFormat="1" applyFont="1" applyFill="1" applyBorder="1" applyAlignment="1">
      <alignment horizontal="center" vertical="center"/>
    </xf>
    <xf numFmtId="15" fontId="119" fillId="13" borderId="10" xfId="2" applyNumberFormat="1" applyFont="1" applyFill="1" applyBorder="1" applyAlignment="1">
      <alignment horizontal="center" vertical="center"/>
    </xf>
    <xf numFmtId="0" fontId="59" fillId="0" borderId="10" xfId="34" applyNumberFormat="1" applyFont="1" applyFill="1" applyBorder="1" applyAlignment="1">
      <alignment horizontal="center" vertical="center"/>
    </xf>
    <xf numFmtId="37" fontId="59" fillId="0" borderId="10" xfId="34" applyNumberFormat="1" applyFont="1" applyFill="1" applyBorder="1" applyAlignment="1">
      <alignment horizontal="center" vertical="center"/>
    </xf>
    <xf numFmtId="43" fontId="59" fillId="0" borderId="10" xfId="2" applyFont="1" applyFill="1" applyBorder="1" applyAlignment="1">
      <alignment horizontal="center" vertical="center"/>
    </xf>
    <xf numFmtId="0" fontId="59" fillId="0" borderId="10" xfId="0" applyNumberFormat="1" applyFont="1" applyFill="1" applyBorder="1" applyAlignment="1">
      <alignment horizontal="center" vertical="center"/>
    </xf>
    <xf numFmtId="9" fontId="59" fillId="0" borderId="10" xfId="76" applyFont="1" applyFill="1" applyBorder="1" applyAlignment="1">
      <alignment horizontal="center" vertical="center"/>
    </xf>
    <xf numFmtId="0" fontId="59" fillId="0" borderId="10" xfId="34" applyNumberFormat="1" applyFont="1" applyFill="1" applyBorder="1" applyAlignment="1">
      <alignment vertical="center" wrapText="1"/>
    </xf>
    <xf numFmtId="166" fontId="59" fillId="0" borderId="10" xfId="0" applyNumberFormat="1" applyFont="1" applyFill="1" applyBorder="1" applyAlignment="1">
      <alignment vertical="center"/>
    </xf>
    <xf numFmtId="0" fontId="59" fillId="0" borderId="10" xfId="0" applyNumberFormat="1" applyFont="1" applyFill="1" applyBorder="1" applyAlignment="1">
      <alignment vertical="center"/>
    </xf>
    <xf numFmtId="0" fontId="59" fillId="0" borderId="10" xfId="34" applyNumberFormat="1" applyFont="1" applyFill="1" applyBorder="1" applyAlignment="1">
      <alignment horizontal="left" vertical="center" wrapText="1"/>
    </xf>
    <xf numFmtId="0" fontId="59" fillId="0" borderId="10" xfId="0" applyNumberFormat="1" applyFont="1" applyFill="1" applyBorder="1" applyAlignment="1">
      <alignment vertical="center" wrapText="1"/>
    </xf>
    <xf numFmtId="0" fontId="59" fillId="0" borderId="10" xfId="0" applyNumberFormat="1" applyFont="1" applyFill="1" applyBorder="1" applyAlignment="1">
      <alignment horizontal="left" vertical="center" wrapText="1"/>
    </xf>
    <xf numFmtId="0" fontId="59" fillId="5" borderId="10" xfId="34" applyNumberFormat="1" applyFont="1" applyFill="1" applyBorder="1" applyAlignment="1">
      <alignment horizontal="center" vertical="center"/>
    </xf>
    <xf numFmtId="0" fontId="59" fillId="0" borderId="10" xfId="2" applyNumberFormat="1" applyFont="1" applyFill="1" applyBorder="1" applyAlignment="1">
      <alignment horizontal="left" vertical="center"/>
    </xf>
    <xf numFmtId="0" fontId="61" fillId="0" borderId="10" xfId="0" applyNumberFormat="1" applyFont="1" applyFill="1" applyBorder="1" applyAlignment="1">
      <alignment vertical="center"/>
    </xf>
    <xf numFmtId="0" fontId="61" fillId="0" borderId="10" xfId="34" applyNumberFormat="1" applyFont="1" applyFill="1" applyBorder="1" applyAlignment="1">
      <alignment horizontal="left" vertical="center" wrapText="1"/>
    </xf>
    <xf numFmtId="0" fontId="61" fillId="0" borderId="10" xfId="34" applyNumberFormat="1" applyFont="1" applyFill="1" applyBorder="1" applyAlignment="1">
      <alignment vertical="center" wrapText="1"/>
    </xf>
    <xf numFmtId="39" fontId="61" fillId="0" borderId="10" xfId="0" applyNumberFormat="1" applyFont="1" applyFill="1" applyBorder="1" applyAlignment="1">
      <alignment horizontal="left" vertical="center" wrapText="1"/>
    </xf>
    <xf numFmtId="4" fontId="61" fillId="0" borderId="10" xfId="34" applyNumberFormat="1" applyFont="1" applyFill="1" applyBorder="1" applyAlignment="1">
      <alignment horizontal="right" vertical="center"/>
    </xf>
    <xf numFmtId="0" fontId="61" fillId="0" borderId="10" xfId="0" applyNumberFormat="1" applyFont="1" applyFill="1" applyBorder="1" applyAlignment="1">
      <alignment vertical="center" wrapText="1"/>
    </xf>
    <xf numFmtId="0" fontId="61" fillId="0" borderId="10" xfId="0" applyNumberFormat="1" applyFont="1" applyFill="1" applyBorder="1" applyAlignment="1">
      <alignment horizontal="left" vertical="center" wrapText="1"/>
    </xf>
    <xf numFmtId="0" fontId="127" fillId="13" borderId="0" xfId="71" applyNumberFormat="1" applyFont="1" applyFill="1" applyBorder="1" applyAlignment="1">
      <alignment vertical="center"/>
    </xf>
    <xf numFmtId="0" fontId="127" fillId="0" borderId="0" xfId="71" applyNumberFormat="1" applyFont="1" applyFill="1" applyBorder="1" applyAlignment="1">
      <alignment vertical="center"/>
    </xf>
    <xf numFmtId="0" fontId="128" fillId="0" borderId="0" xfId="71" applyNumberFormat="1" applyFont="1" applyFill="1" applyBorder="1" applyAlignment="1">
      <alignment vertical="center"/>
    </xf>
    <xf numFmtId="0" fontId="103" fillId="18" borderId="64" xfId="71" applyNumberFormat="1" applyFont="1" applyFill="1" applyBorder="1" applyAlignment="1">
      <alignment horizontal="left" vertical="center"/>
    </xf>
    <xf numFmtId="0" fontId="103" fillId="18" borderId="88" xfId="71" applyNumberFormat="1" applyFont="1" applyFill="1" applyBorder="1" applyAlignment="1">
      <alignment horizontal="left" vertical="center"/>
    </xf>
    <xf numFmtId="0" fontId="103" fillId="18" borderId="65" xfId="71" applyNumberFormat="1" applyFont="1" applyFill="1" applyBorder="1" applyAlignment="1">
      <alignment horizontal="left" vertical="center"/>
    </xf>
    <xf numFmtId="0" fontId="61" fillId="0" borderId="10" xfId="0" applyNumberFormat="1" applyFont="1" applyFill="1" applyBorder="1" applyAlignment="1">
      <alignment horizontal="center" vertical="center"/>
    </xf>
    <xf numFmtId="4" fontId="61" fillId="0" borderId="10" xfId="0" applyNumberFormat="1" applyFont="1" applyFill="1" applyBorder="1" applyAlignment="1">
      <alignment vertical="center"/>
    </xf>
    <xf numFmtId="37" fontId="59" fillId="0" borderId="10" xfId="0" applyNumberFormat="1" applyFont="1" applyFill="1" applyBorder="1" applyAlignment="1">
      <alignment horizontal="center" vertical="center"/>
    </xf>
    <xf numFmtId="43" fontId="61" fillId="0" borderId="10" xfId="0" applyNumberFormat="1" applyFont="1" applyFill="1" applyBorder="1" applyAlignment="1">
      <alignment vertical="center"/>
    </xf>
    <xf numFmtId="4" fontId="113" fillId="0" borderId="10" xfId="0" applyNumberFormat="1" applyFont="1" applyFill="1" applyBorder="1" applyAlignment="1">
      <alignment vertical="center"/>
    </xf>
    <xf numFmtId="0" fontId="59" fillId="0" borderId="10" xfId="0" applyNumberFormat="1" applyFont="1" applyFill="1" applyBorder="1" applyAlignment="1">
      <alignment wrapText="1"/>
    </xf>
    <xf numFmtId="43" fontId="61" fillId="0" borderId="10" xfId="2" applyFont="1" applyFill="1" applyBorder="1" applyAlignment="1"/>
    <xf numFmtId="0" fontId="61" fillId="0" borderId="10" xfId="0" applyNumberFormat="1" applyFont="1" applyFill="1" applyBorder="1" applyAlignment="1">
      <alignment horizontal="left" vertical="center"/>
    </xf>
    <xf numFmtId="0" fontId="59" fillId="0" borderId="10" xfId="0" applyFont="1" applyFill="1" applyBorder="1" applyAlignment="1">
      <alignment horizontal="center" vertical="center"/>
    </xf>
    <xf numFmtId="43" fontId="59" fillId="0" borderId="10" xfId="0" applyNumberFormat="1" applyFont="1" applyFill="1" applyBorder="1" applyAlignment="1">
      <alignment horizontal="center" vertical="center"/>
    </xf>
    <xf numFmtId="39" fontId="61" fillId="0" borderId="10" xfId="0" applyNumberFormat="1" applyFont="1" applyFill="1" applyBorder="1" applyAlignment="1">
      <alignment horizontal="right" vertical="center"/>
    </xf>
    <xf numFmtId="4" fontId="59" fillId="0" borderId="10" xfId="0" applyNumberFormat="1" applyFont="1" applyFill="1" applyBorder="1" applyAlignment="1">
      <alignment vertical="center"/>
    </xf>
    <xf numFmtId="43" fontId="61" fillId="0" borderId="10" xfId="0" applyNumberFormat="1" applyFont="1" applyFill="1" applyBorder="1" applyAlignment="1">
      <alignment horizontal="right" vertical="center"/>
    </xf>
    <xf numFmtId="166" fontId="59" fillId="0" borderId="10" xfId="0" applyNumberFormat="1" applyFont="1" applyFill="1" applyBorder="1" applyAlignment="1">
      <alignment horizontal="left" vertical="center"/>
    </xf>
    <xf numFmtId="0" fontId="61" fillId="0" borderId="10" xfId="0" applyFont="1" applyFill="1" applyBorder="1" applyAlignment="1">
      <alignment horizontal="center"/>
    </xf>
    <xf numFmtId="43" fontId="113" fillId="0" borderId="10" xfId="0" applyNumberFormat="1" applyFont="1" applyFill="1" applyBorder="1" applyAlignment="1">
      <alignment horizontal="right" vertical="center"/>
    </xf>
    <xf numFmtId="0" fontId="61" fillId="0" borderId="10" xfId="34" applyNumberFormat="1" applyFont="1" applyFill="1" applyBorder="1" applyAlignment="1">
      <alignment horizontal="center" vertical="center"/>
    </xf>
    <xf numFmtId="0" fontId="59" fillId="0" borderId="10" xfId="2" applyNumberFormat="1" applyFont="1" applyFill="1" applyBorder="1" applyAlignment="1">
      <alignment horizontal="left" vertical="center" wrapText="1"/>
    </xf>
    <xf numFmtId="43" fontId="96" fillId="0" borderId="10" xfId="0" applyNumberFormat="1" applyFont="1" applyFill="1" applyBorder="1" applyAlignment="1">
      <alignment horizontal="center" vertical="center"/>
    </xf>
    <xf numFmtId="166" fontId="119" fillId="13" borderId="10" xfId="0" applyNumberFormat="1" applyFont="1" applyFill="1" applyBorder="1" applyAlignment="1">
      <alignment vertical="center"/>
    </xf>
    <xf numFmtId="0" fontId="59" fillId="0" borderId="10" xfId="0" applyNumberFormat="1" applyFont="1" applyFill="1" applyBorder="1" applyAlignment="1">
      <alignment horizontal="center"/>
    </xf>
    <xf numFmtId="0" fontId="59" fillId="0" borderId="10" xfId="0" applyNumberFormat="1" applyFont="1" applyFill="1" applyBorder="1"/>
    <xf numFmtId="0" fontId="59" fillId="0" borderId="10" xfId="34" applyFont="1" applyFill="1" applyBorder="1" applyAlignment="1">
      <alignment horizontal="left" vertical="center"/>
    </xf>
    <xf numFmtId="15" fontId="59" fillId="0" borderId="10" xfId="0" applyNumberFormat="1" applyFont="1" applyFill="1" applyBorder="1" applyAlignment="1">
      <alignment horizontal="center"/>
    </xf>
    <xf numFmtId="4" fontId="59" fillId="0" borderId="10" xfId="0" applyNumberFormat="1" applyFont="1" applyFill="1" applyBorder="1"/>
    <xf numFmtId="0" fontId="0" fillId="0" borderId="10" xfId="0" applyFill="1" applyBorder="1"/>
    <xf numFmtId="0" fontId="119" fillId="13" borderId="10" xfId="0" applyNumberFormat="1" applyFont="1" applyFill="1" applyBorder="1" applyAlignment="1">
      <alignment horizontal="left" vertical="center"/>
    </xf>
    <xf numFmtId="0" fontId="119" fillId="13" borderId="10" xfId="34" applyFont="1" applyFill="1" applyBorder="1" applyAlignment="1">
      <alignment horizontal="center" vertical="center"/>
    </xf>
    <xf numFmtId="0" fontId="119" fillId="13" borderId="10" xfId="34" applyNumberFormat="1" applyFont="1" applyFill="1" applyBorder="1" applyAlignment="1">
      <alignment horizontal="center" vertical="center"/>
    </xf>
    <xf numFmtId="37" fontId="119" fillId="13" borderId="10" xfId="34" applyNumberFormat="1" applyFont="1" applyFill="1" applyBorder="1" applyAlignment="1">
      <alignment horizontal="center" vertical="center"/>
    </xf>
    <xf numFmtId="43" fontId="119" fillId="13" borderId="10" xfId="2" applyFont="1" applyFill="1" applyBorder="1" applyAlignment="1">
      <alignment horizontal="center" vertical="center"/>
    </xf>
    <xf numFmtId="43" fontId="120" fillId="13" borderId="10" xfId="2" applyFont="1" applyFill="1" applyBorder="1" applyAlignment="1">
      <alignment horizontal="center" vertical="center"/>
    </xf>
    <xf numFmtId="9" fontId="119" fillId="13" borderId="10" xfId="76" applyFont="1" applyFill="1" applyBorder="1" applyAlignment="1">
      <alignment horizontal="center" vertical="center"/>
    </xf>
    <xf numFmtId="4" fontId="119" fillId="13" borderId="10" xfId="0" applyNumberFormat="1" applyFont="1" applyFill="1" applyBorder="1" applyAlignment="1">
      <alignment horizontal="right" vertical="center"/>
    </xf>
    <xf numFmtId="0" fontId="119" fillId="13" borderId="10" xfId="34" applyNumberFormat="1" applyFont="1" applyFill="1" applyBorder="1" applyAlignment="1">
      <alignment vertical="center" wrapText="1"/>
    </xf>
    <xf numFmtId="0" fontId="119" fillId="13" borderId="10" xfId="76" applyNumberFormat="1" applyFont="1" applyFill="1" applyBorder="1" applyAlignment="1">
      <alignment horizontal="center" vertical="center" wrapText="1"/>
    </xf>
    <xf numFmtId="0" fontId="129" fillId="0" borderId="10" xfId="58" applyNumberFormat="1" applyFont="1" applyFill="1" applyBorder="1" applyAlignment="1">
      <alignment horizontal="left" vertical="center"/>
    </xf>
    <xf numFmtId="39" fontId="119" fillId="13" borderId="10" xfId="0" quotePrefix="1" applyNumberFormat="1" applyFont="1" applyFill="1" applyBorder="1" applyAlignment="1">
      <alignment vertical="center" wrapText="1"/>
    </xf>
    <xf numFmtId="39" fontId="119" fillId="13" borderId="10" xfId="0" applyNumberFormat="1" applyFont="1" applyFill="1" applyBorder="1" applyAlignment="1">
      <alignment vertical="center" wrapText="1"/>
    </xf>
    <xf numFmtId="39" fontId="119" fillId="13" borderId="10" xfId="34" applyNumberFormat="1" applyFont="1" applyFill="1" applyBorder="1" applyAlignment="1">
      <alignment vertical="center"/>
    </xf>
    <xf numFmtId="0" fontId="119" fillId="13" borderId="10" xfId="44" applyNumberFormat="1" applyFont="1" applyFill="1" applyBorder="1" applyAlignment="1">
      <alignment vertical="center" wrapText="1"/>
    </xf>
    <xf numFmtId="39" fontId="130" fillId="13" borderId="10" xfId="42" applyNumberFormat="1" applyFont="1" applyFill="1" applyBorder="1" applyAlignment="1">
      <alignment horizontal="center" vertical="center"/>
    </xf>
    <xf numFmtId="0" fontId="23" fillId="0" borderId="0" xfId="0" applyFont="1" applyFill="1" applyBorder="1"/>
    <xf numFmtId="39" fontId="130" fillId="13" borderId="7" xfId="42" applyNumberFormat="1" applyFont="1" applyFill="1" applyBorder="1" applyAlignment="1">
      <alignment horizontal="center" vertical="center"/>
    </xf>
    <xf numFmtId="39" fontId="130" fillId="13" borderId="0" xfId="42" applyNumberFormat="1" applyFont="1" applyFill="1" applyBorder="1" applyAlignment="1">
      <alignment horizontal="center" vertical="center"/>
    </xf>
    <xf numFmtId="39" fontId="119" fillId="13" borderId="10" xfId="42" applyNumberFormat="1" applyFont="1" applyFill="1" applyBorder="1" applyAlignment="1">
      <alignment horizontal="center" vertical="center"/>
    </xf>
    <xf numFmtId="39" fontId="59" fillId="13" borderId="10" xfId="42" applyNumberFormat="1" applyFont="1" applyFill="1" applyBorder="1" applyAlignment="1">
      <alignment horizontal="center" vertical="center"/>
    </xf>
    <xf numFmtId="0" fontId="9" fillId="0" borderId="14" xfId="58" applyFont="1" applyFill="1" applyBorder="1" applyAlignment="1">
      <alignment horizontal="center" vertical="center"/>
    </xf>
    <xf numFmtId="0" fontId="9" fillId="0" borderId="4" xfId="58" applyFont="1" applyFill="1" applyBorder="1" applyAlignment="1">
      <alignment horizontal="center" vertical="center"/>
    </xf>
    <xf numFmtId="0" fontId="9" fillId="0" borderId="89" xfId="58" applyFont="1" applyFill="1" applyBorder="1" applyAlignment="1">
      <alignment horizontal="center" vertical="center"/>
    </xf>
    <xf numFmtId="0" fontId="9" fillId="0" borderId="90" xfId="58" applyFont="1" applyFill="1" applyBorder="1" applyAlignment="1">
      <alignment horizontal="center" vertical="center"/>
    </xf>
    <xf numFmtId="15" fontId="13" fillId="0" borderId="14" xfId="58" applyNumberFormat="1" applyFont="1" applyFill="1" applyBorder="1" applyAlignment="1">
      <alignment horizontal="center" vertical="center"/>
    </xf>
    <xf numFmtId="0" fontId="13" fillId="0" borderId="4" xfId="58" applyFont="1" applyFill="1" applyBorder="1" applyAlignment="1">
      <alignment horizontal="left" vertical="center" wrapText="1"/>
    </xf>
    <xf numFmtId="37" fontId="119" fillId="0" borderId="10" xfId="34" applyNumberFormat="1" applyFont="1" applyFill="1" applyBorder="1" applyAlignment="1">
      <alignment horizontal="center" vertical="center"/>
    </xf>
    <xf numFmtId="166" fontId="119" fillId="0" borderId="10" xfId="0" applyNumberFormat="1" applyFont="1" applyFill="1" applyBorder="1" applyAlignment="1">
      <alignment vertical="center"/>
    </xf>
    <xf numFmtId="0" fontId="119" fillId="0" borderId="10" xfId="0" applyNumberFormat="1" applyFont="1" applyFill="1" applyBorder="1" applyAlignment="1">
      <alignment vertical="center" wrapText="1"/>
    </xf>
    <xf numFmtId="43" fontId="59" fillId="0" borderId="10" xfId="2" applyFont="1" applyFill="1" applyBorder="1" applyAlignment="1">
      <alignment horizontal="right" vertical="center"/>
    </xf>
    <xf numFmtId="4" fontId="59" fillId="0" borderId="0" xfId="76" applyNumberFormat="1" applyFont="1" applyFill="1" applyAlignment="1">
      <alignment horizontal="center" vertical="center"/>
    </xf>
    <xf numFmtId="4" fontId="58" fillId="0" borderId="0" xfId="76" applyNumberFormat="1" applyFont="1" applyFill="1" applyAlignment="1">
      <alignment horizontal="center" vertical="center"/>
    </xf>
    <xf numFmtId="4" fontId="58" fillId="0" borderId="9" xfId="2" applyNumberFormat="1" applyFont="1" applyFill="1" applyBorder="1" applyAlignment="1">
      <alignment horizontal="center" vertical="center"/>
    </xf>
    <xf numFmtId="0" fontId="9" fillId="0" borderId="0" xfId="0" applyFont="1" applyFill="1" applyAlignment="1">
      <alignment vertical="center"/>
    </xf>
    <xf numFmtId="4" fontId="9" fillId="0" borderId="0" xfId="0" applyNumberFormat="1" applyFont="1" applyFill="1" applyAlignment="1">
      <alignment vertical="center"/>
    </xf>
    <xf numFmtId="0" fontId="20" fillId="0" borderId="0" xfId="58" applyFont="1" applyFill="1" applyBorder="1" applyAlignment="1"/>
    <xf numFmtId="4" fontId="26" fillId="15" borderId="22" xfId="58" applyNumberFormat="1" applyFont="1" applyFill="1" applyBorder="1" applyAlignment="1">
      <alignment horizontal="right" vertical="center"/>
    </xf>
    <xf numFmtId="43" fontId="95" fillId="0" borderId="10" xfId="2" applyFont="1" applyFill="1" applyBorder="1" applyAlignment="1">
      <alignment horizontal="left" vertical="center" wrapText="1"/>
    </xf>
    <xf numFmtId="43" fontId="95" fillId="0" borderId="83" xfId="2" applyFont="1" applyFill="1" applyBorder="1" applyAlignment="1">
      <alignment horizontal="left" vertical="center" wrapText="1"/>
    </xf>
    <xf numFmtId="0" fontId="70" fillId="0" borderId="22" xfId="58" applyFont="1" applyFill="1" applyBorder="1" applyAlignment="1">
      <alignment horizontal="left" vertical="center"/>
    </xf>
    <xf numFmtId="43" fontId="59" fillId="19" borderId="10" xfId="0" applyNumberFormat="1" applyFont="1" applyFill="1" applyBorder="1" applyAlignment="1">
      <alignment vertical="center"/>
    </xf>
    <xf numFmtId="0" fontId="119" fillId="0" borderId="34" xfId="0" applyFont="1" applyFill="1" applyBorder="1" applyAlignment="1">
      <alignment horizontal="left" vertical="center"/>
    </xf>
    <xf numFmtId="0" fontId="119" fillId="0" borderId="34" xfId="0" applyNumberFormat="1" applyFont="1" applyFill="1" applyBorder="1" applyAlignment="1">
      <alignment horizontal="left" vertical="center" wrapText="1"/>
    </xf>
    <xf numFmtId="0" fontId="129" fillId="0" borderId="34" xfId="58" applyNumberFormat="1" applyFont="1" applyFill="1" applyBorder="1" applyAlignment="1">
      <alignment vertical="center"/>
    </xf>
    <xf numFmtId="0" fontId="59" fillId="5" borderId="62" xfId="34" applyNumberFormat="1" applyFont="1" applyFill="1" applyBorder="1" applyAlignment="1">
      <alignment horizontal="left" vertical="center"/>
    </xf>
    <xf numFmtId="0" fontId="59" fillId="13" borderId="10" xfId="0" applyNumberFormat="1" applyFont="1" applyFill="1" applyBorder="1" applyAlignment="1">
      <alignment horizontal="left" vertical="center"/>
    </xf>
    <xf numFmtId="0" fontId="59" fillId="13" borderId="10" xfId="34" applyFont="1" applyFill="1" applyBorder="1" applyAlignment="1">
      <alignment horizontal="center" vertical="center"/>
    </xf>
    <xf numFmtId="15" fontId="59" fillId="13" borderId="10" xfId="2" applyNumberFormat="1" applyFont="1" applyFill="1" applyBorder="1" applyAlignment="1">
      <alignment horizontal="center" vertical="center"/>
    </xf>
    <xf numFmtId="0" fontId="59" fillId="13" borderId="10" xfId="34" applyNumberFormat="1" applyFont="1" applyFill="1" applyBorder="1" applyAlignment="1">
      <alignment horizontal="center" vertical="center"/>
    </xf>
    <xf numFmtId="37" fontId="59" fillId="13" borderId="10" xfId="34" applyNumberFormat="1" applyFont="1" applyFill="1" applyBorder="1" applyAlignment="1">
      <alignment horizontal="center" vertical="center"/>
    </xf>
    <xf numFmtId="43" fontId="59" fillId="13" borderId="10" xfId="2" applyFont="1" applyFill="1" applyBorder="1" applyAlignment="1">
      <alignment horizontal="center" vertical="center"/>
    </xf>
    <xf numFmtId="9" fontId="59" fillId="13" borderId="10" xfId="76" applyFont="1" applyFill="1" applyBorder="1" applyAlignment="1">
      <alignment horizontal="center" vertical="center"/>
    </xf>
    <xf numFmtId="39" fontId="35" fillId="13" borderId="10" xfId="42" applyNumberFormat="1" applyFont="1" applyFill="1" applyBorder="1" applyAlignment="1">
      <alignment horizontal="center" vertical="center"/>
    </xf>
    <xf numFmtId="0" fontId="59" fillId="13" borderId="10" xfId="34" applyNumberFormat="1" applyFont="1" applyFill="1" applyBorder="1" applyAlignment="1">
      <alignment horizontal="left" vertical="center" wrapText="1"/>
    </xf>
    <xf numFmtId="0" fontId="59" fillId="13" borderId="10" xfId="34" applyNumberFormat="1" applyFont="1" applyFill="1" applyBorder="1" applyAlignment="1">
      <alignment vertical="center" wrapText="1"/>
    </xf>
    <xf numFmtId="0" fontId="59" fillId="13" borderId="10" xfId="76" applyNumberFormat="1" applyFont="1" applyFill="1" applyBorder="1" applyAlignment="1">
      <alignment horizontal="center" vertical="center" wrapText="1"/>
    </xf>
    <xf numFmtId="166" fontId="59" fillId="13" borderId="10" xfId="0" applyNumberFormat="1" applyFont="1" applyFill="1" applyBorder="1" applyAlignment="1">
      <alignment vertical="center"/>
    </xf>
    <xf numFmtId="4" fontId="59" fillId="0" borderId="10" xfId="34" applyNumberFormat="1" applyFont="1" applyFill="1" applyBorder="1" applyAlignment="1">
      <alignment horizontal="right" vertical="center"/>
    </xf>
    <xf numFmtId="0" fontId="9" fillId="0" borderId="15" xfId="58" applyFont="1" applyFill="1" applyBorder="1" applyAlignment="1">
      <alignment horizontal="center" vertical="center"/>
    </xf>
    <xf numFmtId="0" fontId="9" fillId="0" borderId="78" xfId="58" applyFont="1" applyFill="1" applyBorder="1" applyAlignment="1">
      <alignment horizontal="center" vertical="center"/>
    </xf>
    <xf numFmtId="0" fontId="19" fillId="0" borderId="0" xfId="58" applyFont="1" applyFill="1" applyBorder="1" applyAlignment="1">
      <alignment horizontal="right" vertical="center"/>
    </xf>
    <xf numFmtId="0" fontId="130" fillId="0" borderId="22" xfId="0" quotePrefix="1" applyFont="1" applyFill="1" applyBorder="1" applyAlignment="1">
      <alignment horizontal="left" vertical="center" wrapText="1"/>
    </xf>
    <xf numFmtId="0" fontId="28" fillId="0" borderId="23" xfId="58" applyFont="1" applyFill="1" applyBorder="1" applyAlignment="1">
      <alignment horizontal="left" vertical="center" wrapText="1"/>
    </xf>
    <xf numFmtId="4" fontId="20" fillId="15" borderId="24" xfId="58" applyNumberFormat="1" applyFont="1" applyFill="1" applyBorder="1" applyAlignment="1">
      <alignment horizontal="right" vertical="center"/>
    </xf>
    <xf numFmtId="0" fontId="20" fillId="0" borderId="96" xfId="58" applyNumberFormat="1" applyFont="1" applyFill="1" applyBorder="1" applyAlignment="1">
      <alignment vertical="center"/>
    </xf>
    <xf numFmtId="4" fontId="9" fillId="15" borderId="24" xfId="58" applyNumberFormat="1" applyFont="1" applyFill="1" applyBorder="1" applyAlignment="1">
      <alignment horizontal="right" vertical="center"/>
    </xf>
    <xf numFmtId="0" fontId="28" fillId="0" borderId="22" xfId="0" applyNumberFormat="1" applyFont="1" applyFill="1" applyBorder="1" applyAlignment="1">
      <alignment horizontal="left" vertical="center" wrapText="1"/>
    </xf>
    <xf numFmtId="0" fontId="38" fillId="0" borderId="17" xfId="58" applyFont="1" applyFill="1" applyBorder="1" applyAlignment="1">
      <alignment horizontal="right" vertical="center" wrapText="1"/>
    </xf>
    <xf numFmtId="0" fontId="38" fillId="0" borderId="25" xfId="58" applyFont="1" applyFill="1" applyBorder="1" applyAlignment="1">
      <alignment horizontal="right" vertical="center" wrapText="1"/>
    </xf>
    <xf numFmtId="0" fontId="37" fillId="10" borderId="16" xfId="58" applyFont="1" applyFill="1" applyBorder="1" applyAlignment="1">
      <alignment horizontal="left" vertical="center"/>
    </xf>
    <xf numFmtId="0" fontId="28" fillId="0" borderId="16" xfId="58" applyNumberFormat="1" applyFont="1" applyFill="1" applyBorder="1" applyAlignment="1">
      <alignment horizontal="left" vertical="center" wrapText="1"/>
    </xf>
    <xf numFmtId="39" fontId="71" fillId="5" borderId="79" xfId="58" applyNumberFormat="1" applyFont="1" applyFill="1" applyBorder="1" applyAlignment="1">
      <alignment horizontal="left" vertical="center" wrapText="1"/>
    </xf>
    <xf numFmtId="0" fontId="6" fillId="0" borderId="16" xfId="58" applyFont="1" applyFill="1" applyBorder="1" applyAlignment="1">
      <alignment horizontal="left" vertical="center"/>
    </xf>
    <xf numFmtId="0" fontId="34" fillId="0" borderId="16" xfId="58" applyNumberFormat="1" applyFont="1" applyFill="1" applyBorder="1" applyAlignment="1">
      <alignment horizontal="center" vertical="center"/>
    </xf>
    <xf numFmtId="0" fontId="41" fillId="0" borderId="16" xfId="58" applyNumberFormat="1" applyFont="1" applyFill="1" applyBorder="1" applyAlignment="1">
      <alignment horizontal="center" vertical="center"/>
    </xf>
    <xf numFmtId="0" fontId="28" fillId="0" borderId="16" xfId="58" applyNumberFormat="1" applyFont="1" applyFill="1" applyBorder="1" applyAlignment="1">
      <alignment horizontal="center" vertical="center"/>
    </xf>
    <xf numFmtId="165" fontId="34" fillId="0" borderId="16" xfId="58" applyNumberFormat="1" applyFont="1" applyFill="1" applyBorder="1" applyAlignment="1">
      <alignment horizontal="right" vertical="center"/>
    </xf>
    <xf numFmtId="4" fontId="20" fillId="15" borderId="18" xfId="58" applyNumberFormat="1" applyFont="1" applyFill="1" applyBorder="1" applyAlignment="1">
      <alignment horizontal="right" vertical="center"/>
    </xf>
    <xf numFmtId="0" fontId="70" fillId="0" borderId="10" xfId="34" applyNumberFormat="1" applyFont="1" applyFill="1" applyBorder="1" applyAlignment="1">
      <alignment horizontal="center" vertical="center"/>
    </xf>
    <xf numFmtId="0" fontId="116" fillId="0" borderId="34" xfId="34" applyNumberFormat="1" applyFont="1" applyFill="1" applyBorder="1" applyAlignment="1">
      <alignment horizontal="left" vertical="center"/>
    </xf>
    <xf numFmtId="0" fontId="59" fillId="5" borderId="97" xfId="34" applyNumberFormat="1" applyFont="1" applyFill="1" applyBorder="1" applyAlignment="1">
      <alignment horizontal="left" vertical="center" wrapText="1"/>
    </xf>
    <xf numFmtId="39" fontId="71" fillId="2" borderId="79" xfId="0" applyNumberFormat="1" applyFont="1" applyFill="1" applyBorder="1" applyAlignment="1">
      <alignment horizontal="left" vertical="center" wrapText="1"/>
    </xf>
    <xf numFmtId="15" fontId="26" fillId="0" borderId="0" xfId="2" applyNumberFormat="1" applyFont="1" applyFill="1" applyBorder="1" applyAlignment="1">
      <alignment horizontal="center" vertical="center"/>
    </xf>
    <xf numFmtId="0" fontId="28" fillId="0" borderId="0" xfId="58" applyFont="1" applyFill="1" applyBorder="1"/>
    <xf numFmtId="0" fontId="0" fillId="0" borderId="0" xfId="0" applyFill="1" applyBorder="1"/>
    <xf numFmtId="0" fontId="20" fillId="2" borderId="0" xfId="58" applyFont="1" applyBorder="1"/>
    <xf numFmtId="0" fontId="42" fillId="5" borderId="0" xfId="58" applyFont="1" applyFill="1" applyBorder="1" applyAlignment="1">
      <alignment horizontal="right"/>
    </xf>
    <xf numFmtId="4" fontId="20" fillId="0" borderId="0" xfId="58" applyNumberFormat="1" applyFont="1" applyFill="1" applyBorder="1" applyAlignment="1">
      <alignment horizontal="right" vertical="center"/>
    </xf>
    <xf numFmtId="0" fontId="60" fillId="0" borderId="10" xfId="58" applyNumberFormat="1" applyFont="1" applyFill="1" applyBorder="1" applyAlignment="1">
      <alignment vertical="center"/>
    </xf>
    <xf numFmtId="165" fontId="25" fillId="0" borderId="63" xfId="58" applyNumberFormat="1" applyFont="1" applyFill="1" applyBorder="1" applyAlignment="1">
      <alignment horizontal="right" vertical="center"/>
    </xf>
    <xf numFmtId="165" fontId="27" fillId="15" borderId="16" xfId="58" applyNumberFormat="1" applyFont="1" applyFill="1" applyBorder="1" applyAlignment="1">
      <alignment vertical="center"/>
    </xf>
    <xf numFmtId="0" fontId="59" fillId="0" borderId="34" xfId="0" applyNumberFormat="1" applyFont="1" applyFill="1" applyBorder="1" applyAlignment="1">
      <alignment horizontal="left" vertical="center" wrapText="1"/>
    </xf>
    <xf numFmtId="0" fontId="37" fillId="10" borderId="16" xfId="58" applyFont="1" applyFill="1" applyBorder="1" applyAlignment="1">
      <alignment horizontal="left" vertical="center"/>
    </xf>
    <xf numFmtId="0" fontId="36" fillId="0" borderId="55" xfId="58" applyNumberFormat="1" applyFont="1" applyFill="1" applyBorder="1" applyAlignment="1">
      <alignment horizontal="center" vertical="center"/>
    </xf>
    <xf numFmtId="165" fontId="25" fillId="0" borderId="55" xfId="58" applyNumberFormat="1" applyFont="1" applyFill="1" applyBorder="1" applyAlignment="1">
      <alignment vertical="center"/>
    </xf>
    <xf numFmtId="0" fontId="34" fillId="0" borderId="55" xfId="58" applyFont="1" applyFill="1" applyBorder="1" applyAlignment="1">
      <alignment horizontal="center" vertical="center"/>
    </xf>
    <xf numFmtId="165" fontId="36" fillId="0" borderId="16" xfId="58" applyNumberFormat="1" applyFont="1" applyFill="1" applyBorder="1" applyAlignment="1">
      <alignment horizontal="center" vertical="center"/>
    </xf>
    <xf numFmtId="9" fontId="27" fillId="0" borderId="85" xfId="58" applyNumberFormat="1" applyFont="1" applyFill="1" applyBorder="1" applyAlignment="1">
      <alignment horizontal="center" vertical="center"/>
    </xf>
    <xf numFmtId="165" fontId="85" fillId="0" borderId="0" xfId="58" applyNumberFormat="1" applyFont="1" applyFill="1" applyBorder="1"/>
    <xf numFmtId="0" fontId="31" fillId="0" borderId="0" xfId="58" applyFont="1" applyFill="1" applyAlignment="1">
      <alignment horizontal="left" vertical="center"/>
    </xf>
    <xf numFmtId="165" fontId="38" fillId="22" borderId="16" xfId="58" applyNumberFormat="1" applyFont="1" applyFill="1" applyBorder="1" applyAlignment="1">
      <alignment vertical="center" wrapText="1"/>
    </xf>
    <xf numFmtId="0" fontId="133" fillId="2" borderId="0" xfId="0" applyFont="1"/>
    <xf numFmtId="0" fontId="42" fillId="2" borderId="0" xfId="58" applyFont="1" applyBorder="1" applyAlignment="1">
      <alignment horizontal="right"/>
    </xf>
    <xf numFmtId="0" fontId="19" fillId="0" borderId="0" xfId="58" applyFont="1" applyFill="1" applyAlignment="1">
      <alignment horizontal="left"/>
    </xf>
    <xf numFmtId="4" fontId="70" fillId="0" borderId="22" xfId="103" applyNumberFormat="1" applyFont="1" applyFill="1" applyBorder="1" applyAlignment="1">
      <alignment horizontal="center" vertical="center"/>
    </xf>
    <xf numFmtId="4" fontId="9" fillId="0" borderId="24" xfId="58" applyNumberFormat="1" applyFont="1" applyFill="1" applyBorder="1" applyAlignment="1">
      <alignment vertical="center"/>
    </xf>
    <xf numFmtId="4" fontId="9" fillId="10" borderId="22" xfId="58" applyNumberFormat="1" applyFont="1" applyFill="1" applyBorder="1" applyAlignment="1">
      <alignment vertical="center"/>
    </xf>
    <xf numFmtId="43" fontId="59" fillId="13" borderId="10" xfId="0" applyNumberFormat="1" applyFont="1" applyFill="1" applyBorder="1" applyAlignment="1">
      <alignment horizontal="center" vertical="center"/>
    </xf>
    <xf numFmtId="39" fontId="59" fillId="13" borderId="10" xfId="34" applyNumberFormat="1" applyFont="1" applyFill="1" applyBorder="1" applyAlignment="1">
      <alignment horizontal="right" vertical="center"/>
    </xf>
    <xf numFmtId="39" fontId="59" fillId="13" borderId="10" xfId="34" applyNumberFormat="1" applyFont="1" applyFill="1" applyBorder="1" applyAlignment="1">
      <alignment vertical="center" wrapText="1"/>
    </xf>
    <xf numFmtId="39" fontId="59" fillId="13" borderId="10" xfId="0" quotePrefix="1" applyNumberFormat="1" applyFont="1" applyFill="1" applyBorder="1" applyAlignment="1">
      <alignment horizontal="left" vertical="center" wrapText="1"/>
    </xf>
    <xf numFmtId="0" fontId="120" fillId="6" borderId="8" xfId="0" applyFont="1" applyFill="1" applyBorder="1" applyAlignment="1">
      <alignment horizontal="center" vertical="center" wrapText="1"/>
    </xf>
    <xf numFmtId="0" fontId="58" fillId="6" borderId="8" xfId="0" applyFont="1" applyFill="1" applyBorder="1" applyAlignment="1">
      <alignment horizontal="center" vertical="center" wrapText="1"/>
    </xf>
    <xf numFmtId="0" fontId="58" fillId="6" borderId="8" xfId="2" applyNumberFormat="1" applyFont="1" applyFill="1" applyBorder="1" applyAlignment="1">
      <alignment horizontal="center" vertical="center" wrapText="1"/>
    </xf>
    <xf numFmtId="0" fontId="58" fillId="6" borderId="8" xfId="2" applyNumberFormat="1" applyFont="1" applyFill="1" applyBorder="1" applyAlignment="1">
      <alignment horizontal="center" vertical="center"/>
    </xf>
    <xf numFmtId="0" fontId="58" fillId="6" borderId="8" xfId="0" applyFont="1" applyFill="1" applyBorder="1" applyAlignment="1">
      <alignment horizontal="center" vertical="center"/>
    </xf>
    <xf numFmtId="0" fontId="58" fillId="20" borderId="8" xfId="0" applyFont="1" applyFill="1" applyBorder="1" applyAlignment="1">
      <alignment horizontal="center" vertical="center"/>
    </xf>
    <xf numFmtId="4" fontId="58" fillId="6" borderId="8" xfId="0" applyNumberFormat="1" applyFont="1" applyFill="1" applyBorder="1" applyAlignment="1">
      <alignment horizontal="center" vertical="center"/>
    </xf>
    <xf numFmtId="9" fontId="58" fillId="20" borderId="8" xfId="76" applyFont="1" applyFill="1" applyBorder="1" applyAlignment="1">
      <alignment horizontal="center" vertical="center"/>
    </xf>
    <xf numFmtId="0" fontId="58" fillId="20" borderId="8" xfId="0" applyFont="1" applyFill="1" applyBorder="1" applyAlignment="1">
      <alignment horizontal="center" vertical="center" wrapText="1"/>
    </xf>
    <xf numFmtId="9" fontId="58" fillId="20" borderId="8" xfId="76" applyFont="1" applyFill="1" applyBorder="1" applyAlignment="1">
      <alignment horizontal="center" vertical="center" wrapText="1"/>
    </xf>
    <xf numFmtId="0" fontId="119" fillId="0" borderId="0" xfId="34" applyFont="1" applyFill="1" applyBorder="1" applyAlignment="1">
      <alignment horizontal="center" vertical="center"/>
    </xf>
    <xf numFmtId="0" fontId="119" fillId="0" borderId="0" xfId="34" applyNumberFormat="1" applyFont="1" applyFill="1" applyBorder="1" applyAlignment="1">
      <alignment horizontal="center" vertical="center"/>
    </xf>
    <xf numFmtId="39" fontId="119" fillId="0" borderId="0" xfId="0" quotePrefix="1" applyNumberFormat="1" applyFont="1" applyFill="1" applyBorder="1" applyAlignment="1">
      <alignment horizontal="left" vertical="center" wrapText="1"/>
    </xf>
    <xf numFmtId="49" fontId="119" fillId="0" borderId="0" xfId="34" applyNumberFormat="1" applyFont="1" applyFill="1" applyBorder="1" applyAlignment="1">
      <alignment horizontal="left" vertical="center" wrapText="1"/>
    </xf>
    <xf numFmtId="4" fontId="119" fillId="0" borderId="0" xfId="34" applyNumberFormat="1" applyFont="1" applyFill="1" applyBorder="1" applyAlignment="1">
      <alignment horizontal="right" vertical="center"/>
    </xf>
    <xf numFmtId="39" fontId="130" fillId="0" borderId="0" xfId="42" applyNumberFormat="1" applyFont="1" applyFill="1" applyBorder="1" applyAlignment="1">
      <alignment horizontal="center" vertical="center"/>
    </xf>
    <xf numFmtId="0" fontId="119" fillId="0" borderId="0" xfId="34" applyFont="1" applyFill="1" applyBorder="1" applyAlignment="1">
      <alignment horizontal="left" vertical="center" wrapText="1"/>
    </xf>
    <xf numFmtId="0" fontId="119" fillId="0" borderId="0" xfId="34" applyNumberFormat="1" applyFont="1" applyFill="1" applyBorder="1" applyAlignment="1">
      <alignment vertical="center" wrapText="1"/>
    </xf>
    <xf numFmtId="0" fontId="119" fillId="0" borderId="0" xfId="44" applyNumberFormat="1" applyFont="1" applyFill="1" applyBorder="1" applyAlignment="1">
      <alignment horizontal="left" vertical="center" wrapText="1"/>
    </xf>
    <xf numFmtId="0" fontId="119" fillId="0" borderId="0" xfId="76" applyNumberFormat="1" applyFont="1" applyFill="1" applyBorder="1" applyAlignment="1">
      <alignment horizontal="center" vertical="center" wrapText="1"/>
    </xf>
    <xf numFmtId="166" fontId="119" fillId="0" borderId="0" xfId="0" applyNumberFormat="1" applyFont="1" applyFill="1" applyBorder="1" applyAlignment="1">
      <alignment vertical="center"/>
    </xf>
    <xf numFmtId="0" fontId="119" fillId="0" borderId="0" xfId="0" applyNumberFormat="1" applyFont="1" applyFill="1" applyBorder="1" applyAlignment="1">
      <alignment vertical="center" wrapText="1"/>
    </xf>
    <xf numFmtId="0" fontId="103" fillId="6" borderId="54" xfId="0" applyNumberFormat="1" applyFont="1" applyFill="1" applyBorder="1" applyAlignment="1">
      <alignment horizontal="center" vertical="center"/>
    </xf>
    <xf numFmtId="4" fontId="103" fillId="6" borderId="54" xfId="0" applyNumberFormat="1" applyFont="1" applyFill="1" applyBorder="1" applyAlignment="1">
      <alignment horizontal="center" vertical="center"/>
    </xf>
    <xf numFmtId="10" fontId="135" fillId="0" borderId="47" xfId="0" applyNumberFormat="1" applyFont="1" applyFill="1" applyBorder="1" applyAlignment="1">
      <alignment vertical="center"/>
    </xf>
    <xf numFmtId="4" fontId="30" fillId="0" borderId="16" xfId="0" applyNumberFormat="1" applyFont="1" applyFill="1" applyBorder="1" applyAlignment="1">
      <alignment vertical="center"/>
    </xf>
    <xf numFmtId="9" fontId="30" fillId="0" borderId="16" xfId="72" applyFont="1" applyFill="1" applyBorder="1" applyAlignment="1">
      <alignment horizontal="center" vertical="center"/>
    </xf>
    <xf numFmtId="10" fontId="134" fillId="0" borderId="47" xfId="0" applyNumberFormat="1" applyFont="1" applyFill="1" applyBorder="1" applyAlignment="1">
      <alignment vertical="center"/>
    </xf>
    <xf numFmtId="10" fontId="134" fillId="0" borderId="102" xfId="0" applyNumberFormat="1" applyFont="1" applyFill="1" applyBorder="1" applyAlignment="1">
      <alignment vertical="center"/>
    </xf>
    <xf numFmtId="0" fontId="136" fillId="11" borderId="71" xfId="0" applyNumberFormat="1" applyFont="1" applyFill="1" applyBorder="1" applyAlignment="1">
      <alignment horizontal="center" vertical="center"/>
    </xf>
    <xf numFmtId="10" fontId="135" fillId="11" borderId="64" xfId="0" applyNumberFormat="1" applyFont="1" applyFill="1" applyBorder="1" applyAlignment="1">
      <alignment horizontal="right" vertical="center"/>
    </xf>
    <xf numFmtId="4" fontId="135" fillId="11" borderId="65" xfId="0" applyNumberFormat="1" applyFont="1" applyFill="1" applyBorder="1" applyAlignment="1">
      <alignment horizontal="center" vertical="center"/>
    </xf>
    <xf numFmtId="4" fontId="135" fillId="11" borderId="10" xfId="0" applyNumberFormat="1" applyFont="1" applyFill="1" applyBorder="1" applyAlignment="1">
      <alignment vertical="center"/>
    </xf>
    <xf numFmtId="4" fontId="134" fillId="11" borderId="10" xfId="0" applyNumberFormat="1" applyFont="1" applyFill="1" applyBorder="1" applyAlignment="1">
      <alignment vertical="center"/>
    </xf>
    <xf numFmtId="0" fontId="59" fillId="0" borderId="7" xfId="34" applyNumberFormat="1" applyFont="1" applyFill="1" applyBorder="1" applyAlignment="1">
      <alignment horizontal="center" vertical="center"/>
    </xf>
    <xf numFmtId="0" fontId="119" fillId="0" borderId="7" xfId="0" applyNumberFormat="1" applyFont="1" applyFill="1" applyBorder="1" applyAlignment="1">
      <alignment vertical="center"/>
    </xf>
    <xf numFmtId="0" fontId="119" fillId="0" borderId="7" xfId="0" applyNumberFormat="1" applyFont="1" applyFill="1" applyBorder="1" applyAlignment="1">
      <alignment horizontal="left" vertical="center"/>
    </xf>
    <xf numFmtId="0" fontId="59" fillId="0" borderId="0" xfId="34" applyNumberFormat="1" applyFont="1" applyFill="1" applyBorder="1" applyAlignment="1">
      <alignment vertical="center"/>
    </xf>
    <xf numFmtId="4" fontId="30" fillId="0" borderId="74" xfId="0" applyNumberFormat="1" applyFont="1" applyFill="1" applyBorder="1" applyAlignment="1">
      <alignment vertical="center"/>
    </xf>
    <xf numFmtId="0" fontId="57" fillId="0" borderId="9" xfId="0" applyNumberFormat="1" applyFont="1" applyFill="1" applyBorder="1" applyAlignment="1"/>
    <xf numFmtId="0" fontId="137" fillId="0" borderId="49" xfId="0" applyNumberFormat="1" applyFont="1" applyFill="1" applyBorder="1" applyAlignment="1"/>
    <xf numFmtId="0" fontId="137" fillId="0" borderId="9" xfId="0" applyNumberFormat="1" applyFont="1" applyFill="1" applyBorder="1" applyAlignment="1"/>
    <xf numFmtId="4" fontId="59" fillId="13" borderId="10" xfId="0" applyNumberFormat="1" applyFont="1" applyFill="1" applyBorder="1" applyAlignment="1">
      <alignment horizontal="right" vertical="center"/>
    </xf>
    <xf numFmtId="4" fontId="20" fillId="11" borderId="22" xfId="58" applyNumberFormat="1" applyFont="1" applyFill="1" applyBorder="1" applyAlignment="1">
      <alignment horizontal="right" vertical="center"/>
    </xf>
    <xf numFmtId="10" fontId="141" fillId="2" borderId="10" xfId="0" applyNumberFormat="1" applyFont="1" applyBorder="1" applyAlignment="1">
      <alignment horizontal="left" vertical="center"/>
    </xf>
    <xf numFmtId="10" fontId="0" fillId="2" borderId="0" xfId="0" applyNumberFormat="1"/>
    <xf numFmtId="10" fontId="59" fillId="6" borderId="55" xfId="72" applyNumberFormat="1" applyFont="1" applyFill="1" applyBorder="1" applyAlignment="1">
      <alignment horizontal="center" vertical="center"/>
    </xf>
    <xf numFmtId="10" fontId="23" fillId="2" borderId="0" xfId="0" applyNumberFormat="1" applyFont="1"/>
    <xf numFmtId="10" fontId="70" fillId="0" borderId="10" xfId="2" applyNumberFormat="1" applyFont="1" applyFill="1" applyBorder="1" applyAlignment="1">
      <alignment horizontal="center" vertical="center"/>
    </xf>
    <xf numFmtId="10" fontId="23" fillId="0" borderId="0" xfId="0" applyNumberFormat="1" applyFont="1" applyFill="1"/>
    <xf numFmtId="0" fontId="139" fillId="5" borderId="34" xfId="34" applyNumberFormat="1" applyFont="1" applyFill="1" applyBorder="1" applyAlignment="1">
      <alignment horizontal="left" vertical="center" wrapText="1"/>
    </xf>
    <xf numFmtId="0" fontId="140" fillId="5" borderId="77" xfId="34" applyNumberFormat="1" applyFont="1" applyFill="1" applyBorder="1" applyAlignment="1">
      <alignment horizontal="left" vertical="center" wrapText="1"/>
    </xf>
    <xf numFmtId="43" fontId="0" fillId="2" borderId="57" xfId="0" applyNumberFormat="1" applyBorder="1"/>
    <xf numFmtId="0" fontId="139" fillId="5" borderId="47" xfId="34" applyNumberFormat="1" applyFont="1" applyFill="1" applyBorder="1" applyAlignment="1">
      <alignment horizontal="left" vertical="center"/>
    </xf>
    <xf numFmtId="9" fontId="139" fillId="5" borderId="34" xfId="72" applyFont="1" applyFill="1" applyBorder="1" applyAlignment="1">
      <alignment horizontal="left" vertical="center"/>
    </xf>
    <xf numFmtId="43" fontId="139" fillId="5" borderId="34" xfId="2" applyFont="1" applyFill="1" applyBorder="1" applyAlignment="1">
      <alignment horizontal="left" vertical="center"/>
    </xf>
    <xf numFmtId="39" fontId="102" fillId="2" borderId="22" xfId="58" applyNumberFormat="1" applyFont="1" applyBorder="1" applyAlignment="1">
      <alignment horizontal="center" vertical="center"/>
    </xf>
    <xf numFmtId="39" fontId="131" fillId="2" borderId="22" xfId="58" applyNumberFormat="1" applyFont="1" applyBorder="1" applyAlignment="1">
      <alignment horizontal="center" vertical="center"/>
    </xf>
    <xf numFmtId="39" fontId="102" fillId="5" borderId="22" xfId="41" applyNumberFormat="1" applyFont="1" applyFill="1" applyBorder="1" applyAlignment="1">
      <alignment horizontal="center" vertical="center"/>
    </xf>
    <xf numFmtId="0" fontId="23" fillId="0" borderId="0" xfId="0" applyNumberFormat="1" applyFont="1" applyFill="1" applyAlignment="1"/>
    <xf numFmtId="0" fontId="19" fillId="0" borderId="0" xfId="58" applyFont="1" applyFill="1" applyBorder="1"/>
    <xf numFmtId="43" fontId="9" fillId="5" borderId="0" xfId="2" applyFont="1" applyFill="1" applyBorder="1" applyAlignment="1">
      <alignment vertical="center"/>
    </xf>
    <xf numFmtId="0" fontId="19" fillId="0" borderId="0" xfId="58" applyFont="1" applyFill="1" applyBorder="1" applyAlignment="1">
      <alignment horizontal="center" vertical="center"/>
    </xf>
    <xf numFmtId="4" fontId="13" fillId="0" borderId="0" xfId="58" applyNumberFormat="1" applyFont="1" applyFill="1" applyBorder="1" applyAlignment="1">
      <alignment vertical="center"/>
    </xf>
    <xf numFmtId="43" fontId="48" fillId="5" borderId="0" xfId="58" applyNumberFormat="1" applyFont="1" applyFill="1" applyAlignment="1">
      <alignment vertical="center"/>
    </xf>
    <xf numFmtId="43" fontId="48" fillId="0" borderId="0" xfId="2" applyFont="1" applyFill="1" applyAlignment="1">
      <alignment horizontal="left"/>
    </xf>
    <xf numFmtId="15" fontId="13" fillId="0" borderId="15" xfId="58" applyNumberFormat="1" applyFont="1" applyFill="1" applyBorder="1" applyAlignment="1">
      <alignment horizontal="center" vertical="center"/>
    </xf>
    <xf numFmtId="4" fontId="12" fillId="0" borderId="3" xfId="58" applyNumberFormat="1" applyFont="1" applyFill="1" applyBorder="1" applyAlignment="1">
      <alignment horizontal="centerContinuous" vertical="center"/>
    </xf>
    <xf numFmtId="43" fontId="113" fillId="13" borderId="10" xfId="2" applyFont="1" applyFill="1" applyBorder="1" applyAlignment="1">
      <alignment horizontal="center" vertical="center"/>
    </xf>
    <xf numFmtId="15" fontId="113" fillId="13" borderId="10" xfId="2" applyNumberFormat="1" applyFont="1" applyFill="1" applyBorder="1" applyAlignment="1">
      <alignment horizontal="center" vertical="center"/>
    </xf>
    <xf numFmtId="4" fontId="113" fillId="13" borderId="10" xfId="0" applyNumberFormat="1" applyFont="1" applyFill="1" applyBorder="1" applyAlignment="1">
      <alignment horizontal="right" vertical="center"/>
    </xf>
    <xf numFmtId="0" fontId="70" fillId="2" borderId="0" xfId="0" applyFont="1" applyBorder="1" applyAlignment="1">
      <alignment horizontal="center" vertical="center"/>
    </xf>
    <xf numFmtId="0" fontId="122" fillId="2" borderId="0" xfId="0" applyFont="1" applyBorder="1" applyAlignment="1">
      <alignment horizontal="left" vertical="center"/>
    </xf>
    <xf numFmtId="15" fontId="70" fillId="0" borderId="0" xfId="0" applyNumberFormat="1" applyFont="1" applyFill="1" applyBorder="1" applyAlignment="1">
      <alignment horizontal="center" vertical="center"/>
    </xf>
    <xf numFmtId="0" fontId="13" fillId="2" borderId="0" xfId="0" applyFont="1" applyFill="1" applyBorder="1" applyAlignment="1">
      <alignment horizontal="left" vertical="center"/>
    </xf>
    <xf numFmtId="37" fontId="70" fillId="0" borderId="0" xfId="0" applyNumberFormat="1" applyFont="1" applyFill="1" applyBorder="1" applyAlignment="1">
      <alignment horizontal="center" vertical="center"/>
    </xf>
    <xf numFmtId="0" fontId="70" fillId="0" borderId="0" xfId="0" applyFont="1" applyFill="1" applyBorder="1" applyAlignment="1">
      <alignment horizontal="center" vertical="center"/>
    </xf>
    <xf numFmtId="0" fontId="14" fillId="2" borderId="0" xfId="0" applyFont="1" applyBorder="1" applyAlignment="1">
      <alignment vertical="center" wrapText="1"/>
    </xf>
    <xf numFmtId="0" fontId="14" fillId="2" borderId="97" xfId="0" applyFont="1" applyBorder="1" applyAlignment="1">
      <alignment vertical="center" wrapText="1"/>
    </xf>
    <xf numFmtId="0" fontId="70" fillId="0" borderId="103" xfId="0" applyFont="1" applyFill="1" applyBorder="1" applyAlignment="1">
      <alignment horizontal="center" vertical="center"/>
    </xf>
    <xf numFmtId="10" fontId="52" fillId="2" borderId="63" xfId="0" applyNumberFormat="1" applyFont="1" applyBorder="1" applyAlignment="1">
      <alignment horizontal="center" vertical="center"/>
    </xf>
    <xf numFmtId="4" fontId="0" fillId="2" borderId="0" xfId="0" applyNumberFormat="1" applyAlignment="1">
      <alignment wrapText="1"/>
    </xf>
    <xf numFmtId="4" fontId="142" fillId="0" borderId="0" xfId="0" applyNumberFormat="1" applyFont="1" applyFill="1" applyBorder="1" applyAlignment="1">
      <alignment vertical="center"/>
    </xf>
    <xf numFmtId="0" fontId="59" fillId="5" borderId="34" xfId="0" applyNumberFormat="1" applyFont="1" applyFill="1" applyBorder="1" applyAlignment="1" applyProtection="1">
      <alignment horizontal="left" vertical="center"/>
    </xf>
    <xf numFmtId="0" fontId="116" fillId="5" borderId="35" xfId="34" applyNumberFormat="1" applyFont="1" applyFill="1" applyBorder="1" applyAlignment="1">
      <alignment horizontal="left" vertical="center"/>
    </xf>
    <xf numFmtId="0" fontId="59" fillId="5" borderId="67" xfId="34" applyNumberFormat="1" applyFont="1" applyFill="1" applyBorder="1" applyAlignment="1">
      <alignment horizontal="left" vertical="center" wrapText="1"/>
    </xf>
    <xf numFmtId="0" fontId="60" fillId="0" borderId="34" xfId="2" applyNumberFormat="1" applyFont="1" applyFill="1" applyBorder="1" applyAlignment="1">
      <alignment vertical="center"/>
    </xf>
    <xf numFmtId="0" fontId="38" fillId="0" borderId="17" xfId="58" applyFont="1" applyFill="1" applyBorder="1" applyAlignment="1">
      <alignment horizontal="right" vertical="center" wrapText="1"/>
    </xf>
    <xf numFmtId="0" fontId="38" fillId="0" borderId="25" xfId="58" applyFont="1" applyFill="1" applyBorder="1" applyAlignment="1">
      <alignment horizontal="right" vertical="center" wrapText="1"/>
    </xf>
    <xf numFmtId="43" fontId="27" fillId="0" borderId="16" xfId="58" applyNumberFormat="1" applyFont="1" applyFill="1" applyBorder="1" applyAlignment="1">
      <alignment vertical="center"/>
    </xf>
    <xf numFmtId="0" fontId="34" fillId="0" borderId="16" xfId="58" applyFont="1" applyFill="1" applyBorder="1" applyAlignment="1">
      <alignment horizontal="left" vertical="center"/>
    </xf>
    <xf numFmtId="165" fontId="38" fillId="22" borderId="63" xfId="58" applyNumberFormat="1" applyFont="1" applyFill="1" applyBorder="1" applyAlignment="1">
      <alignment vertical="center" wrapText="1"/>
    </xf>
    <xf numFmtId="169" fontId="38" fillId="22" borderId="63" xfId="58" applyNumberFormat="1" applyFont="1" applyFill="1" applyBorder="1" applyAlignment="1">
      <alignment vertical="center" wrapText="1"/>
    </xf>
    <xf numFmtId="39" fontId="113" fillId="13" borderId="10" xfId="0" applyNumberFormat="1" applyFont="1" applyFill="1" applyBorder="1" applyAlignment="1">
      <alignment horizontal="left" vertical="center" wrapText="1"/>
    </xf>
    <xf numFmtId="4" fontId="13" fillId="13" borderId="3" xfId="58" applyNumberFormat="1" applyFont="1" applyFill="1" applyBorder="1" applyAlignment="1">
      <alignment vertical="center"/>
    </xf>
    <xf numFmtId="15" fontId="13" fillId="13" borderId="14" xfId="58" applyNumberFormat="1" applyFont="1" applyFill="1" applyBorder="1" applyAlignment="1">
      <alignment horizontal="center" vertical="center"/>
    </xf>
    <xf numFmtId="43" fontId="58" fillId="6" borderId="63" xfId="2" applyFont="1" applyFill="1" applyBorder="1" applyAlignment="1">
      <alignment horizontal="center" vertical="center"/>
    </xf>
    <xf numFmtId="0" fontId="19" fillId="0" borderId="0" xfId="58" applyFont="1" applyFill="1" applyBorder="1" applyAlignment="1">
      <alignment horizontal="right" vertical="center"/>
    </xf>
    <xf numFmtId="4" fontId="61" fillId="0" borderId="0" xfId="0" applyNumberFormat="1" applyFont="1" applyFill="1" applyBorder="1" applyAlignment="1">
      <alignment vertical="center"/>
    </xf>
    <xf numFmtId="15" fontId="15" fillId="13" borderId="3" xfId="58" applyNumberFormat="1" applyFont="1" applyFill="1" applyBorder="1" applyAlignment="1">
      <alignment horizontal="center" vertical="center"/>
    </xf>
    <xf numFmtId="15" fontId="15" fillId="0" borderId="3" xfId="58" applyNumberFormat="1" applyFont="1" applyFill="1" applyBorder="1" applyAlignment="1">
      <alignment horizontal="center" vertical="center"/>
    </xf>
    <xf numFmtId="15" fontId="70" fillId="0" borderId="10" xfId="2" applyNumberFormat="1" applyFont="1" applyFill="1" applyBorder="1" applyAlignment="1">
      <alignment horizontal="center" vertical="center"/>
    </xf>
    <xf numFmtId="0" fontId="60" fillId="0" borderId="34" xfId="34" applyNumberFormat="1" applyFont="1" applyFill="1" applyBorder="1" applyAlignment="1" applyProtection="1">
      <alignment vertical="center"/>
    </xf>
    <xf numFmtId="9" fontId="146" fillId="0" borderId="16" xfId="58" applyNumberFormat="1" applyFont="1" applyFill="1" applyBorder="1" applyAlignment="1">
      <alignment horizontal="center" vertical="center"/>
    </xf>
    <xf numFmtId="39" fontId="147" fillId="5" borderId="79" xfId="58" applyNumberFormat="1" applyFont="1" applyFill="1" applyBorder="1" applyAlignment="1">
      <alignment horizontal="left" vertical="center" wrapText="1"/>
    </xf>
    <xf numFmtId="0" fontId="146" fillId="0" borderId="16" xfId="58" applyNumberFormat="1" applyFont="1" applyFill="1" applyBorder="1" applyAlignment="1">
      <alignment horizontal="left" vertical="center"/>
    </xf>
    <xf numFmtId="0" fontId="13" fillId="0" borderId="0" xfId="58" applyFont="1" applyFill="1" applyBorder="1" applyAlignment="1">
      <alignment vertical="center"/>
    </xf>
    <xf numFmtId="4" fontId="20" fillId="15" borderId="104" xfId="58" applyNumberFormat="1" applyFont="1" applyFill="1" applyBorder="1" applyAlignment="1">
      <alignment horizontal="right" vertical="center"/>
    </xf>
    <xf numFmtId="0" fontId="20" fillId="0" borderId="22" xfId="58" applyFont="1" applyFill="1" applyBorder="1" applyAlignment="1">
      <alignment horizontal="center" vertical="center"/>
    </xf>
    <xf numFmtId="39" fontId="122" fillId="0" borderId="22" xfId="0" quotePrefix="1" applyNumberFormat="1" applyFont="1" applyFill="1" applyBorder="1" applyAlignment="1">
      <alignment horizontal="left" vertical="center" wrapText="1"/>
    </xf>
    <xf numFmtId="4" fontId="148" fillId="0" borderId="22" xfId="34" applyNumberFormat="1" applyFont="1" applyFill="1" applyBorder="1" applyAlignment="1">
      <alignment horizontal="center" vertical="center"/>
    </xf>
    <xf numFmtId="0" fontId="28" fillId="0" borderId="22" xfId="58" applyFont="1" applyFill="1" applyBorder="1" applyAlignment="1">
      <alignment horizontal="left" vertical="center" wrapText="1"/>
    </xf>
    <xf numFmtId="0" fontId="0" fillId="19" borderId="0" xfId="0" applyFill="1"/>
    <xf numFmtId="10" fontId="13" fillId="0" borderId="3" xfId="58" applyNumberFormat="1" applyFont="1" applyFill="1" applyBorder="1" applyAlignment="1">
      <alignment horizontal="center" vertical="center"/>
    </xf>
    <xf numFmtId="43" fontId="13" fillId="0" borderId="6" xfId="58" applyNumberFormat="1" applyFont="1" applyFill="1" applyBorder="1" applyAlignment="1">
      <alignment horizontal="right" vertical="center"/>
    </xf>
    <xf numFmtId="4" fontId="13" fillId="0" borderId="3" xfId="58" applyNumberFormat="1" applyFont="1" applyFill="1" applyBorder="1" applyAlignment="1">
      <alignment horizontal="right" vertical="center"/>
    </xf>
    <xf numFmtId="0" fontId="0" fillId="0" borderId="0" xfId="0" applyNumberFormat="1" applyFill="1"/>
    <xf numFmtId="4" fontId="150" fillId="0" borderId="0" xfId="0" applyNumberFormat="1" applyFont="1" applyFill="1" applyBorder="1" applyAlignment="1">
      <alignment vertical="center"/>
    </xf>
    <xf numFmtId="4" fontId="150" fillId="0" borderId="85" xfId="0" applyNumberFormat="1" applyFont="1" applyFill="1" applyBorder="1" applyAlignment="1"/>
    <xf numFmtId="0" fontId="0" fillId="2" borderId="0" xfId="0" applyBorder="1"/>
    <xf numFmtId="4" fontId="150" fillId="0" borderId="95" xfId="0" applyNumberFormat="1" applyFont="1" applyFill="1" applyBorder="1" applyAlignment="1">
      <alignment vertical="center"/>
    </xf>
    <xf numFmtId="4" fontId="150" fillId="0" borderId="55" xfId="0" applyNumberFormat="1" applyFont="1" applyFill="1" applyBorder="1" applyAlignment="1">
      <alignment vertical="center"/>
    </xf>
    <xf numFmtId="4" fontId="0" fillId="2" borderId="0" xfId="0" applyNumberFormat="1" applyBorder="1"/>
    <xf numFmtId="0" fontId="151" fillId="6" borderId="54" xfId="0" applyNumberFormat="1" applyFont="1" applyFill="1" applyBorder="1" applyAlignment="1">
      <alignment horizontal="center" vertical="center"/>
    </xf>
    <xf numFmtId="0" fontId="152" fillId="0" borderId="0" xfId="0" applyFont="1" applyFill="1"/>
    <xf numFmtId="0" fontId="152" fillId="2" borderId="0" xfId="0" applyFont="1"/>
    <xf numFmtId="0" fontId="153" fillId="0" borderId="0" xfId="0" applyFont="1" applyFill="1" applyBorder="1" applyAlignment="1">
      <alignment horizontal="left" vertical="center"/>
    </xf>
    <xf numFmtId="0" fontId="40" fillId="5" borderId="61" xfId="34" applyNumberFormat="1" applyFont="1" applyFill="1" applyBorder="1" applyAlignment="1">
      <alignment horizontal="left" vertical="center"/>
    </xf>
    <xf numFmtId="4" fontId="85" fillId="0" borderId="0" xfId="0" applyNumberFormat="1" applyFont="1" applyFill="1" applyAlignment="1">
      <alignment horizontal="right"/>
    </xf>
    <xf numFmtId="0" fontId="19" fillId="0" borderId="0" xfId="58" applyFont="1" applyFill="1" applyBorder="1" applyAlignment="1">
      <alignment horizontal="right" vertical="center"/>
    </xf>
    <xf numFmtId="0" fontId="19" fillId="0" borderId="26" xfId="58" applyFont="1" applyFill="1" applyBorder="1" applyAlignment="1">
      <alignment horizontal="right" vertical="center"/>
    </xf>
    <xf numFmtId="0" fontId="19" fillId="0" borderId="0" xfId="58" applyNumberFormat="1" applyFont="1" applyFill="1" applyBorder="1" applyAlignment="1">
      <alignment horizontal="right" vertical="center"/>
    </xf>
    <xf numFmtId="0" fontId="9" fillId="0" borderId="22" xfId="58" applyFont="1" applyFill="1" applyBorder="1" applyAlignment="1">
      <alignment horizontal="left" vertical="center"/>
    </xf>
    <xf numFmtId="9" fontId="20" fillId="0" borderId="22" xfId="58" applyNumberFormat="1" applyFont="1" applyFill="1" applyBorder="1" applyAlignment="1">
      <alignment horizontal="center" vertical="center"/>
    </xf>
    <xf numFmtId="4" fontId="20" fillId="0" borderId="22" xfId="58" applyNumberFormat="1" applyFont="1" applyFill="1" applyBorder="1" applyAlignment="1">
      <alignment horizontal="center" vertical="center"/>
    </xf>
    <xf numFmtId="4" fontId="20" fillId="15" borderId="22" xfId="58" applyNumberFormat="1" applyFont="1" applyFill="1" applyBorder="1" applyAlignment="1">
      <alignment horizontal="right" vertical="center"/>
    </xf>
    <xf numFmtId="0" fontId="9" fillId="0" borderId="6" xfId="58" applyFont="1" applyFill="1" applyBorder="1" applyAlignment="1">
      <alignment horizontal="center" vertical="center"/>
    </xf>
    <xf numFmtId="0" fontId="9" fillId="0" borderId="56" xfId="58" applyFont="1" applyFill="1" applyBorder="1" applyAlignment="1">
      <alignment horizontal="center" vertical="center"/>
    </xf>
    <xf numFmtId="43" fontId="15" fillId="0" borderId="98" xfId="58" applyNumberFormat="1" applyFont="1" applyFill="1" applyBorder="1" applyAlignment="1">
      <alignment horizontal="right" vertical="center"/>
    </xf>
    <xf numFmtId="0" fontId="9" fillId="6" borderId="106" xfId="58" applyFont="1" applyFill="1" applyBorder="1" applyAlignment="1">
      <alignment horizontal="center" vertical="center"/>
    </xf>
    <xf numFmtId="0" fontId="9" fillId="6" borderId="107" xfId="58" applyFont="1" applyFill="1" applyBorder="1" applyAlignment="1">
      <alignment horizontal="center" vertical="center"/>
    </xf>
    <xf numFmtId="0" fontId="9" fillId="6" borderId="108" xfId="58" applyFont="1" applyFill="1" applyBorder="1" applyAlignment="1">
      <alignment horizontal="center" vertical="center"/>
    </xf>
    <xf numFmtId="0" fontId="9" fillId="5" borderId="109" xfId="58" applyFont="1" applyFill="1" applyBorder="1" applyAlignment="1">
      <alignment vertical="center"/>
    </xf>
    <xf numFmtId="0" fontId="14" fillId="0" borderId="59" xfId="58" applyFont="1" applyFill="1" applyBorder="1" applyAlignment="1">
      <alignment vertical="center" wrapText="1"/>
    </xf>
    <xf numFmtId="0" fontId="15" fillId="0" borderId="109" xfId="58" applyFont="1" applyFill="1" applyBorder="1" applyAlignment="1">
      <alignment horizontal="center" vertical="center"/>
    </xf>
    <xf numFmtId="4" fontId="15" fillId="7" borderId="3" xfId="58" applyNumberFormat="1" applyFont="1" applyFill="1" applyBorder="1" applyAlignment="1">
      <alignment horizontal="right" vertical="center"/>
    </xf>
    <xf numFmtId="0" fontId="14" fillId="5" borderId="59" xfId="58" applyFont="1" applyFill="1" applyBorder="1" applyAlignment="1">
      <alignment vertical="center"/>
    </xf>
    <xf numFmtId="0" fontId="9" fillId="5" borderId="109" xfId="58" applyFont="1" applyFill="1" applyBorder="1" applyAlignment="1">
      <alignment horizontal="center" vertical="center"/>
    </xf>
    <xf numFmtId="0" fontId="13" fillId="5" borderId="59" xfId="58" applyFont="1" applyFill="1" applyBorder="1" applyAlignment="1">
      <alignment vertical="center"/>
    </xf>
    <xf numFmtId="0" fontId="16" fillId="5" borderId="59" xfId="58" applyFont="1" applyFill="1" applyBorder="1" applyAlignment="1">
      <alignment vertical="center"/>
    </xf>
    <xf numFmtId="0" fontId="23" fillId="5" borderId="109" xfId="58" applyNumberFormat="1" applyFill="1" applyBorder="1" applyAlignment="1">
      <alignment vertical="center"/>
    </xf>
    <xf numFmtId="0" fontId="13" fillId="5" borderId="59" xfId="58" applyFont="1" applyFill="1" applyBorder="1" applyAlignment="1"/>
    <xf numFmtId="0" fontId="143" fillId="13" borderId="109" xfId="58" applyFont="1" applyFill="1" applyBorder="1" applyAlignment="1">
      <alignment horizontal="center" vertical="center"/>
    </xf>
    <xf numFmtId="0" fontId="16" fillId="0" borderId="59" xfId="58" applyFont="1" applyFill="1" applyBorder="1" applyAlignment="1">
      <alignment vertical="center"/>
    </xf>
    <xf numFmtId="0" fontId="12" fillId="0" borderId="3" xfId="58" applyNumberFormat="1" applyFont="1" applyFill="1" applyBorder="1" applyAlignment="1">
      <alignment vertical="center"/>
    </xf>
    <xf numFmtId="0" fontId="15" fillId="0" borderId="110" xfId="58" applyFont="1" applyFill="1" applyBorder="1" applyAlignment="1">
      <alignment horizontal="center" vertical="center"/>
    </xf>
    <xf numFmtId="4" fontId="15" fillId="7" borderId="60" xfId="58" applyNumberFormat="1" applyFont="1" applyFill="1" applyBorder="1" applyAlignment="1">
      <alignment horizontal="right" vertical="center"/>
    </xf>
    <xf numFmtId="4" fontId="15" fillId="7" borderId="60" xfId="58" applyNumberFormat="1" applyFont="1" applyFill="1" applyBorder="1" applyAlignment="1">
      <alignment vertical="center"/>
    </xf>
    <xf numFmtId="43" fontId="15" fillId="0" borderId="6" xfId="58" applyNumberFormat="1" applyFont="1" applyFill="1" applyBorder="1" applyAlignment="1">
      <alignment horizontal="right" vertical="center"/>
    </xf>
    <xf numFmtId="43" fontId="15" fillId="0" borderId="56" xfId="58" applyNumberFormat="1" applyFont="1" applyFill="1" applyBorder="1" applyAlignment="1">
      <alignment horizontal="right" vertical="center"/>
    </xf>
    <xf numFmtId="0" fontId="59" fillId="13" borderId="10" xfId="0" applyNumberFormat="1" applyFont="1" applyFill="1" applyBorder="1" applyAlignment="1">
      <alignment horizontal="left" vertical="center" wrapText="1"/>
    </xf>
    <xf numFmtId="165" fontId="38" fillId="22" borderId="10" xfId="58" applyNumberFormat="1" applyFont="1" applyFill="1" applyBorder="1" applyAlignment="1">
      <alignment vertical="center" wrapText="1"/>
    </xf>
    <xf numFmtId="0" fontId="38" fillId="22" borderId="65" xfId="58" applyFont="1" applyFill="1" applyBorder="1" applyAlignment="1">
      <alignment vertical="center" wrapText="1"/>
    </xf>
    <xf numFmtId="165" fontId="25" fillId="22" borderId="10" xfId="58" applyNumberFormat="1" applyFont="1" applyFill="1" applyBorder="1" applyAlignment="1">
      <alignment vertical="center"/>
    </xf>
    <xf numFmtId="10" fontId="5" fillId="5" borderId="0" xfId="58" applyNumberFormat="1" applyFont="1" applyFill="1" applyAlignment="1">
      <alignment horizontal="left" vertical="center"/>
    </xf>
    <xf numFmtId="10" fontId="7" fillId="5" borderId="0" xfId="58" applyNumberFormat="1" applyFont="1" applyFill="1" applyAlignment="1">
      <alignment vertical="center"/>
    </xf>
    <xf numFmtId="10" fontId="8" fillId="5" borderId="0" xfId="58" applyNumberFormat="1" applyFont="1" applyFill="1" applyAlignment="1">
      <alignment horizontal="left"/>
    </xf>
    <xf numFmtId="10" fontId="12" fillId="5" borderId="3" xfId="58" applyNumberFormat="1" applyFont="1" applyFill="1" applyBorder="1" applyAlignment="1">
      <alignment horizontal="center" vertical="center"/>
    </xf>
    <xf numFmtId="10" fontId="15" fillId="7" borderId="3" xfId="58" applyNumberFormat="1" applyFont="1" applyFill="1" applyBorder="1" applyAlignment="1">
      <alignment horizontal="right" vertical="center"/>
    </xf>
    <xf numFmtId="10" fontId="15" fillId="7" borderId="60" xfId="58" applyNumberFormat="1" applyFont="1" applyFill="1" applyBorder="1" applyAlignment="1">
      <alignment horizontal="right" vertical="center"/>
    </xf>
    <xf numFmtId="10" fontId="19" fillId="0" borderId="0" xfId="58" applyNumberFormat="1" applyFont="1" applyFill="1" applyBorder="1" applyAlignment="1">
      <alignment horizontal="right" vertical="center"/>
    </xf>
    <xf numFmtId="10" fontId="42" fillId="0" borderId="0" xfId="58" applyNumberFormat="1" applyFont="1" applyFill="1" applyBorder="1" applyAlignment="1">
      <alignment horizontal="left" vertical="center"/>
    </xf>
    <xf numFmtId="10" fontId="19" fillId="5" borderId="0" xfId="58" applyNumberFormat="1" applyFont="1" applyFill="1" applyAlignment="1">
      <alignment horizontal="center"/>
    </xf>
    <xf numFmtId="10" fontId="19" fillId="0" borderId="0" xfId="58" applyNumberFormat="1" applyFont="1" applyFill="1" applyBorder="1" applyAlignment="1">
      <alignment horizontal="left" vertical="center" indent="15"/>
    </xf>
    <xf numFmtId="10" fontId="13" fillId="5" borderId="3" xfId="58" applyNumberFormat="1" applyFont="1" applyFill="1" applyBorder="1" applyAlignment="1">
      <alignment horizontal="center" vertical="center"/>
    </xf>
    <xf numFmtId="10" fontId="19" fillId="0" borderId="0" xfId="58" applyNumberFormat="1" applyFont="1" applyFill="1" applyBorder="1" applyAlignment="1">
      <alignment horizontal="center" vertical="center"/>
    </xf>
    <xf numFmtId="10" fontId="19" fillId="5" borderId="0" xfId="58" applyNumberFormat="1" applyFont="1" applyFill="1"/>
    <xf numFmtId="10" fontId="119" fillId="13" borderId="10" xfId="2" applyNumberFormat="1" applyFont="1" applyFill="1" applyBorder="1" applyAlignment="1">
      <alignment horizontal="center" vertical="center"/>
    </xf>
    <xf numFmtId="10" fontId="59" fillId="13" borderId="10" xfId="76" applyNumberFormat="1" applyFont="1" applyFill="1" applyBorder="1" applyAlignment="1">
      <alignment horizontal="center" vertical="center"/>
    </xf>
    <xf numFmtId="10" fontId="59" fillId="0" borderId="10" xfId="76" applyNumberFormat="1" applyFont="1" applyFill="1" applyBorder="1" applyAlignment="1">
      <alignment horizontal="center" vertical="center"/>
    </xf>
    <xf numFmtId="10" fontId="56" fillId="0" borderId="0" xfId="0" applyNumberFormat="1" applyFont="1" applyFill="1"/>
    <xf numFmtId="10" fontId="59" fillId="0" borderId="0" xfId="0" applyNumberFormat="1" applyFont="1" applyFill="1"/>
    <xf numFmtId="10" fontId="138" fillId="18" borderId="0" xfId="0" applyNumberFormat="1" applyFont="1" applyFill="1"/>
    <xf numFmtId="10" fontId="58" fillId="6" borderId="8" xfId="76" applyNumberFormat="1" applyFont="1" applyFill="1" applyBorder="1" applyAlignment="1">
      <alignment horizontal="center" vertical="center" wrapText="1"/>
    </xf>
    <xf numFmtId="10" fontId="62" fillId="0" borderId="63" xfId="0" applyNumberFormat="1" applyFont="1" applyFill="1" applyBorder="1"/>
    <xf numFmtId="10" fontId="58" fillId="6" borderId="8" xfId="76" applyNumberFormat="1" applyFont="1" applyFill="1" applyBorder="1" applyAlignment="1">
      <alignment horizontal="center" vertical="center"/>
    </xf>
    <xf numFmtId="10" fontId="61" fillId="0" borderId="0" xfId="0" applyNumberFormat="1" applyFont="1" applyFill="1" applyBorder="1" applyAlignment="1">
      <alignment horizontal="left" vertical="center"/>
    </xf>
    <xf numFmtId="10" fontId="61" fillId="0" borderId="10" xfId="34" applyNumberFormat="1" applyFont="1" applyFill="1" applyBorder="1" applyAlignment="1">
      <alignment horizontal="left" vertical="center" wrapText="1"/>
    </xf>
    <xf numFmtId="10" fontId="61" fillId="0" borderId="9" xfId="0" applyNumberFormat="1" applyFont="1" applyFill="1" applyBorder="1" applyAlignment="1">
      <alignment horizontal="left" vertical="center"/>
    </xf>
    <xf numFmtId="10" fontId="61" fillId="0" borderId="10" xfId="76" applyNumberFormat="1" applyFont="1" applyFill="1" applyBorder="1" applyAlignment="1">
      <alignment horizontal="center" vertical="center"/>
    </xf>
    <xf numFmtId="10" fontId="62" fillId="0" borderId="64" xfId="0" applyNumberFormat="1" applyFont="1" applyFill="1" applyBorder="1" applyAlignment="1"/>
    <xf numFmtId="10" fontId="59" fillId="5" borderId="0" xfId="0" applyNumberFormat="1" applyFont="1" applyFill="1" applyAlignment="1">
      <alignment vertical="center"/>
    </xf>
    <xf numFmtId="4" fontId="143" fillId="13" borderId="3" xfId="58" applyNumberFormat="1" applyFont="1" applyFill="1" applyBorder="1" applyAlignment="1">
      <alignment vertical="center"/>
    </xf>
    <xf numFmtId="15" fontId="143" fillId="13" borderId="13" xfId="58" applyNumberFormat="1" applyFont="1" applyFill="1" applyBorder="1" applyAlignment="1">
      <alignment horizontal="center" vertical="center"/>
    </xf>
    <xf numFmtId="4" fontId="13" fillId="0" borderId="13" xfId="58" applyNumberFormat="1" applyFont="1" applyFill="1" applyBorder="1" applyAlignment="1">
      <alignment horizontal="right" vertical="center"/>
    </xf>
    <xf numFmtId="43" fontId="5" fillId="5" borderId="0" xfId="58" applyNumberFormat="1" applyFont="1" applyFill="1" applyAlignment="1">
      <alignment horizontal="center" vertical="center"/>
    </xf>
    <xf numFmtId="43" fontId="7" fillId="5" borderId="0" xfId="58" applyNumberFormat="1" applyFont="1" applyFill="1" applyAlignment="1">
      <alignment horizontal="center" vertical="center"/>
    </xf>
    <xf numFmtId="43" fontId="8" fillId="5" borderId="0" xfId="58" applyNumberFormat="1" applyFont="1" applyFill="1" applyBorder="1" applyAlignment="1">
      <alignment horizontal="center"/>
    </xf>
    <xf numFmtId="0" fontId="13" fillId="0" borderId="3" xfId="58" applyFont="1" applyFill="1" applyBorder="1" applyAlignment="1">
      <alignment horizontal="center" vertical="center"/>
    </xf>
    <xf numFmtId="0" fontId="13" fillId="0" borderId="3" xfId="58" applyFont="1" applyFill="1" applyBorder="1" applyAlignment="1">
      <alignment horizontal="center" vertical="center" wrapText="1"/>
    </xf>
    <xf numFmtId="4" fontId="15" fillId="7" borderId="3" xfId="58" applyNumberFormat="1" applyFont="1" applyFill="1" applyBorder="1" applyAlignment="1">
      <alignment horizontal="center" vertical="center"/>
    </xf>
    <xf numFmtId="0" fontId="12" fillId="8" borderId="3" xfId="58" applyNumberFormat="1" applyFont="1" applyFill="1" applyBorder="1" applyAlignment="1">
      <alignment horizontal="center" vertical="center"/>
    </xf>
    <xf numFmtId="0" fontId="12" fillId="0" borderId="3" xfId="58" applyNumberFormat="1" applyFont="1" applyFill="1" applyBorder="1" applyAlignment="1">
      <alignment horizontal="center" vertical="center"/>
    </xf>
    <xf numFmtId="4" fontId="15" fillId="7" borderId="60" xfId="58" applyNumberFormat="1" applyFont="1" applyFill="1" applyBorder="1" applyAlignment="1">
      <alignment horizontal="center" vertical="center"/>
    </xf>
    <xf numFmtId="0" fontId="94" fillId="0" borderId="0" xfId="58" applyFont="1" applyFill="1" applyBorder="1" applyAlignment="1">
      <alignment horizontal="center" vertical="center"/>
    </xf>
    <xf numFmtId="43" fontId="17" fillId="13" borderId="0" xfId="2" applyFont="1" applyFill="1" applyBorder="1" applyAlignment="1">
      <alignment horizontal="center" vertical="center"/>
    </xf>
    <xf numFmtId="0" fontId="0" fillId="2" borderId="0" xfId="0" applyAlignment="1">
      <alignment horizontal="center"/>
    </xf>
    <xf numFmtId="43" fontId="61" fillId="0" borderId="0" xfId="0" applyNumberFormat="1" applyFont="1" applyFill="1" applyBorder="1" applyAlignment="1">
      <alignment vertical="center"/>
    </xf>
    <xf numFmtId="43" fontId="61" fillId="0" borderId="0" xfId="0" applyNumberFormat="1" applyFont="1" applyFill="1" applyBorder="1" applyAlignment="1">
      <alignment vertical="center" wrapText="1"/>
    </xf>
    <xf numFmtId="9" fontId="20" fillId="0" borderId="23" xfId="58" applyNumberFormat="1" applyFont="1" applyFill="1" applyBorder="1" applyAlignment="1">
      <alignment horizontal="center" vertical="center"/>
    </xf>
    <xf numFmtId="4" fontId="20" fillId="0" borderId="19" xfId="58" applyNumberFormat="1" applyFont="1" applyFill="1" applyBorder="1" applyAlignment="1">
      <alignment vertical="center"/>
    </xf>
    <xf numFmtId="4" fontId="20" fillId="0" borderId="23" xfId="58" applyNumberFormat="1" applyFont="1" applyFill="1" applyBorder="1" applyAlignment="1">
      <alignment horizontal="center" vertical="center"/>
    </xf>
    <xf numFmtId="15" fontId="20" fillId="0" borderId="23" xfId="58" applyNumberFormat="1" applyFont="1" applyFill="1" applyBorder="1" applyAlignment="1">
      <alignment horizontal="center" vertical="center"/>
    </xf>
    <xf numFmtId="4" fontId="30" fillId="0" borderId="0" xfId="0" applyNumberFormat="1" applyFont="1" applyFill="1" applyBorder="1" applyAlignment="1">
      <alignment vertical="center"/>
    </xf>
    <xf numFmtId="10" fontId="77" fillId="0" borderId="0" xfId="72" applyNumberFormat="1" applyFont="1" applyFill="1"/>
    <xf numFmtId="10" fontId="56" fillId="0" borderId="0" xfId="72" applyNumberFormat="1" applyFont="1" applyFill="1"/>
    <xf numFmtId="10" fontId="58" fillId="0" borderId="54" xfId="72" applyNumberFormat="1" applyFont="1" applyFill="1" applyBorder="1" applyAlignment="1">
      <alignment horizontal="center" vertical="center"/>
    </xf>
    <xf numFmtId="10" fontId="59" fillId="0" borderId="71" xfId="72" applyNumberFormat="1" applyFont="1" applyFill="1" applyBorder="1" applyAlignment="1">
      <alignment horizontal="center" vertical="center"/>
    </xf>
    <xf numFmtId="10" fontId="83" fillId="16" borderId="69" xfId="34" applyNumberFormat="1" applyFont="1" applyFill="1" applyBorder="1" applyAlignment="1">
      <alignment horizontal="left" vertical="center"/>
    </xf>
    <xf numFmtId="10" fontId="25" fillId="5" borderId="0" xfId="34" applyNumberFormat="1" applyFont="1" applyFill="1" applyBorder="1" applyAlignment="1">
      <alignment horizontal="left" vertical="center"/>
    </xf>
    <xf numFmtId="10" fontId="59" fillId="5" borderId="34" xfId="34" applyNumberFormat="1" applyFont="1" applyFill="1" applyBorder="1" applyAlignment="1">
      <alignment horizontal="left" vertical="center"/>
    </xf>
    <xf numFmtId="10" fontId="58" fillId="5" borderId="34" xfId="34" applyNumberFormat="1" applyFont="1" applyFill="1" applyBorder="1" applyAlignment="1">
      <alignment horizontal="left" vertical="center"/>
    </xf>
    <xf numFmtId="10" fontId="25" fillId="5" borderId="37" xfId="34" applyNumberFormat="1" applyFont="1" applyFill="1" applyBorder="1" applyAlignment="1">
      <alignment horizontal="left" vertical="center"/>
    </xf>
    <xf numFmtId="10" fontId="27" fillId="5" borderId="0" xfId="34" applyNumberFormat="1" applyFont="1" applyFill="1" applyBorder="1" applyAlignment="1">
      <alignment horizontal="left" vertical="center"/>
    </xf>
    <xf numFmtId="10" fontId="59" fillId="5" borderId="0" xfId="34" applyNumberFormat="1" applyFont="1" applyFill="1" applyBorder="1" applyAlignment="1">
      <alignment horizontal="left" vertical="center"/>
    </xf>
    <xf numFmtId="10" fontId="59" fillId="5" borderId="37" xfId="34" applyNumberFormat="1" applyFont="1" applyFill="1" applyBorder="1" applyAlignment="1">
      <alignment horizontal="left" vertical="center"/>
    </xf>
    <xf numFmtId="10" fontId="58" fillId="5" borderId="0" xfId="34" applyNumberFormat="1" applyFont="1" applyFill="1" applyBorder="1" applyAlignment="1">
      <alignment horizontal="left" vertical="center"/>
    </xf>
    <xf numFmtId="10" fontId="59" fillId="16" borderId="37" xfId="34" applyNumberFormat="1" applyFont="1" applyFill="1" applyBorder="1" applyAlignment="1">
      <alignment horizontal="left" vertical="center"/>
    </xf>
    <xf numFmtId="10" fontId="59" fillId="5" borderId="42" xfId="34" applyNumberFormat="1" applyFont="1" applyFill="1" applyBorder="1" applyAlignment="1">
      <alignment horizontal="left" vertical="center"/>
    </xf>
    <xf numFmtId="10" fontId="59" fillId="0" borderId="34" xfId="34" applyNumberFormat="1" applyFont="1" applyFill="1" applyBorder="1" applyAlignment="1">
      <alignment horizontal="left" vertical="center"/>
    </xf>
    <xf numFmtId="10" fontId="58" fillId="5" borderId="42" xfId="34" applyNumberFormat="1" applyFont="1" applyFill="1" applyBorder="1" applyAlignment="1">
      <alignment horizontal="left" vertical="center"/>
    </xf>
    <xf numFmtId="10" fontId="61" fillId="5" borderId="42" xfId="34" applyNumberFormat="1" applyFont="1" applyFill="1" applyBorder="1" applyAlignment="1">
      <alignment horizontal="center" vertical="center"/>
    </xf>
    <xf numFmtId="10" fontId="61" fillId="5" borderId="0" xfId="34" applyNumberFormat="1" applyFont="1" applyFill="1" applyBorder="1" applyAlignment="1">
      <alignment horizontal="center" vertical="center"/>
    </xf>
    <xf numFmtId="10" fontId="58" fillId="5" borderId="53" xfId="34" applyNumberFormat="1" applyFont="1" applyFill="1" applyBorder="1" applyAlignment="1">
      <alignment horizontal="left" vertical="center"/>
    </xf>
    <xf numFmtId="10" fontId="58" fillId="0" borderId="34" xfId="34" applyNumberFormat="1" applyFont="1" applyFill="1" applyBorder="1" applyAlignment="1">
      <alignment horizontal="left" vertical="center"/>
    </xf>
    <xf numFmtId="10" fontId="58" fillId="0" borderId="53" xfId="34" applyNumberFormat="1" applyFont="1" applyFill="1" applyBorder="1" applyAlignment="1">
      <alignment horizontal="left" vertical="center"/>
    </xf>
    <xf numFmtId="10" fontId="58" fillId="5" borderId="62" xfId="34" applyNumberFormat="1" applyFont="1" applyFill="1" applyBorder="1" applyAlignment="1">
      <alignment horizontal="left" vertical="center"/>
    </xf>
    <xf numFmtId="10" fontId="58" fillId="5" borderId="77" xfId="34" applyNumberFormat="1" applyFont="1" applyFill="1" applyBorder="1" applyAlignment="1">
      <alignment horizontal="left" vertical="center"/>
    </xf>
    <xf numFmtId="10" fontId="113" fillId="5" borderId="32" xfId="34" applyNumberFormat="1" applyFont="1" applyFill="1" applyBorder="1" applyAlignment="1">
      <alignment horizontal="left" vertical="center"/>
    </xf>
    <xf numFmtId="10" fontId="61" fillId="5" borderId="0" xfId="34" applyNumberFormat="1" applyFont="1" applyFill="1" applyBorder="1" applyAlignment="1">
      <alignment vertical="center"/>
    </xf>
    <xf numFmtId="10" fontId="25" fillId="0" borderId="10" xfId="0" applyNumberFormat="1" applyFont="1" applyFill="1" applyBorder="1" applyAlignment="1">
      <alignment horizontal="center"/>
    </xf>
    <xf numFmtId="0" fontId="23" fillId="0" borderId="9" xfId="0" applyFont="1" applyFill="1" applyBorder="1"/>
    <xf numFmtId="0" fontId="23" fillId="2" borderId="0" xfId="0" applyFont="1" applyBorder="1"/>
    <xf numFmtId="0" fontId="55" fillId="2" borderId="9" xfId="0" applyFont="1" applyBorder="1"/>
    <xf numFmtId="0" fontId="23" fillId="2" borderId="9" xfId="0" applyFont="1" applyBorder="1"/>
    <xf numFmtId="37" fontId="70" fillId="0" borderId="10" xfId="34" applyNumberFormat="1" applyFont="1" applyFill="1" applyBorder="1" applyAlignment="1">
      <alignment horizontal="center" vertical="center"/>
    </xf>
    <xf numFmtId="43" fontId="70" fillId="0" borderId="10" xfId="2" applyFont="1" applyFill="1" applyBorder="1" applyAlignment="1">
      <alignment horizontal="center" vertical="center"/>
    </xf>
    <xf numFmtId="43" fontId="70" fillId="0" borderId="10" xfId="2" applyFont="1" applyFill="1" applyBorder="1" applyAlignment="1">
      <alignment horizontal="right" vertical="center"/>
    </xf>
    <xf numFmtId="0" fontId="59" fillId="0" borderId="67" xfId="34" applyNumberFormat="1" applyFont="1" applyFill="1" applyBorder="1" applyAlignment="1">
      <alignment horizontal="left" vertical="center"/>
    </xf>
    <xf numFmtId="0" fontId="59" fillId="5" borderId="36" xfId="34" applyNumberFormat="1" applyFont="1" applyFill="1" applyBorder="1" applyAlignment="1">
      <alignment horizontal="left" vertical="center"/>
    </xf>
    <xf numFmtId="0" fontId="59" fillId="5" borderId="40" xfId="34" applyNumberFormat="1" applyFont="1" applyFill="1" applyBorder="1" applyAlignment="1">
      <alignment horizontal="left" vertical="center"/>
    </xf>
    <xf numFmtId="0" fontId="58" fillId="5" borderId="84" xfId="34" applyNumberFormat="1" applyFont="1" applyFill="1" applyBorder="1" applyAlignment="1">
      <alignment horizontal="left" vertical="center"/>
    </xf>
    <xf numFmtId="0" fontId="70" fillId="0" borderId="0" xfId="34" applyNumberFormat="1" applyFont="1" applyFill="1" applyBorder="1" applyAlignment="1">
      <alignment horizontal="center" vertical="center"/>
    </xf>
    <xf numFmtId="0" fontId="152" fillId="2" borderId="9" xfId="0" applyFont="1" applyBorder="1"/>
    <xf numFmtId="10" fontId="15" fillId="7" borderId="3" xfId="58" applyNumberFormat="1" applyFont="1" applyFill="1" applyBorder="1" applyAlignment="1">
      <alignment horizontal="center" vertical="center"/>
    </xf>
    <xf numFmtId="0" fontId="13" fillId="0" borderId="109" xfId="58" applyFont="1" applyFill="1" applyBorder="1" applyAlignment="1">
      <alignment horizontal="center" vertical="center"/>
    </xf>
    <xf numFmtId="0" fontId="59" fillId="0" borderId="35" xfId="34" applyNumberFormat="1" applyFont="1" applyFill="1" applyBorder="1" applyAlignment="1">
      <alignment horizontal="left" vertical="center"/>
    </xf>
    <xf numFmtId="10" fontId="52" fillId="2" borderId="10" xfId="0" applyNumberFormat="1" applyFont="1" applyBorder="1" applyAlignment="1">
      <alignment horizontal="center" vertical="center"/>
    </xf>
    <xf numFmtId="10" fontId="52" fillId="5" borderId="64" xfId="76" applyNumberFormat="1" applyFont="1" applyFill="1" applyBorder="1" applyAlignment="1">
      <alignment horizontal="center" vertical="center"/>
    </xf>
    <xf numFmtId="43" fontId="141" fillId="2" borderId="63" xfId="0" applyNumberFormat="1" applyFont="1" applyBorder="1" applyAlignment="1">
      <alignment horizontal="center" vertical="center"/>
    </xf>
    <xf numFmtId="10" fontId="9" fillId="6" borderId="107" xfId="58" applyNumberFormat="1" applyFont="1" applyFill="1" applyBorder="1" applyAlignment="1">
      <alignment horizontal="center" vertical="center" wrapText="1"/>
    </xf>
    <xf numFmtId="0" fontId="143" fillId="5" borderId="0" xfId="0" applyFont="1" applyFill="1"/>
    <xf numFmtId="43" fontId="13" fillId="13" borderId="0" xfId="2" applyFont="1" applyFill="1" applyBorder="1" applyAlignment="1">
      <alignment vertical="center"/>
    </xf>
    <xf numFmtId="43" fontId="13" fillId="13" borderId="0" xfId="2" applyFont="1" applyFill="1" applyBorder="1" applyAlignment="1">
      <alignment horizontal="center" vertical="center"/>
    </xf>
    <xf numFmtId="10" fontId="9" fillId="0" borderId="0" xfId="58" applyNumberFormat="1" applyFont="1" applyFill="1" applyBorder="1" applyAlignment="1">
      <alignment horizontal="left" vertical="center" indent="15"/>
    </xf>
    <xf numFmtId="39" fontId="59" fillId="13" borderId="10" xfId="34" quotePrefix="1" applyNumberFormat="1" applyFont="1" applyFill="1" applyBorder="1" applyAlignment="1">
      <alignment horizontal="left" vertical="center" wrapText="1"/>
    </xf>
    <xf numFmtId="0" fontId="59" fillId="13" borderId="10" xfId="2" applyNumberFormat="1" applyFont="1" applyFill="1" applyBorder="1" applyAlignment="1">
      <alignment horizontal="center" vertical="center"/>
    </xf>
    <xf numFmtId="0" fontId="143" fillId="13" borderId="0" xfId="0" applyFont="1" applyFill="1"/>
    <xf numFmtId="39" fontId="113" fillId="13" borderId="10" xfId="34" applyNumberFormat="1" applyFont="1" applyFill="1" applyBorder="1" applyAlignment="1">
      <alignment horizontal="left" vertical="center" wrapText="1"/>
    </xf>
    <xf numFmtId="0" fontId="9" fillId="6" borderId="107" xfId="58" applyNumberFormat="1" applyFont="1" applyFill="1" applyBorder="1" applyAlignment="1">
      <alignment horizontal="center" vertical="center"/>
    </xf>
    <xf numFmtId="43" fontId="154" fillId="13" borderId="0" xfId="58" applyNumberFormat="1" applyFont="1" applyFill="1" applyAlignment="1">
      <alignment horizontal="left" vertical="center"/>
    </xf>
    <xf numFmtId="43" fontId="155" fillId="13" borderId="0" xfId="58" applyNumberFormat="1" applyFont="1" applyFill="1" applyAlignment="1">
      <alignment vertical="center"/>
    </xf>
    <xf numFmtId="43" fontId="156" fillId="13" borderId="0" xfId="58" applyNumberFormat="1" applyFont="1" applyFill="1" applyAlignment="1">
      <alignment horizontal="left"/>
    </xf>
    <xf numFmtId="4" fontId="13" fillId="13" borderId="3" xfId="58" applyNumberFormat="1" applyFont="1" applyFill="1" applyBorder="1" applyAlignment="1">
      <alignment horizontal="right" vertical="center"/>
    </xf>
    <xf numFmtId="4" fontId="15" fillId="13" borderId="3" xfId="58" applyNumberFormat="1" applyFont="1" applyFill="1" applyBorder="1" applyAlignment="1">
      <alignment vertical="center"/>
    </xf>
    <xf numFmtId="4" fontId="13" fillId="13" borderId="0" xfId="58" applyNumberFormat="1" applyFont="1" applyFill="1" applyBorder="1" applyAlignment="1">
      <alignment vertical="center"/>
    </xf>
    <xf numFmtId="4" fontId="16" fillId="13" borderId="3" xfId="58" applyNumberFormat="1" applyFont="1" applyFill="1" applyBorder="1" applyAlignment="1">
      <alignment vertical="center"/>
    </xf>
    <xf numFmtId="4" fontId="17" fillId="13" borderId="0" xfId="58" applyNumberFormat="1" applyFont="1" applyFill="1" applyBorder="1" applyAlignment="1">
      <alignment vertical="center"/>
    </xf>
    <xf numFmtId="4" fontId="43" fillId="13" borderId="0" xfId="58" applyNumberFormat="1" applyFont="1" applyFill="1" applyBorder="1" applyAlignment="1">
      <alignment vertical="center"/>
    </xf>
    <xf numFmtId="0" fontId="23" fillId="19" borderId="0" xfId="0" applyFont="1" applyFill="1"/>
    <xf numFmtId="4" fontId="23" fillId="13" borderId="0" xfId="58" applyNumberFormat="1" applyFont="1" applyFill="1"/>
    <xf numFmtId="0" fontId="19" fillId="5" borderId="46" xfId="34" applyNumberFormat="1" applyFont="1" applyFill="1" applyBorder="1" applyAlignment="1">
      <alignment horizontal="left" vertical="center"/>
    </xf>
    <xf numFmtId="0" fontId="59" fillId="0" borderId="34" xfId="34" applyNumberFormat="1" applyFont="1" applyFill="1" applyBorder="1" applyAlignment="1" applyProtection="1">
      <alignment horizontal="left" vertical="center"/>
    </xf>
    <xf numFmtId="0" fontId="152" fillId="0" borderId="0" xfId="0" applyFont="1" applyFill="1" applyBorder="1"/>
    <xf numFmtId="43" fontId="141" fillId="2" borderId="50" xfId="0" applyNumberFormat="1" applyFont="1" applyBorder="1" applyAlignment="1">
      <alignment horizontal="center" vertical="center"/>
    </xf>
    <xf numFmtId="10" fontId="141" fillId="2" borderId="63" xfId="0" applyNumberFormat="1" applyFont="1" applyBorder="1" applyAlignment="1">
      <alignment horizontal="left" vertical="center"/>
    </xf>
    <xf numFmtId="10" fontId="52" fillId="2" borderId="53" xfId="0" applyNumberFormat="1" applyFont="1" applyBorder="1" applyAlignment="1">
      <alignment horizontal="center" vertical="center"/>
    </xf>
    <xf numFmtId="0" fontId="70" fillId="0" borderId="65" xfId="34" applyNumberFormat="1" applyFont="1" applyFill="1" applyBorder="1" applyAlignment="1">
      <alignment horizontal="center" vertical="center"/>
    </xf>
    <xf numFmtId="0" fontId="20" fillId="0" borderId="0" xfId="58" applyNumberFormat="1" applyFont="1" applyFill="1" applyBorder="1" applyAlignment="1">
      <alignment horizontal="right" vertical="center"/>
    </xf>
    <xf numFmtId="0" fontId="70" fillId="0" borderId="10" xfId="0" applyFont="1" applyFill="1" applyBorder="1" applyAlignment="1">
      <alignment horizontal="left" vertical="center" wrapText="1"/>
    </xf>
    <xf numFmtId="0" fontId="59" fillId="0" borderId="34" xfId="58" applyFont="1" applyFill="1" applyBorder="1" applyAlignment="1">
      <alignment horizontal="left" vertical="center"/>
    </xf>
    <xf numFmtId="0" fontId="60" fillId="0" borderId="34" xfId="0" applyFont="1" applyFill="1" applyBorder="1" applyAlignment="1">
      <alignment horizontal="left" vertical="center"/>
    </xf>
    <xf numFmtId="0" fontId="61" fillId="5" borderId="32" xfId="34" applyNumberFormat="1" applyFont="1" applyFill="1" applyBorder="1" applyAlignment="1">
      <alignment horizontal="center" vertical="center"/>
    </xf>
    <xf numFmtId="0" fontId="27" fillId="0" borderId="16" xfId="58" applyFont="1" applyFill="1" applyBorder="1" applyAlignment="1">
      <alignment horizontal="left" vertical="center"/>
    </xf>
    <xf numFmtId="0" fontId="121" fillId="0" borderId="10" xfId="0" applyFont="1" applyFill="1" applyBorder="1"/>
    <xf numFmtId="0" fontId="143" fillId="0" borderId="0" xfId="0" applyFont="1" applyFill="1"/>
    <xf numFmtId="0" fontId="113" fillId="5" borderId="34" xfId="34" applyNumberFormat="1" applyFont="1" applyFill="1" applyBorder="1" applyAlignment="1">
      <alignment horizontal="left" vertical="center" wrapText="1"/>
    </xf>
    <xf numFmtId="0" fontId="113" fillId="5" borderId="34" xfId="34" applyNumberFormat="1" applyFont="1" applyFill="1" applyBorder="1" applyAlignment="1">
      <alignment horizontal="left" vertical="center"/>
    </xf>
    <xf numFmtId="10" fontId="113" fillId="5" borderId="34" xfId="34" applyNumberFormat="1" applyFont="1" applyFill="1" applyBorder="1" applyAlignment="1">
      <alignment horizontal="left" vertical="center"/>
    </xf>
    <xf numFmtId="43" fontId="113" fillId="5" borderId="34" xfId="2" applyFont="1" applyFill="1" applyBorder="1" applyAlignment="1">
      <alignment horizontal="left" vertical="center"/>
    </xf>
    <xf numFmtId="9" fontId="113" fillId="5" borderId="34" xfId="72" applyFont="1" applyFill="1" applyBorder="1" applyAlignment="1">
      <alignment horizontal="left" vertical="center"/>
    </xf>
    <xf numFmtId="0" fontId="113" fillId="5" borderId="47" xfId="34" applyNumberFormat="1" applyFont="1" applyFill="1" applyBorder="1" applyAlignment="1">
      <alignment horizontal="left" vertical="center"/>
    </xf>
    <xf numFmtId="0" fontId="157" fillId="0" borderId="10" xfId="0" applyFont="1" applyFill="1" applyBorder="1" applyAlignment="1">
      <alignment horizontal="right" vertical="center"/>
    </xf>
    <xf numFmtId="10" fontId="116" fillId="0" borderId="10" xfId="0" applyNumberFormat="1" applyFont="1" applyFill="1" applyBorder="1"/>
    <xf numFmtId="9" fontId="113" fillId="0" borderId="10" xfId="76" applyFont="1" applyFill="1" applyBorder="1" applyAlignment="1">
      <alignment horizontal="center"/>
    </xf>
    <xf numFmtId="0" fontId="113" fillId="0" borderId="10" xfId="0" applyNumberFormat="1" applyFont="1" applyFill="1" applyBorder="1"/>
    <xf numFmtId="0" fontId="63" fillId="0" borderId="10" xfId="0" applyNumberFormat="1" applyFont="1" applyFill="1" applyBorder="1" applyAlignment="1">
      <alignment horizontal="center" vertical="center"/>
    </xf>
    <xf numFmtId="10" fontId="61" fillId="0" borderId="10" xfId="0" applyNumberFormat="1" applyFont="1" applyFill="1" applyBorder="1" applyAlignment="1">
      <alignment horizontal="left" vertical="center"/>
    </xf>
    <xf numFmtId="9" fontId="63" fillId="0" borderId="10" xfId="76" applyFont="1" applyFill="1" applyBorder="1" applyAlignment="1">
      <alignment horizontal="center" vertical="center"/>
    </xf>
    <xf numFmtId="0" fontId="23" fillId="0" borderId="10" xfId="0" applyFont="1" applyFill="1" applyBorder="1"/>
    <xf numFmtId="0" fontId="9" fillId="0" borderId="93" xfId="58" applyFont="1" applyFill="1" applyBorder="1" applyAlignment="1">
      <alignment horizontal="center" vertical="center"/>
    </xf>
    <xf numFmtId="0" fontId="9" fillId="0" borderId="87" xfId="58" applyFont="1" applyFill="1" applyBorder="1" applyAlignment="1">
      <alignment horizontal="center" vertical="center"/>
    </xf>
    <xf numFmtId="0" fontId="9" fillId="0" borderId="92" xfId="58" applyFont="1" applyFill="1" applyBorder="1" applyAlignment="1">
      <alignment horizontal="center" vertical="center" wrapText="1"/>
    </xf>
    <xf numFmtId="0" fontId="16" fillId="5" borderId="109" xfId="58" applyFont="1" applyFill="1" applyBorder="1" applyAlignment="1">
      <alignment vertical="center"/>
    </xf>
    <xf numFmtId="0" fontId="159" fillId="8" borderId="3" xfId="58" applyNumberFormat="1" applyFont="1" applyFill="1" applyBorder="1" applyAlignment="1">
      <alignment vertical="center"/>
    </xf>
    <xf numFmtId="0" fontId="159" fillId="8" borderId="3" xfId="58" applyNumberFormat="1" applyFont="1" applyFill="1" applyBorder="1" applyAlignment="1">
      <alignment horizontal="center" vertical="center"/>
    </xf>
    <xf numFmtId="10" fontId="159" fillId="5" borderId="3" xfId="58" applyNumberFormat="1" applyFont="1" applyFill="1" applyBorder="1" applyAlignment="1">
      <alignment horizontal="center" vertical="center"/>
    </xf>
    <xf numFmtId="4" fontId="159" fillId="5" borderId="3" xfId="58" applyNumberFormat="1" applyFont="1" applyFill="1" applyBorder="1" applyAlignment="1">
      <alignment horizontal="centerContinuous" vertical="center"/>
    </xf>
    <xf numFmtId="4" fontId="15" fillId="0" borderId="3" xfId="58" applyNumberFormat="1" applyFont="1" applyFill="1" applyBorder="1" applyAlignment="1">
      <alignment vertical="center"/>
    </xf>
    <xf numFmtId="0" fontId="15" fillId="5" borderId="3" xfId="58" applyNumberFormat="1" applyFont="1" applyFill="1" applyBorder="1" applyAlignment="1">
      <alignment horizontal="center" vertical="center"/>
    </xf>
    <xf numFmtId="0" fontId="13" fillId="5" borderId="0" xfId="0" applyFont="1" applyFill="1"/>
    <xf numFmtId="4" fontId="9" fillId="0" borderId="0" xfId="58" applyNumberFormat="1" applyFont="1" applyFill="1" applyAlignment="1">
      <alignment vertical="center"/>
    </xf>
    <xf numFmtId="43" fontId="163" fillId="0" borderId="0" xfId="2" applyNumberFormat="1" applyFont="1" applyFill="1" applyBorder="1" applyAlignment="1">
      <alignment horizontal="right" vertical="center"/>
    </xf>
    <xf numFmtId="43" fontId="164" fillId="0" borderId="0" xfId="2" applyFont="1" applyFill="1" applyBorder="1" applyAlignment="1">
      <alignment horizontal="right" vertical="center"/>
    </xf>
    <xf numFmtId="15" fontId="165" fillId="0" borderId="0" xfId="2" applyNumberFormat="1" applyFont="1" applyFill="1" applyBorder="1" applyAlignment="1">
      <alignment horizontal="center" vertical="center"/>
    </xf>
    <xf numFmtId="43" fontId="166" fillId="5" borderId="0" xfId="2" applyFont="1" applyFill="1" applyBorder="1" applyAlignment="1">
      <alignment vertical="center"/>
    </xf>
    <xf numFmtId="0" fontId="0" fillId="5" borderId="0" xfId="0" applyFont="1" applyFill="1"/>
    <xf numFmtId="0" fontId="28" fillId="0" borderId="0" xfId="2" applyNumberFormat="1" applyFont="1" applyFill="1" applyBorder="1" applyAlignment="1">
      <alignment vertical="top"/>
    </xf>
    <xf numFmtId="164" fontId="133" fillId="0" borderId="0" xfId="2" applyNumberFormat="1" applyFont="1" applyFill="1" applyBorder="1" applyAlignment="1">
      <alignment horizontal="center" vertical="center"/>
    </xf>
    <xf numFmtId="43" fontId="17" fillId="0" borderId="0" xfId="2" applyNumberFormat="1" applyFont="1" applyFill="1" applyBorder="1" applyAlignment="1">
      <alignment horizontal="center" vertical="center"/>
    </xf>
    <xf numFmtId="0" fontId="17" fillId="0" borderId="0" xfId="0" applyFont="1" applyFill="1"/>
    <xf numFmtId="0" fontId="17" fillId="0" borderId="0" xfId="0" applyFont="1" applyFill="1" applyAlignment="1">
      <alignment vertical="center"/>
    </xf>
    <xf numFmtId="43" fontId="27" fillId="0" borderId="0" xfId="2" applyNumberFormat="1" applyFont="1" applyFill="1" applyBorder="1" applyAlignment="1"/>
    <xf numFmtId="164" fontId="162" fillId="0" borderId="0" xfId="2" applyNumberFormat="1" applyFont="1" applyFill="1" applyBorder="1" applyAlignment="1">
      <alignment horizontal="center" vertical="center"/>
    </xf>
    <xf numFmtId="43" fontId="17" fillId="0" borderId="0" xfId="0" applyNumberFormat="1" applyFont="1" applyFill="1" applyAlignment="1">
      <alignment vertical="center"/>
    </xf>
    <xf numFmtId="43" fontId="35" fillId="0" borderId="0" xfId="2" applyFont="1" applyFill="1"/>
    <xf numFmtId="164" fontId="161" fillId="0" borderId="0" xfId="2" applyNumberFormat="1" applyFont="1" applyFill="1" applyBorder="1" applyAlignment="1">
      <alignment horizontal="center" vertical="center"/>
    </xf>
    <xf numFmtId="0" fontId="12" fillId="8" borderId="3" xfId="58" applyFont="1" applyFill="1" applyBorder="1" applyAlignment="1">
      <alignment horizontal="center" vertical="center"/>
    </xf>
    <xf numFmtId="0" fontId="9" fillId="2" borderId="0" xfId="0" applyFont="1" applyAlignment="1">
      <alignment vertical="center"/>
    </xf>
    <xf numFmtId="4" fontId="15" fillId="5" borderId="3" xfId="58" applyNumberFormat="1" applyFont="1" applyFill="1" applyBorder="1" applyAlignment="1">
      <alignment vertical="center"/>
    </xf>
    <xf numFmtId="0" fontId="15" fillId="0" borderId="3" xfId="58" applyNumberFormat="1" applyFont="1" applyFill="1" applyBorder="1" applyAlignment="1">
      <alignment horizontal="center" vertical="center"/>
    </xf>
    <xf numFmtId="0" fontId="13" fillId="2" borderId="0" xfId="0" applyFont="1" applyAlignment="1"/>
    <xf numFmtId="4" fontId="15" fillId="0" borderId="0" xfId="58" applyNumberFormat="1" applyFont="1" applyFill="1" applyBorder="1" applyAlignment="1">
      <alignment vertical="center"/>
    </xf>
    <xf numFmtId="4" fontId="13" fillId="2" borderId="0" xfId="0" applyNumberFormat="1" applyFont="1" applyBorder="1" applyAlignment="1"/>
    <xf numFmtId="43" fontId="13" fillId="2" borderId="0" xfId="0" applyNumberFormat="1" applyFont="1" applyFill="1"/>
    <xf numFmtId="10" fontId="9" fillId="5" borderId="0" xfId="58" applyNumberFormat="1" applyFont="1" applyFill="1" applyBorder="1" applyAlignment="1">
      <alignment horizontal="right" vertical="center"/>
    </xf>
    <xf numFmtId="0" fontId="13" fillId="13" borderId="0" xfId="58" applyFont="1" applyFill="1" applyBorder="1" applyAlignment="1">
      <alignment horizontal="center" vertical="top"/>
    </xf>
    <xf numFmtId="43" fontId="13" fillId="13" borderId="0" xfId="2" applyNumberFormat="1" applyFont="1" applyFill="1" applyBorder="1" applyAlignment="1">
      <alignment vertical="center"/>
    </xf>
    <xf numFmtId="43" fontId="13" fillId="13" borderId="0" xfId="2" applyNumberFormat="1" applyFont="1" applyFill="1" applyBorder="1" applyAlignment="1">
      <alignment horizontal="center" vertical="center"/>
    </xf>
    <xf numFmtId="10" fontId="9" fillId="2" borderId="0" xfId="0" applyNumberFormat="1" applyFont="1" applyAlignment="1">
      <alignment indent="15"/>
    </xf>
    <xf numFmtId="43" fontId="9" fillId="0" borderId="0" xfId="0" applyNumberFormat="1" applyFont="1" applyFill="1" applyAlignment="1">
      <alignment horizontal="center" vertical="center"/>
    </xf>
    <xf numFmtId="0" fontId="9" fillId="0" borderId="0" xfId="0" applyNumberFormat="1" applyFont="1" applyFill="1" applyAlignment="1">
      <alignment vertical="center"/>
    </xf>
    <xf numFmtId="0" fontId="9" fillId="0" borderId="0" xfId="0" applyFont="1" applyFill="1"/>
    <xf numFmtId="43" fontId="13" fillId="19" borderId="0" xfId="0" applyNumberFormat="1" applyFont="1" applyFill="1" applyAlignment="1">
      <alignment horizontal="center" vertical="center"/>
    </xf>
    <xf numFmtId="0" fontId="0" fillId="2" borderId="0" xfId="0" applyNumberFormat="1" applyAlignment="1"/>
    <xf numFmtId="4" fontId="13" fillId="2" borderId="0" xfId="0" applyNumberFormat="1" applyFont="1" applyAlignment="1"/>
    <xf numFmtId="0" fontId="9" fillId="0" borderId="0" xfId="58" applyNumberFormat="1" applyFont="1" applyFill="1" applyBorder="1" applyAlignment="1">
      <alignment vertical="center"/>
    </xf>
    <xf numFmtId="0" fontId="9" fillId="0" borderId="0" xfId="58" applyNumberFormat="1" applyFont="1" applyFill="1" applyBorder="1" applyAlignment="1">
      <alignment vertical="top"/>
    </xf>
    <xf numFmtId="4" fontId="20" fillId="15" borderId="116" xfId="58" applyNumberFormat="1" applyFont="1" applyFill="1" applyBorder="1" applyAlignment="1">
      <alignment vertical="center"/>
    </xf>
    <xf numFmtId="4" fontId="20" fillId="15" borderId="117" xfId="58" applyNumberFormat="1" applyFont="1" applyFill="1" applyBorder="1" applyAlignment="1">
      <alignment vertical="center"/>
    </xf>
    <xf numFmtId="4" fontId="20" fillId="15" borderId="118" xfId="58" applyNumberFormat="1" applyFont="1" applyFill="1" applyBorder="1" applyAlignment="1">
      <alignment vertical="center"/>
    </xf>
    <xf numFmtId="4" fontId="20" fillId="15" borderId="120" xfId="58" applyNumberFormat="1" applyFont="1" applyFill="1" applyBorder="1" applyAlignment="1">
      <alignment vertical="center"/>
    </xf>
    <xf numFmtId="4" fontId="15" fillId="15" borderId="122" xfId="58" applyNumberFormat="1" applyFont="1" applyFill="1" applyBorder="1" applyAlignment="1">
      <alignment vertical="center"/>
    </xf>
    <xf numFmtId="0" fontId="158" fillId="2" borderId="0" xfId="0" applyFont="1" applyAlignment="1">
      <alignment horizontal="center" vertical="center"/>
    </xf>
    <xf numFmtId="43" fontId="158" fillId="2" borderId="0" xfId="0" applyNumberFormat="1" applyFont="1" applyBorder="1" applyAlignment="1">
      <alignment horizontal="center" vertical="center"/>
    </xf>
    <xf numFmtId="43" fontId="8" fillId="5" borderId="0" xfId="58" applyNumberFormat="1" applyFont="1" applyFill="1" applyBorder="1" applyAlignment="1">
      <alignment horizontal="left"/>
    </xf>
    <xf numFmtId="0" fontId="13" fillId="5" borderId="109" xfId="58" applyFont="1" applyFill="1" applyBorder="1" applyAlignment="1">
      <alignment horizontal="center" vertical="center"/>
    </xf>
    <xf numFmtId="4" fontId="19" fillId="5" borderId="0" xfId="58" applyNumberFormat="1" applyFont="1" applyFill="1" applyAlignment="1"/>
    <xf numFmtId="0" fontId="59" fillId="13" borderId="10" xfId="2" applyNumberFormat="1" applyFont="1" applyFill="1" applyBorder="1" applyAlignment="1">
      <alignment horizontal="left" vertical="center" wrapText="1"/>
    </xf>
    <xf numFmtId="43" fontId="8" fillId="5" borderId="0" xfId="58" applyNumberFormat="1" applyFont="1" applyFill="1" applyBorder="1" applyAlignment="1">
      <alignment horizontal="left"/>
    </xf>
    <xf numFmtId="0" fontId="13" fillId="5" borderId="109" xfId="58" applyFont="1" applyFill="1" applyBorder="1" applyAlignment="1">
      <alignment horizontal="center" vertical="center"/>
    </xf>
    <xf numFmtId="0" fontId="13" fillId="0" borderId="3" xfId="58" applyNumberFormat="1" applyFont="1" applyFill="1" applyBorder="1" applyAlignment="1" applyProtection="1">
      <alignment vertical="center"/>
    </xf>
    <xf numFmtId="43" fontId="59" fillId="19" borderId="10" xfId="0" applyNumberFormat="1" applyFont="1" applyFill="1" applyBorder="1" applyAlignment="1">
      <alignment horizontal="center" vertical="center"/>
    </xf>
    <xf numFmtId="0" fontId="144" fillId="0" borderId="15" xfId="58" applyFont="1" applyFill="1" applyBorder="1" applyAlignment="1">
      <alignment horizontal="center" vertical="center"/>
    </xf>
    <xf numFmtId="0" fontId="23" fillId="5" borderId="40" xfId="0" applyFont="1" applyFill="1" applyBorder="1"/>
    <xf numFmtId="15" fontId="13" fillId="0" borderId="105" xfId="58" applyNumberFormat="1" applyFont="1" applyFill="1" applyBorder="1" applyAlignment="1">
      <alignment horizontal="center" vertical="center"/>
    </xf>
    <xf numFmtId="0" fontId="23" fillId="5" borderId="14" xfId="0" applyFont="1" applyFill="1" applyBorder="1"/>
    <xf numFmtId="4" fontId="116" fillId="23" borderId="10" xfId="0" applyNumberFormat="1" applyFont="1" applyFill="1" applyBorder="1" applyAlignment="1">
      <alignment horizontal="right"/>
    </xf>
    <xf numFmtId="0" fontId="9" fillId="0" borderId="0" xfId="58" applyFont="1" applyFill="1" applyBorder="1" applyAlignment="1">
      <alignment horizontal="left" vertical="center"/>
    </xf>
    <xf numFmtId="0" fontId="13" fillId="0" borderId="0" xfId="0" applyNumberFormat="1" applyFont="1" applyFill="1" applyBorder="1" applyAlignment="1">
      <alignment horizontal="left"/>
    </xf>
    <xf numFmtId="4" fontId="9" fillId="0" borderId="0" xfId="58" applyNumberFormat="1" applyFont="1" applyFill="1" applyBorder="1" applyAlignment="1">
      <alignment horizontal="centerContinuous" vertical="center"/>
    </xf>
    <xf numFmtId="43" fontId="9" fillId="0" borderId="0" xfId="58" applyNumberFormat="1" applyFont="1" applyFill="1" applyBorder="1" applyAlignment="1">
      <alignment horizontal="centerContinuous" vertical="center"/>
    </xf>
    <xf numFmtId="4" fontId="0" fillId="2" borderId="0" xfId="0" applyNumberFormat="1" applyBorder="1" applyAlignment="1">
      <alignment horizontal="left"/>
    </xf>
    <xf numFmtId="0" fontId="0" fillId="2" borderId="0" xfId="0" applyBorder="1" applyAlignment="1"/>
    <xf numFmtId="0" fontId="15" fillId="0" borderId="0" xfId="58" applyFont="1" applyFill="1" applyBorder="1" applyAlignment="1">
      <alignment horizontal="left" vertical="center"/>
    </xf>
    <xf numFmtId="0" fontId="168" fillId="0" borderId="0" xfId="58" applyNumberFormat="1" applyFont="1" applyFill="1" applyBorder="1" applyAlignment="1">
      <alignment horizontal="left" vertical="center"/>
    </xf>
    <xf numFmtId="0" fontId="168" fillId="0" borderId="0" xfId="58" applyNumberFormat="1" applyFont="1" applyFill="1" applyBorder="1" applyAlignment="1">
      <alignment horizontal="center" vertical="center"/>
    </xf>
    <xf numFmtId="10" fontId="169" fillId="0" borderId="0" xfId="58" applyNumberFormat="1" applyFont="1" applyFill="1" applyBorder="1" applyAlignment="1">
      <alignment horizontal="left" vertical="center"/>
    </xf>
    <xf numFmtId="4" fontId="15" fillId="0" borderId="0" xfId="58" applyNumberFormat="1" applyFont="1" applyFill="1" applyBorder="1" applyAlignment="1">
      <alignment horizontal="center" vertical="center"/>
    </xf>
    <xf numFmtId="4" fontId="16" fillId="13" borderId="0" xfId="58" applyNumberFormat="1" applyFont="1" applyFill="1" applyBorder="1" applyAlignment="1">
      <alignment vertical="center"/>
    </xf>
    <xf numFmtId="0" fontId="13" fillId="2" borderId="0" xfId="0" applyNumberFormat="1" applyFont="1" applyBorder="1" applyAlignment="1"/>
    <xf numFmtId="0" fontId="13" fillId="2" borderId="0" xfId="0" applyFont="1" applyBorder="1" applyAlignment="1"/>
    <xf numFmtId="4" fontId="13" fillId="0" borderId="0" xfId="0" applyNumberFormat="1" applyFont="1" applyFill="1" applyBorder="1" applyAlignment="1"/>
    <xf numFmtId="43" fontId="13" fillId="13" borderId="0" xfId="58" applyNumberFormat="1" applyFont="1" applyFill="1" applyBorder="1" applyAlignment="1">
      <alignment vertical="center"/>
    </xf>
    <xf numFmtId="43" fontId="13" fillId="19" borderId="0" xfId="0" applyNumberFormat="1" applyFont="1" applyFill="1" applyAlignment="1">
      <alignment horizontal="center"/>
    </xf>
    <xf numFmtId="10" fontId="9" fillId="2" borderId="0" xfId="0" applyNumberFormat="1" applyFont="1" applyFill="1" applyAlignment="1">
      <alignment horizontal="center"/>
    </xf>
    <xf numFmtId="0" fontId="9" fillId="5" borderId="0" xfId="58" applyNumberFormat="1" applyFont="1" applyFill="1" applyBorder="1" applyAlignment="1">
      <alignment horizontal="center" vertical="top"/>
    </xf>
    <xf numFmtId="4" fontId="9" fillId="5" borderId="0" xfId="58" applyNumberFormat="1" applyFont="1" applyFill="1" applyBorder="1" applyAlignment="1"/>
    <xf numFmtId="0" fontId="13" fillId="2" borderId="0" xfId="0" applyFont="1" applyFill="1" applyAlignment="1">
      <alignment horizontal="center"/>
    </xf>
    <xf numFmtId="4" fontId="9" fillId="0" borderId="0" xfId="0" applyNumberFormat="1" applyFont="1" applyFill="1" applyBorder="1" applyAlignment="1">
      <alignment vertical="center"/>
    </xf>
    <xf numFmtId="0" fontId="13" fillId="5" borderId="0" xfId="58" applyFont="1" applyFill="1" applyBorder="1" applyAlignment="1">
      <alignment horizontal="center" vertical="center"/>
    </xf>
    <xf numFmtId="43" fontId="13" fillId="5" borderId="0" xfId="58" applyNumberFormat="1" applyFont="1" applyFill="1" applyBorder="1" applyAlignment="1">
      <alignment vertical="center"/>
    </xf>
    <xf numFmtId="4" fontId="9" fillId="5" borderId="0" xfId="58" applyNumberFormat="1" applyFont="1" applyFill="1" applyBorder="1" applyAlignment="1">
      <alignment vertical="center"/>
    </xf>
    <xf numFmtId="4" fontId="13" fillId="5" borderId="0" xfId="58" applyNumberFormat="1" applyFont="1" applyFill="1" applyBorder="1" applyAlignment="1">
      <alignment vertical="center"/>
    </xf>
    <xf numFmtId="0" fontId="13" fillId="2" borderId="0" xfId="0" applyNumberFormat="1" applyFont="1" applyFill="1" applyAlignment="1"/>
    <xf numFmtId="0" fontId="13" fillId="5" borderId="0" xfId="0" applyNumberFormat="1" applyFont="1" applyFill="1" applyAlignment="1"/>
    <xf numFmtId="4" fontId="9" fillId="5" borderId="0" xfId="0" applyNumberFormat="1" applyFont="1" applyFill="1" applyAlignment="1">
      <alignment vertical="center"/>
    </xf>
    <xf numFmtId="15" fontId="144" fillId="13" borderId="3" xfId="58" applyNumberFormat="1" applyFont="1" applyFill="1" applyBorder="1" applyAlignment="1">
      <alignment horizontal="center" vertical="center"/>
    </xf>
    <xf numFmtId="4" fontId="167" fillId="13" borderId="3" xfId="58" applyNumberFormat="1" applyFont="1" applyFill="1" applyBorder="1" applyAlignment="1">
      <alignment horizontal="centerContinuous" vertical="center"/>
    </xf>
    <xf numFmtId="4" fontId="144" fillId="13" borderId="3" xfId="58" applyNumberFormat="1" applyFont="1" applyFill="1" applyBorder="1" applyAlignment="1">
      <alignment vertical="center"/>
    </xf>
    <xf numFmtId="0" fontId="144" fillId="13" borderId="3" xfId="58" applyNumberFormat="1" applyFont="1" applyFill="1" applyBorder="1" applyAlignment="1">
      <alignment horizontal="center" vertical="center"/>
    </xf>
    <xf numFmtId="0" fontId="20" fillId="0" borderId="112" xfId="58" applyFont="1" applyFill="1" applyBorder="1"/>
    <xf numFmtId="0" fontId="159" fillId="0" borderId="3" xfId="58" applyNumberFormat="1" applyFont="1" applyFill="1" applyBorder="1" applyAlignment="1">
      <alignment vertical="center"/>
    </xf>
    <xf numFmtId="0" fontId="13" fillId="2" borderId="0" xfId="0" applyFont="1" applyAlignment="1">
      <alignment horizontal="center"/>
    </xf>
    <xf numFmtId="0" fontId="23" fillId="2" borderId="0" xfId="0" applyFont="1" applyAlignment="1">
      <alignment horizontal="center"/>
    </xf>
    <xf numFmtId="0" fontId="23" fillId="2" borderId="9" xfId="0" applyFont="1" applyBorder="1" applyAlignment="1">
      <alignment horizontal="center"/>
    </xf>
    <xf numFmtId="0" fontId="23" fillId="0" borderId="0" xfId="0" applyFont="1" applyFill="1" applyBorder="1" applyAlignment="1">
      <alignment horizontal="center"/>
    </xf>
    <xf numFmtId="0" fontId="23" fillId="0" borderId="0" xfId="0" applyFont="1" applyFill="1" applyAlignment="1">
      <alignment horizontal="center"/>
    </xf>
    <xf numFmtId="0" fontId="38" fillId="22" borderId="65" xfId="58" applyFont="1" applyFill="1" applyBorder="1" applyAlignment="1">
      <alignment horizontal="right" vertical="center" wrapText="1"/>
    </xf>
    <xf numFmtId="0" fontId="34" fillId="6" borderId="8" xfId="58" applyFont="1" applyFill="1" applyBorder="1" applyAlignment="1">
      <alignment horizontal="center" vertical="center"/>
    </xf>
    <xf numFmtId="0" fontId="34" fillId="6" borderId="63" xfId="58" applyFont="1" applyFill="1" applyBorder="1" applyAlignment="1">
      <alignment horizontal="center" vertical="center"/>
    </xf>
    <xf numFmtId="0" fontId="38" fillId="0" borderId="95" xfId="58" applyFont="1" applyFill="1" applyBorder="1" applyAlignment="1">
      <alignment horizontal="right" vertical="center" wrapText="1"/>
    </xf>
    <xf numFmtId="0" fontId="38" fillId="21" borderId="50" xfId="58" applyFont="1" applyFill="1" applyBorder="1" applyAlignment="1">
      <alignment horizontal="right" vertical="center"/>
    </xf>
    <xf numFmtId="0" fontId="38" fillId="0" borderId="25" xfId="58" applyFont="1" applyFill="1" applyBorder="1" applyAlignment="1">
      <alignment horizontal="right" vertical="center" wrapText="1"/>
    </xf>
    <xf numFmtId="0" fontId="37" fillId="10" borderId="16" xfId="58" applyFont="1" applyFill="1" applyBorder="1" applyAlignment="1">
      <alignment horizontal="left" vertical="center"/>
    </xf>
    <xf numFmtId="0" fontId="38" fillId="22" borderId="66" xfId="58" applyFont="1" applyFill="1" applyBorder="1" applyAlignment="1">
      <alignment horizontal="right" vertical="center" wrapText="1"/>
    </xf>
    <xf numFmtId="0" fontId="37" fillId="10" borderId="40" xfId="58" applyFont="1" applyFill="1" applyBorder="1" applyAlignment="1">
      <alignment horizontal="left" vertical="center"/>
    </xf>
    <xf numFmtId="0" fontId="37" fillId="10" borderId="85" xfId="58" applyFont="1" applyFill="1" applyBorder="1" applyAlignment="1">
      <alignment horizontal="left" vertical="center"/>
    </xf>
    <xf numFmtId="10" fontId="132" fillId="0" borderId="95" xfId="0" applyNumberFormat="1" applyFont="1" applyFill="1" applyBorder="1" applyAlignment="1">
      <alignment horizontal="left" vertical="center"/>
    </xf>
    <xf numFmtId="0" fontId="38" fillId="22" borderId="50" xfId="58" applyFont="1" applyFill="1" applyBorder="1" applyAlignment="1">
      <alignment horizontal="right" vertical="center" wrapText="1"/>
    </xf>
    <xf numFmtId="15" fontId="13" fillId="0" borderId="126" xfId="58" applyNumberFormat="1" applyFont="1" applyFill="1" applyBorder="1" applyAlignment="1">
      <alignment horizontal="center" vertical="center"/>
    </xf>
    <xf numFmtId="15" fontId="13" fillId="0" borderId="127" xfId="58" applyNumberFormat="1" applyFont="1" applyFill="1" applyBorder="1" applyAlignment="1">
      <alignment horizontal="center" vertical="center"/>
    </xf>
    <xf numFmtId="0" fontId="13" fillId="0" borderId="114" xfId="58" applyFont="1" applyFill="1" applyBorder="1" applyAlignment="1">
      <alignment horizontal="left" vertical="center" wrapText="1"/>
    </xf>
    <xf numFmtId="0" fontId="60" fillId="0" borderId="53" xfId="58" applyFont="1" applyFill="1" applyBorder="1" applyAlignment="1">
      <alignment vertical="center"/>
    </xf>
    <xf numFmtId="0" fontId="13" fillId="13" borderId="10" xfId="58" applyFont="1" applyFill="1" applyBorder="1" applyAlignment="1">
      <alignment horizontal="left" vertical="center" wrapText="1"/>
    </xf>
    <xf numFmtId="4" fontId="30" fillId="14" borderId="16" xfId="0" applyNumberFormat="1" applyFont="1" applyFill="1" applyBorder="1" applyAlignment="1">
      <alignment vertical="center"/>
    </xf>
    <xf numFmtId="4" fontId="134" fillId="14" borderId="16" xfId="0" applyNumberFormat="1" applyFont="1" applyFill="1" applyBorder="1" applyAlignment="1">
      <alignment vertical="center"/>
    </xf>
    <xf numFmtId="9" fontId="30" fillId="14" borderId="16" xfId="72" applyFont="1" applyFill="1" applyBorder="1" applyAlignment="1">
      <alignment horizontal="center" vertical="center"/>
    </xf>
    <xf numFmtId="43" fontId="26" fillId="6" borderId="3" xfId="2" applyFont="1" applyFill="1" applyBorder="1" applyAlignment="1">
      <alignment horizontal="center" vertical="center"/>
    </xf>
    <xf numFmtId="4" fontId="62" fillId="17" borderId="63" xfId="0" applyNumberFormat="1" applyFont="1" applyFill="1" applyBorder="1" applyAlignment="1">
      <alignment horizontal="center"/>
    </xf>
    <xf numFmtId="4" fontId="61" fillId="0" borderId="10" xfId="0" applyNumberFormat="1" applyFont="1" applyFill="1" applyBorder="1" applyAlignment="1">
      <alignment horizontal="center" vertical="center"/>
    </xf>
    <xf numFmtId="4" fontId="58" fillId="0" borderId="0" xfId="2" applyNumberFormat="1" applyFont="1" applyFill="1" applyBorder="1" applyAlignment="1">
      <alignment horizontal="center" vertical="center"/>
    </xf>
    <xf numFmtId="4" fontId="61" fillId="0" borderId="0" xfId="0" applyNumberFormat="1" applyFont="1" applyFill="1" applyBorder="1" applyAlignment="1">
      <alignment horizontal="center" vertical="center"/>
    </xf>
    <xf numFmtId="4" fontId="113" fillId="0" borderId="10" xfId="0" applyNumberFormat="1" applyFont="1" applyFill="1" applyBorder="1" applyAlignment="1">
      <alignment horizontal="center" vertical="center"/>
    </xf>
    <xf numFmtId="4" fontId="62" fillId="17" borderId="74" xfId="0" applyNumberFormat="1" applyFont="1" applyFill="1" applyBorder="1" applyAlignment="1">
      <alignment horizontal="center" vertical="center"/>
    </xf>
    <xf numFmtId="4" fontId="62" fillId="7" borderId="10" xfId="0" applyNumberFormat="1" applyFont="1" applyFill="1" applyBorder="1" applyAlignment="1">
      <alignment horizontal="center" vertical="center"/>
    </xf>
    <xf numFmtId="4" fontId="17" fillId="2" borderId="0" xfId="0" applyNumberFormat="1" applyFont="1" applyAlignment="1">
      <alignment horizontal="center" vertical="center"/>
    </xf>
    <xf numFmtId="4" fontId="0" fillId="2" borderId="0" xfId="0" applyNumberFormat="1" applyAlignment="1">
      <alignment horizontal="center" vertical="center" wrapText="1"/>
    </xf>
    <xf numFmtId="4" fontId="30" fillId="0" borderId="16" xfId="0" applyNumberFormat="1" applyFont="1" applyFill="1" applyBorder="1" applyAlignment="1">
      <alignment horizontal="center" vertical="center"/>
    </xf>
    <xf numFmtId="4" fontId="30" fillId="14" borderId="16" xfId="0" applyNumberFormat="1" applyFont="1" applyFill="1" applyBorder="1" applyAlignment="1">
      <alignment horizontal="center" vertical="center"/>
    </xf>
    <xf numFmtId="4" fontId="135" fillId="11" borderId="10" xfId="0" applyNumberFormat="1" applyFont="1" applyFill="1" applyBorder="1" applyAlignment="1">
      <alignment horizontal="center" vertical="center"/>
    </xf>
    <xf numFmtId="4" fontId="0" fillId="2" borderId="0" xfId="0" applyNumberFormat="1" applyAlignment="1">
      <alignment horizontal="center" vertical="center"/>
    </xf>
    <xf numFmtId="0" fontId="172" fillId="2" borderId="0" xfId="0" applyFont="1" applyFill="1" applyBorder="1" applyAlignment="1"/>
    <xf numFmtId="0" fontId="0" fillId="0" borderId="0" xfId="0" applyFont="1" applyFill="1" applyBorder="1" applyAlignment="1"/>
    <xf numFmtId="43" fontId="170" fillId="0" borderId="0" xfId="0" applyNumberFormat="1" applyFont="1" applyFill="1" applyBorder="1" applyAlignment="1"/>
    <xf numFmtId="0" fontId="0" fillId="2" borderId="0" xfId="0" applyFont="1" applyFill="1" applyBorder="1" applyAlignment="1"/>
    <xf numFmtId="0" fontId="0" fillId="2" borderId="0" xfId="0" applyFont="1" applyAlignment="1"/>
    <xf numFmtId="164" fontId="170" fillId="0" borderId="0" xfId="0" applyNumberFormat="1" applyFont="1" applyFill="1" applyBorder="1" applyAlignment="1">
      <alignment horizontal="center"/>
    </xf>
    <xf numFmtId="0" fontId="171" fillId="5" borderId="0" xfId="58" applyNumberFormat="1" applyFont="1" applyFill="1" applyBorder="1" applyAlignment="1"/>
    <xf numFmtId="0" fontId="172" fillId="2" borderId="0" xfId="0" applyNumberFormat="1" applyFont="1" applyBorder="1" applyAlignment="1">
      <alignment horizontal="left"/>
    </xf>
    <xf numFmtId="0" fontId="172" fillId="2" borderId="0" xfId="0" applyNumberFormat="1" applyFont="1" applyBorder="1" applyAlignment="1"/>
    <xf numFmtId="0" fontId="0" fillId="2" borderId="0" xfId="0" applyNumberFormat="1" applyFont="1" applyBorder="1" applyAlignment="1"/>
    <xf numFmtId="0" fontId="172" fillId="2" borderId="0" xfId="0" applyNumberFormat="1" applyFont="1" applyFill="1" applyBorder="1" applyAlignment="1"/>
    <xf numFmtId="0" fontId="171" fillId="2" borderId="0" xfId="0" applyNumberFormat="1" applyFont="1" applyFill="1" applyBorder="1" applyAlignment="1"/>
    <xf numFmtId="0" fontId="0" fillId="2" borderId="0" xfId="0" applyFont="1" applyBorder="1" applyAlignment="1"/>
    <xf numFmtId="0" fontId="0" fillId="2" borderId="0" xfId="0" applyNumberFormat="1" applyFont="1" applyFill="1" applyBorder="1" applyAlignment="1"/>
    <xf numFmtId="0" fontId="0" fillId="2" borderId="0" xfId="0" applyFont="1" applyFill="1" applyAlignment="1"/>
    <xf numFmtId="15" fontId="13" fillId="5" borderId="13" xfId="58" applyNumberFormat="1" applyFont="1" applyFill="1" applyBorder="1" applyAlignment="1">
      <alignment horizontal="center" vertical="center"/>
    </xf>
    <xf numFmtId="43" fontId="13" fillId="0" borderId="115" xfId="58" applyNumberFormat="1" applyFont="1" applyFill="1" applyBorder="1" applyAlignment="1">
      <alignment horizontal="right" vertical="center"/>
    </xf>
    <xf numFmtId="0" fontId="9" fillId="0" borderId="115" xfId="58" applyFont="1" applyFill="1" applyBorder="1" applyAlignment="1">
      <alignment horizontal="center" vertical="center"/>
    </xf>
    <xf numFmtId="0" fontId="158" fillId="0" borderId="10" xfId="34" applyNumberFormat="1" applyFont="1" applyFill="1" applyBorder="1" applyAlignment="1">
      <alignment horizontal="center" vertical="center"/>
    </xf>
    <xf numFmtId="15" fontId="158" fillId="0" borderId="10" xfId="2" applyNumberFormat="1" applyFont="1" applyFill="1" applyBorder="1" applyAlignment="1">
      <alignment horizontal="center" vertical="center"/>
    </xf>
    <xf numFmtId="0" fontId="143" fillId="0" borderId="10" xfId="58" applyNumberFormat="1" applyFont="1" applyFill="1" applyBorder="1" applyAlignment="1" applyProtection="1">
      <alignment vertical="center"/>
    </xf>
    <xf numFmtId="37" fontId="158" fillId="0" borderId="10" xfId="34" applyNumberFormat="1" applyFont="1" applyFill="1" applyBorder="1" applyAlignment="1">
      <alignment horizontal="center" vertical="center"/>
    </xf>
    <xf numFmtId="10" fontId="158" fillId="5" borderId="10" xfId="76" applyNumberFormat="1" applyFont="1" applyFill="1" applyBorder="1" applyAlignment="1">
      <alignment horizontal="center" vertical="center"/>
    </xf>
    <xf numFmtId="43" fontId="158" fillId="5" borderId="10" xfId="2" applyFont="1" applyFill="1" applyBorder="1" applyAlignment="1">
      <alignment horizontal="right" vertical="center"/>
    </xf>
    <xf numFmtId="43" fontId="158" fillId="0" borderId="12" xfId="2" applyFont="1" applyFill="1" applyBorder="1" applyAlignment="1">
      <alignment horizontal="center" vertical="center"/>
    </xf>
    <xf numFmtId="43" fontId="158" fillId="0" borderId="10" xfId="2" applyFont="1" applyFill="1" applyBorder="1" applyAlignment="1">
      <alignment horizontal="right" vertical="center"/>
    </xf>
    <xf numFmtId="0" fontId="145" fillId="0" borderId="10" xfId="58" applyFont="1" applyFill="1" applyBorder="1" applyAlignment="1">
      <alignment vertical="center" wrapText="1"/>
    </xf>
    <xf numFmtId="0" fontId="143" fillId="0" borderId="63" xfId="58" applyFont="1" applyFill="1" applyBorder="1" applyAlignment="1">
      <alignment horizontal="left" vertical="center" wrapText="1"/>
    </xf>
    <xf numFmtId="0" fontId="158" fillId="0" borderId="65" xfId="34" applyNumberFormat="1" applyFont="1" applyFill="1" applyBorder="1" applyAlignment="1">
      <alignment horizontal="center" vertical="center"/>
    </xf>
    <xf numFmtId="0" fontId="143" fillId="0" borderId="10" xfId="0" applyFont="1" applyFill="1" applyBorder="1" applyAlignment="1">
      <alignment horizontal="left" vertical="center" wrapText="1"/>
    </xf>
    <xf numFmtId="0" fontId="59" fillId="0" borderId="67" xfId="0" applyNumberFormat="1" applyFont="1" applyFill="1" applyBorder="1" applyAlignment="1">
      <alignment vertical="center"/>
    </xf>
    <xf numFmtId="0" fontId="59" fillId="0" borderId="34" xfId="0" applyFont="1" applyFill="1" applyBorder="1" applyAlignment="1">
      <alignment horizontal="left" vertical="center" wrapText="1"/>
    </xf>
    <xf numFmtId="0" fontId="143" fillId="13" borderId="3" xfId="58" applyFont="1" applyFill="1" applyBorder="1" applyAlignment="1">
      <alignment horizontal="center" vertical="center"/>
    </xf>
    <xf numFmtId="10" fontId="143" fillId="13" borderId="3" xfId="58" applyNumberFormat="1" applyFont="1" applyFill="1" applyBorder="1" applyAlignment="1">
      <alignment horizontal="center" vertical="center"/>
    </xf>
    <xf numFmtId="0" fontId="143" fillId="13" borderId="3" xfId="58" applyFont="1" applyFill="1" applyBorder="1" applyAlignment="1">
      <alignment vertical="center"/>
    </xf>
    <xf numFmtId="4" fontId="143" fillId="13" borderId="13" xfId="58" applyNumberFormat="1" applyFont="1" applyFill="1" applyBorder="1" applyAlignment="1">
      <alignment vertical="center"/>
    </xf>
    <xf numFmtId="0" fontId="144" fillId="13" borderId="0" xfId="58" applyFont="1" applyFill="1" applyBorder="1" applyAlignment="1">
      <alignment vertical="center"/>
    </xf>
    <xf numFmtId="0" fontId="23" fillId="2" borderId="109" xfId="0" applyNumberFormat="1" applyFont="1" applyBorder="1" applyAlignment="1">
      <alignment vertical="center"/>
    </xf>
    <xf numFmtId="0" fontId="173" fillId="25" borderId="3" xfId="0" applyFont="1" applyFill="1" applyBorder="1" applyAlignment="1">
      <alignment vertical="center"/>
    </xf>
    <xf numFmtId="0" fontId="173" fillId="25" borderId="3" xfId="0" applyFont="1" applyFill="1" applyBorder="1" applyAlignment="1">
      <alignment horizontal="center" vertical="center"/>
    </xf>
    <xf numFmtId="10" fontId="173" fillId="2" borderId="3" xfId="0" applyNumberFormat="1" applyFont="1" applyBorder="1" applyAlignment="1">
      <alignment horizontal="center" vertical="center"/>
    </xf>
    <xf numFmtId="4" fontId="173" fillId="2" borderId="3" xfId="0" applyNumberFormat="1" applyFont="1" applyBorder="1" applyAlignment="1">
      <alignment horizontal="centerContinuous" vertical="center"/>
    </xf>
    <xf numFmtId="4" fontId="12" fillId="2" borderId="3" xfId="0" applyNumberFormat="1" applyFont="1" applyBorder="1" applyAlignment="1">
      <alignment horizontal="centerContinuous" vertical="center"/>
    </xf>
    <xf numFmtId="4" fontId="13" fillId="2" borderId="3" xfId="0" applyNumberFormat="1" applyFont="1" applyBorder="1" applyAlignment="1">
      <alignment vertical="center"/>
    </xf>
    <xf numFmtId="4" fontId="13" fillId="19" borderId="3" xfId="0" applyNumberFormat="1" applyFont="1" applyFill="1" applyBorder="1" applyAlignment="1">
      <alignment vertical="center"/>
    </xf>
    <xf numFmtId="0" fontId="9" fillId="2" borderId="3" xfId="0" applyNumberFormat="1" applyFont="1" applyBorder="1" applyAlignment="1">
      <alignment horizontal="center" vertical="center"/>
    </xf>
    <xf numFmtId="0" fontId="9" fillId="2" borderId="3" xfId="0" applyFont="1" applyBorder="1" applyAlignment="1">
      <alignment horizontal="center" vertical="center"/>
    </xf>
    <xf numFmtId="0" fontId="13" fillId="2" borderId="59" xfId="0" applyFont="1" applyBorder="1" applyAlignment="1">
      <alignment vertical="center"/>
    </xf>
    <xf numFmtId="15" fontId="13" fillId="0" borderId="14" xfId="0" applyNumberFormat="1" applyFont="1" applyFill="1" applyBorder="1" applyAlignment="1">
      <alignment horizontal="center" vertical="center"/>
    </xf>
    <xf numFmtId="0" fontId="59" fillId="5" borderId="10" xfId="0" applyNumberFormat="1" applyFont="1" applyFill="1" applyBorder="1" applyAlignment="1">
      <alignment horizontal="center" vertical="center"/>
    </xf>
    <xf numFmtId="0" fontId="103" fillId="18" borderId="64" xfId="0" applyNumberFormat="1" applyFont="1" applyFill="1" applyBorder="1" applyAlignment="1">
      <alignment horizontal="left" vertical="center"/>
    </xf>
    <xf numFmtId="0" fontId="23" fillId="0" borderId="0" xfId="0" applyNumberFormat="1" applyFont="1" applyFill="1" applyBorder="1" applyAlignment="1">
      <alignment wrapText="1"/>
    </xf>
    <xf numFmtId="39" fontId="61" fillId="0" borderId="0" xfId="0" quotePrefix="1" applyNumberFormat="1" applyFont="1" applyFill="1" applyBorder="1" applyAlignment="1">
      <alignment horizontal="center" vertical="center"/>
    </xf>
    <xf numFmtId="0" fontId="129" fillId="2" borderId="10" xfId="0" applyFont="1" applyFill="1" applyBorder="1" applyAlignment="1">
      <alignment vertical="center"/>
    </xf>
    <xf numFmtId="0" fontId="119" fillId="5" borderId="10" xfId="0" applyNumberFormat="1" applyFont="1" applyFill="1" applyBorder="1" applyAlignment="1">
      <alignment horizontal="left" vertical="center"/>
    </xf>
    <xf numFmtId="0" fontId="119" fillId="2" borderId="10" xfId="0" applyFont="1" applyFill="1" applyBorder="1" applyAlignment="1">
      <alignment horizontal="center" vertical="center"/>
    </xf>
    <xf numFmtId="0" fontId="119" fillId="2" borderId="10" xfId="0" applyFont="1" applyFill="1" applyBorder="1" applyAlignment="1">
      <alignment vertical="center"/>
    </xf>
    <xf numFmtId="15" fontId="119" fillId="5" borderId="10" xfId="2" applyNumberFormat="1" applyFont="1" applyFill="1" applyBorder="1" applyAlignment="1">
      <alignment horizontal="center" vertical="center"/>
    </xf>
    <xf numFmtId="0" fontId="119" fillId="2" borderId="10" xfId="0" applyFont="1" applyFill="1" applyBorder="1" applyAlignment="1">
      <alignment horizontal="center"/>
    </xf>
    <xf numFmtId="37" fontId="119" fillId="2" borderId="10" xfId="0" applyNumberFormat="1" applyFont="1" applyFill="1" applyBorder="1" applyAlignment="1">
      <alignment vertical="center"/>
    </xf>
    <xf numFmtId="43" fontId="119" fillId="2" borderId="10" xfId="0" applyNumberFormat="1" applyFont="1" applyFill="1" applyBorder="1" applyAlignment="1">
      <alignment horizontal="center" vertical="center"/>
    </xf>
    <xf numFmtId="43" fontId="119" fillId="2" borderId="10" xfId="0" applyNumberFormat="1" applyFont="1" applyFill="1" applyBorder="1" applyAlignment="1">
      <alignment vertical="center"/>
    </xf>
    <xf numFmtId="43" fontId="120" fillId="5" borderId="10" xfId="0" applyNumberFormat="1" applyFont="1" applyFill="1" applyBorder="1" applyAlignment="1">
      <alignment horizontal="center" vertical="center"/>
    </xf>
    <xf numFmtId="43" fontId="119" fillId="5" borderId="10" xfId="0" applyNumberFormat="1" applyFont="1" applyFill="1" applyBorder="1" applyAlignment="1">
      <alignment horizontal="center" vertical="center"/>
    </xf>
    <xf numFmtId="43" fontId="61" fillId="5" borderId="10" xfId="0" applyNumberFormat="1" applyFont="1" applyFill="1" applyBorder="1" applyAlignment="1">
      <alignment vertical="center"/>
    </xf>
    <xf numFmtId="43" fontId="61" fillId="5" borderId="10" xfId="0" applyNumberFormat="1" applyFont="1" applyFill="1" applyBorder="1" applyAlignment="1">
      <alignment horizontal="center" vertical="center"/>
    </xf>
    <xf numFmtId="9" fontId="119" fillId="2" borderId="10" xfId="0" applyNumberFormat="1" applyFont="1" applyFill="1" applyBorder="1" applyAlignment="1">
      <alignment horizontal="center" vertical="center"/>
    </xf>
    <xf numFmtId="4" fontId="119" fillId="5" borderId="10" xfId="0" applyNumberFormat="1" applyFont="1" applyFill="1" applyBorder="1" applyAlignment="1">
      <alignment horizontal="right" vertical="center"/>
    </xf>
    <xf numFmtId="39" fontId="119" fillId="5" borderId="10" xfId="0" applyNumberFormat="1" applyFont="1" applyFill="1" applyBorder="1" applyAlignment="1">
      <alignment vertical="center" wrapText="1"/>
    </xf>
    <xf numFmtId="39" fontId="119" fillId="2" borderId="10" xfId="0" applyNumberFormat="1" applyFont="1" applyFill="1" applyBorder="1" applyAlignment="1">
      <alignment vertical="center"/>
    </xf>
    <xf numFmtId="39" fontId="130" fillId="2" borderId="10" xfId="0" applyNumberFormat="1" applyFont="1" applyFill="1" applyBorder="1" applyAlignment="1">
      <alignment horizontal="center" vertical="center"/>
    </xf>
    <xf numFmtId="0" fontId="119" fillId="2" borderId="10" xfId="0" applyNumberFormat="1" applyFont="1" applyFill="1" applyBorder="1" applyAlignment="1">
      <alignment vertical="center" wrapText="1"/>
    </xf>
    <xf numFmtId="0" fontId="119" fillId="2" borderId="10" xfId="0" applyFont="1" applyFill="1" applyBorder="1" applyAlignment="1">
      <alignment vertical="center" wrapText="1"/>
    </xf>
    <xf numFmtId="0" fontId="119" fillId="2" borderId="10" xfId="0" applyFont="1" applyFill="1" applyBorder="1" applyAlignment="1">
      <alignment horizontal="center" vertical="center" wrapText="1"/>
    </xf>
    <xf numFmtId="166" fontId="119" fillId="5" borderId="10" xfId="0" applyNumberFormat="1" applyFont="1" applyFill="1" applyBorder="1" applyAlignment="1">
      <alignment vertical="center"/>
    </xf>
    <xf numFmtId="0" fontId="119" fillId="5" borderId="10" xfId="0" applyFont="1" applyFill="1" applyBorder="1" applyAlignment="1">
      <alignment vertical="center" wrapText="1"/>
    </xf>
    <xf numFmtId="0" fontId="61" fillId="5" borderId="0" xfId="0" applyNumberFormat="1" applyFont="1" applyFill="1" applyBorder="1" applyAlignment="1">
      <alignment horizontal="center"/>
    </xf>
    <xf numFmtId="0" fontId="62" fillId="5" borderId="0" xfId="0" applyNumberFormat="1" applyFont="1" applyFill="1" applyBorder="1" applyAlignment="1">
      <alignment horizontal="left" indent="1"/>
    </xf>
    <xf numFmtId="0" fontId="61" fillId="5" borderId="0" xfId="0" applyNumberFormat="1" applyFont="1" applyFill="1" applyBorder="1" applyAlignment="1">
      <alignment horizontal="left"/>
    </xf>
    <xf numFmtId="15" fontId="62" fillId="5" borderId="0" xfId="0" applyNumberFormat="1" applyFont="1" applyFill="1" applyBorder="1" applyAlignment="1">
      <alignment horizontal="center"/>
    </xf>
    <xf numFmtId="15" fontId="119" fillId="5" borderId="0" xfId="2" applyNumberFormat="1" applyFont="1" applyFill="1" applyBorder="1" applyAlignment="1">
      <alignment horizontal="center" vertical="center"/>
    </xf>
    <xf numFmtId="0" fontId="61" fillId="5" borderId="0" xfId="0" applyNumberFormat="1" applyFont="1" applyFill="1" applyBorder="1" applyAlignment="1">
      <alignment horizontal="center" vertical="center"/>
    </xf>
    <xf numFmtId="10" fontId="62" fillId="5" borderId="63" xfId="0" applyNumberFormat="1" applyFont="1" applyFill="1" applyBorder="1" applyAlignment="1"/>
    <xf numFmtId="9" fontId="0" fillId="2" borderId="63" xfId="0" applyNumberFormat="1" applyFill="1" applyBorder="1"/>
    <xf numFmtId="4" fontId="62" fillId="5" borderId="63" xfId="0" applyNumberFormat="1" applyFont="1" applyFill="1" applyBorder="1" applyAlignment="1">
      <alignment horizontal="right"/>
    </xf>
    <xf numFmtId="4" fontId="62" fillId="5" borderId="63" xfId="76" applyNumberFormat="1" applyFont="1" applyFill="1" applyBorder="1" applyAlignment="1">
      <alignment horizontal="right"/>
    </xf>
    <xf numFmtId="4" fontId="62" fillId="5" borderId="63" xfId="0" applyNumberFormat="1" applyFont="1" applyFill="1" applyBorder="1" applyAlignment="1">
      <alignment horizontal="center" vertical="top"/>
    </xf>
    <xf numFmtId="4" fontId="62" fillId="5" borderId="63" xfId="0" applyNumberFormat="1" applyFont="1" applyFill="1" applyBorder="1" applyAlignment="1">
      <alignment horizontal="right" vertical="top"/>
    </xf>
    <xf numFmtId="39" fontId="61" fillId="5" borderId="0" xfId="0" quotePrefix="1" applyNumberFormat="1" applyFont="1" applyFill="1" applyBorder="1" applyAlignment="1">
      <alignment horizontal="center"/>
    </xf>
    <xf numFmtId="39" fontId="61" fillId="5" borderId="0" xfId="0" applyNumberFormat="1" applyFont="1" applyFill="1" applyBorder="1" applyAlignment="1">
      <alignment horizontal="right"/>
    </xf>
    <xf numFmtId="0" fontId="59" fillId="5" borderId="0" xfId="0" applyNumberFormat="1" applyFont="1" applyFill="1" applyBorder="1"/>
    <xf numFmtId="39" fontId="119" fillId="5" borderId="10" xfId="0" quotePrefix="1" applyNumberFormat="1" applyFont="1" applyFill="1" applyBorder="1" applyAlignment="1">
      <alignment vertical="center" wrapText="1"/>
    </xf>
    <xf numFmtId="0" fontId="68" fillId="26" borderId="130" xfId="0" applyNumberFormat="1" applyFont="1" applyFill="1" applyBorder="1" applyAlignment="1">
      <alignment horizontal="center" vertical="center"/>
    </xf>
    <xf numFmtId="43" fontId="26" fillId="6" borderId="3" xfId="2" applyFont="1" applyFill="1" applyBorder="1" applyAlignment="1">
      <alignment horizontal="center" vertical="center"/>
    </xf>
    <xf numFmtId="43" fontId="26" fillId="6" borderId="133" xfId="2" applyFont="1" applyFill="1" applyBorder="1" applyAlignment="1">
      <alignment horizontal="center" vertical="center"/>
    </xf>
    <xf numFmtId="43" fontId="26" fillId="6" borderId="132" xfId="2" applyFont="1" applyFill="1" applyBorder="1" applyAlignment="1">
      <alignment horizontal="right" vertical="center"/>
    </xf>
    <xf numFmtId="43" fontId="160" fillId="15" borderId="63" xfId="2" applyNumberFormat="1" applyFont="1" applyFill="1" applyBorder="1" applyAlignment="1">
      <alignment horizontal="right" vertical="center"/>
    </xf>
    <xf numFmtId="4" fontId="102" fillId="2" borderId="0" xfId="0" applyNumberFormat="1" applyFont="1" applyAlignment="1">
      <alignment vertical="center"/>
    </xf>
    <xf numFmtId="0" fontId="171" fillId="26" borderId="72" xfId="0" applyFont="1" applyFill="1" applyBorder="1" applyAlignment="1"/>
    <xf numFmtId="0" fontId="171" fillId="26" borderId="72" xfId="0" applyNumberFormat="1" applyFont="1" applyFill="1" applyBorder="1" applyAlignment="1">
      <alignment horizontal="left"/>
    </xf>
    <xf numFmtId="0" fontId="171" fillId="26" borderId="72" xfId="0" applyNumberFormat="1" applyFont="1" applyFill="1" applyBorder="1" applyAlignment="1"/>
    <xf numFmtId="0" fontId="0" fillId="26" borderId="72" xfId="0" applyNumberFormat="1" applyFont="1" applyFill="1" applyBorder="1" applyAlignment="1"/>
    <xf numFmtId="43" fontId="170" fillId="26" borderId="72" xfId="0" applyNumberFormat="1" applyFont="1" applyFill="1" applyBorder="1" applyAlignment="1"/>
    <xf numFmtId="0" fontId="20" fillId="15" borderId="131" xfId="0" applyFont="1" applyFill="1" applyBorder="1"/>
    <xf numFmtId="0" fontId="20" fillId="15" borderId="72" xfId="0" applyFont="1" applyFill="1" applyBorder="1"/>
    <xf numFmtId="0" fontId="0" fillId="26" borderId="0" xfId="0" applyFont="1" applyFill="1" applyAlignment="1"/>
    <xf numFmtId="0" fontId="0" fillId="26" borderId="0" xfId="0" applyFill="1"/>
    <xf numFmtId="0" fontId="143" fillId="13" borderId="10" xfId="58" applyFont="1" applyFill="1" applyBorder="1" applyAlignment="1">
      <alignment horizontal="left" vertical="center" wrapText="1"/>
    </xf>
    <xf numFmtId="10" fontId="158" fillId="0" borderId="10" xfId="2" applyNumberFormat="1" applyFont="1" applyFill="1" applyBorder="1" applyAlignment="1">
      <alignment horizontal="center" vertical="center"/>
    </xf>
    <xf numFmtId="43" fontId="158" fillId="0" borderId="10" xfId="2" applyFont="1" applyFill="1" applyBorder="1" applyAlignment="1">
      <alignment horizontal="center" vertical="center"/>
    </xf>
    <xf numFmtId="0" fontId="174" fillId="0" borderId="10" xfId="34" applyNumberFormat="1" applyFont="1" applyFill="1" applyBorder="1" applyAlignment="1">
      <alignment horizontal="center" vertical="center"/>
    </xf>
    <xf numFmtId="15" fontId="174" fillId="0" borderId="10" xfId="2" applyNumberFormat="1" applyFont="1" applyFill="1" applyBorder="1" applyAlignment="1">
      <alignment horizontal="center" vertical="center"/>
    </xf>
    <xf numFmtId="0" fontId="175" fillId="0" borderId="10" xfId="58" applyNumberFormat="1" applyFont="1" applyFill="1" applyBorder="1" applyAlignment="1" applyProtection="1">
      <alignment vertical="center"/>
    </xf>
    <xf numFmtId="10" fontId="174" fillId="5" borderId="10" xfId="76" applyNumberFormat="1" applyFont="1" applyFill="1" applyBorder="1" applyAlignment="1">
      <alignment horizontal="center" vertical="center"/>
    </xf>
    <xf numFmtId="43" fontId="174" fillId="5" borderId="10" xfId="2" applyFont="1" applyFill="1" applyBorder="1" applyAlignment="1">
      <alignment horizontal="right" vertical="center"/>
    </xf>
    <xf numFmtId="43" fontId="174" fillId="0" borderId="12" xfId="2" applyFont="1" applyFill="1" applyBorder="1" applyAlignment="1">
      <alignment horizontal="center" vertical="center"/>
    </xf>
    <xf numFmtId="0" fontId="176" fillId="0" borderId="10" xfId="58" applyFont="1" applyFill="1" applyBorder="1" applyAlignment="1">
      <alignment vertical="center" wrapText="1"/>
    </xf>
    <xf numFmtId="0" fontId="175" fillId="0" borderId="0" xfId="0" applyFont="1" applyFill="1"/>
    <xf numFmtId="0" fontId="176" fillId="0" borderId="75" xfId="58" applyFont="1" applyFill="1" applyBorder="1" applyAlignment="1">
      <alignment vertical="center" wrapText="1"/>
    </xf>
    <xf numFmtId="37" fontId="174" fillId="5" borderId="65" xfId="34" applyNumberFormat="1" applyFont="1" applyFill="1" applyBorder="1" applyAlignment="1">
      <alignment horizontal="center" vertical="center"/>
    </xf>
    <xf numFmtId="4" fontId="174" fillId="5" borderId="10" xfId="0" applyNumberFormat="1" applyFont="1" applyFill="1" applyBorder="1" applyAlignment="1">
      <alignment horizontal="right" vertical="center"/>
    </xf>
    <xf numFmtId="0" fontId="174" fillId="0" borderId="65" xfId="2" applyNumberFormat="1" applyFont="1" applyFill="1" applyBorder="1" applyAlignment="1">
      <alignment horizontal="center" vertical="center"/>
    </xf>
    <xf numFmtId="43" fontId="174" fillId="5" borderId="10" xfId="0" applyNumberFormat="1" applyFont="1" applyFill="1" applyBorder="1" applyAlignment="1">
      <alignment horizontal="center" vertical="center"/>
    </xf>
    <xf numFmtId="15" fontId="174" fillId="5" borderId="10" xfId="0" applyNumberFormat="1" applyFont="1" applyFill="1" applyBorder="1" applyAlignment="1">
      <alignment horizontal="center" vertical="center"/>
    </xf>
    <xf numFmtId="15" fontId="174" fillId="5" borderId="10" xfId="2" applyNumberFormat="1" applyFont="1" applyFill="1" applyBorder="1" applyAlignment="1">
      <alignment horizontal="center" vertical="center"/>
    </xf>
    <xf numFmtId="43" fontId="177" fillId="0" borderId="10" xfId="0" applyNumberFormat="1" applyFont="1" applyFill="1" applyBorder="1" applyAlignment="1">
      <alignment vertical="center"/>
    </xf>
    <xf numFmtId="37" fontId="174" fillId="5" borderId="10" xfId="0" applyNumberFormat="1" applyFont="1" applyFill="1" applyBorder="1" applyAlignment="1">
      <alignment horizontal="center" vertical="center"/>
    </xf>
    <xf numFmtId="10" fontId="174" fillId="5" borderId="10" xfId="0" applyNumberFormat="1" applyFont="1" applyFill="1" applyBorder="1" applyAlignment="1">
      <alignment horizontal="center" vertical="center"/>
    </xf>
    <xf numFmtId="43" fontId="174" fillId="5" borderId="10" xfId="0" applyNumberFormat="1" applyFont="1" applyFill="1" applyBorder="1" applyAlignment="1">
      <alignment horizontal="right" vertical="center"/>
    </xf>
    <xf numFmtId="0" fontId="174" fillId="2" borderId="10" xfId="0" applyFont="1" applyFill="1" applyBorder="1" applyAlignment="1">
      <alignment horizontal="center" vertical="center"/>
    </xf>
    <xf numFmtId="43" fontId="174" fillId="0" borderId="10" xfId="0" applyNumberFormat="1" applyFont="1" applyFill="1" applyBorder="1" applyAlignment="1">
      <alignment vertical="center"/>
    </xf>
    <xf numFmtId="0" fontId="175" fillId="0" borderId="0" xfId="0" applyFont="1" applyFill="1" applyBorder="1"/>
    <xf numFmtId="0" fontId="174" fillId="5" borderId="10" xfId="34" applyNumberFormat="1" applyFont="1" applyFill="1" applyBorder="1" applyAlignment="1">
      <alignment horizontal="center" vertical="center"/>
    </xf>
    <xf numFmtId="43" fontId="174" fillId="5" borderId="10" xfId="2" applyFont="1" applyFill="1" applyBorder="1" applyAlignment="1">
      <alignment horizontal="center" vertical="center"/>
    </xf>
    <xf numFmtId="43" fontId="177" fillId="0" borderId="10" xfId="2" applyFont="1" applyFill="1" applyBorder="1" applyAlignment="1">
      <alignment vertical="center"/>
    </xf>
    <xf numFmtId="37" fontId="174" fillId="5" borderId="10" xfId="34" applyNumberFormat="1" applyFont="1" applyFill="1" applyBorder="1" applyAlignment="1">
      <alignment horizontal="center" vertical="center"/>
    </xf>
    <xf numFmtId="39" fontId="174" fillId="5" borderId="10" xfId="34" applyNumberFormat="1" applyFont="1" applyFill="1" applyBorder="1" applyAlignment="1">
      <alignment horizontal="center" vertical="center"/>
    </xf>
    <xf numFmtId="43" fontId="178" fillId="0" borderId="10" xfId="2" applyFont="1" applyFill="1" applyBorder="1" applyAlignment="1">
      <alignment vertical="center" wrapText="1"/>
    </xf>
    <xf numFmtId="0" fontId="175" fillId="2" borderId="40" xfId="0" applyFont="1" applyBorder="1"/>
    <xf numFmtId="0" fontId="175" fillId="2" borderId="0" xfId="0" applyFont="1" applyBorder="1"/>
    <xf numFmtId="0" fontId="175" fillId="2" borderId="10" xfId="0" applyFont="1" applyBorder="1"/>
    <xf numFmtId="0" fontId="19" fillId="0" borderId="34" xfId="34" applyNumberFormat="1" applyFont="1" applyFill="1" applyBorder="1" applyAlignment="1">
      <alignment horizontal="left" vertical="center"/>
    </xf>
    <xf numFmtId="0" fontId="23" fillId="2" borderId="32" xfId="0" applyFont="1" applyBorder="1"/>
    <xf numFmtId="0" fontId="28" fillId="0" borderId="3" xfId="0" applyFont="1" applyFill="1" applyBorder="1" applyAlignment="1">
      <alignment vertical="center"/>
    </xf>
    <xf numFmtId="0" fontId="59" fillId="5" borderId="115" xfId="34" applyNumberFormat="1" applyFont="1" applyFill="1" applyBorder="1" applyAlignment="1">
      <alignment horizontal="left" vertical="center"/>
    </xf>
    <xf numFmtId="43" fontId="58" fillId="5" borderId="134" xfId="2" applyFont="1" applyFill="1" applyBorder="1" applyAlignment="1">
      <alignment horizontal="left" vertical="center"/>
    </xf>
    <xf numFmtId="0" fontId="143" fillId="0" borderId="10" xfId="0" applyFont="1" applyFill="1" applyBorder="1" applyAlignment="1"/>
    <xf numFmtId="0" fontId="13" fillId="0" borderId="10" xfId="0" applyFont="1" applyFill="1" applyBorder="1" applyAlignment="1">
      <alignment wrapText="1"/>
    </xf>
    <xf numFmtId="15" fontId="143" fillId="13" borderId="3" xfId="58" applyNumberFormat="1" applyFont="1" applyFill="1" applyBorder="1" applyAlignment="1">
      <alignment horizontal="center" vertical="center"/>
    </xf>
    <xf numFmtId="0" fontId="144" fillId="13" borderId="0" xfId="58" applyFont="1" applyFill="1" applyBorder="1" applyAlignment="1">
      <alignment horizontal="center" vertical="center"/>
    </xf>
    <xf numFmtId="0" fontId="116" fillId="5" borderId="46" xfId="34" applyNumberFormat="1" applyFont="1" applyFill="1" applyBorder="1" applyAlignment="1">
      <alignment horizontal="left" vertical="center"/>
    </xf>
    <xf numFmtId="0" fontId="123" fillId="0" borderId="34" xfId="58" applyFont="1" applyFill="1" applyBorder="1" applyAlignment="1">
      <alignment vertical="center"/>
    </xf>
    <xf numFmtId="43" fontId="31" fillId="0" borderId="0" xfId="2" applyFont="1" applyFill="1" applyBorder="1" applyAlignment="1">
      <alignment horizontal="center" vertical="center"/>
    </xf>
    <xf numFmtId="0" fontId="29" fillId="2" borderId="0" xfId="58" applyFont="1" applyAlignment="1">
      <alignment horizontal="left" vertical="center"/>
    </xf>
    <xf numFmtId="0" fontId="61" fillId="18" borderId="0" xfId="0" applyNumberFormat="1" applyFont="1" applyFill="1" applyBorder="1" applyAlignment="1">
      <alignment horizontal="left" indent="1"/>
    </xf>
    <xf numFmtId="0" fontId="68" fillId="2" borderId="0" xfId="58" applyFont="1" applyAlignment="1">
      <alignment horizontal="left" vertical="center"/>
    </xf>
    <xf numFmtId="170" fontId="59" fillId="13" borderId="10" xfId="2" applyNumberFormat="1" applyFont="1" applyFill="1" applyBorder="1" applyAlignment="1">
      <alignment horizontal="center" vertical="center"/>
    </xf>
    <xf numFmtId="10" fontId="59" fillId="13" borderId="10" xfId="2" applyNumberFormat="1" applyFont="1" applyFill="1" applyBorder="1" applyAlignment="1">
      <alignment horizontal="center" vertical="center"/>
    </xf>
    <xf numFmtId="4" fontId="58" fillId="13" borderId="10" xfId="0" applyNumberFormat="1" applyFont="1" applyFill="1" applyBorder="1" applyAlignment="1">
      <alignment horizontal="right"/>
    </xf>
    <xf numFmtId="39" fontId="59" fillId="13" borderId="10" xfId="0" applyNumberFormat="1" applyFont="1" applyFill="1" applyBorder="1" applyAlignment="1">
      <alignment horizontal="left" vertical="center" wrapText="1"/>
    </xf>
    <xf numFmtId="39" fontId="59" fillId="13" borderId="10" xfId="34" applyNumberFormat="1" applyFont="1" applyFill="1" applyBorder="1" applyAlignment="1">
      <alignment horizontal="left" vertical="center" wrapText="1"/>
    </xf>
    <xf numFmtId="0" fontId="59" fillId="13" borderId="10" xfId="0" applyNumberFormat="1" applyFont="1" applyFill="1" applyBorder="1" applyAlignment="1">
      <alignment wrapText="1"/>
    </xf>
    <xf numFmtId="0" fontId="59" fillId="13" borderId="10" xfId="0" applyNumberFormat="1" applyFont="1" applyFill="1" applyBorder="1" applyAlignment="1">
      <alignment horizontal="center"/>
    </xf>
    <xf numFmtId="0" fontId="23" fillId="13" borderId="0" xfId="0" applyFont="1" applyFill="1" applyBorder="1"/>
    <xf numFmtId="39" fontId="35" fillId="13" borderId="10" xfId="0" applyNumberFormat="1" applyFont="1" applyFill="1" applyBorder="1" applyAlignment="1">
      <alignment horizontal="center" vertical="center"/>
    </xf>
    <xf numFmtId="0" fontId="13" fillId="0" borderId="0" xfId="0" applyFont="1" applyFill="1" applyAlignment="1"/>
    <xf numFmtId="0" fontId="13" fillId="0" borderId="0" xfId="0" applyFont="1" applyFill="1" applyBorder="1"/>
    <xf numFmtId="0" fontId="81" fillId="0" borderId="0" xfId="58" applyNumberFormat="1" applyFont="1" applyFill="1" applyAlignment="1">
      <alignment horizontal="left"/>
    </xf>
    <xf numFmtId="0" fontId="183" fillId="0" borderId="0" xfId="58" applyNumberFormat="1" applyFont="1" applyFill="1"/>
    <xf numFmtId="0" fontId="184" fillId="0" borderId="0" xfId="58" applyNumberFormat="1" applyFont="1" applyFill="1" applyAlignment="1">
      <alignment horizontal="left"/>
    </xf>
    <xf numFmtId="43" fontId="29" fillId="2" borderId="0" xfId="58" applyNumberFormat="1" applyFont="1" applyAlignment="1">
      <alignment horizontal="left" vertical="center"/>
    </xf>
    <xf numFmtId="0" fontId="183" fillId="0" borderId="0" xfId="58" applyNumberFormat="1" applyFont="1" applyFill="1" applyAlignment="1">
      <alignment horizontal="left"/>
    </xf>
    <xf numFmtId="0" fontId="29" fillId="2" borderId="0" xfId="58" applyFont="1" applyAlignment="1">
      <alignment horizontal="left" vertical="top"/>
    </xf>
    <xf numFmtId="0" fontId="179" fillId="0" borderId="0" xfId="58" applyNumberFormat="1" applyFont="1" applyFill="1" applyAlignment="1">
      <alignment horizontal="left" vertical="top"/>
    </xf>
    <xf numFmtId="0" fontId="180" fillId="0" borderId="0" xfId="58" applyNumberFormat="1" applyFont="1" applyFill="1" applyAlignment="1">
      <alignment vertical="top"/>
    </xf>
    <xf numFmtId="0" fontId="181" fillId="0" borderId="0" xfId="58" applyNumberFormat="1" applyFont="1" applyFill="1" applyAlignment="1">
      <alignment vertical="top"/>
    </xf>
    <xf numFmtId="0" fontId="182" fillId="0" borderId="0" xfId="58" applyNumberFormat="1" applyFont="1" applyFill="1" applyAlignment="1">
      <alignment horizontal="left" vertical="top"/>
    </xf>
    <xf numFmtId="43" fontId="48" fillId="0" borderId="0" xfId="2" applyFont="1" applyFill="1" applyAlignment="1">
      <alignment vertical="top"/>
    </xf>
    <xf numFmtId="43" fontId="24" fillId="5" borderId="0" xfId="58" applyNumberFormat="1" applyFont="1" applyFill="1" applyAlignment="1">
      <alignment horizontal="left" vertical="center"/>
    </xf>
    <xf numFmtId="43" fontId="48" fillId="5" borderId="0" xfId="58" applyNumberFormat="1" applyFont="1" applyFill="1" applyAlignment="1">
      <alignment horizontal="left" vertical="top"/>
    </xf>
    <xf numFmtId="0" fontId="25" fillId="0" borderId="0" xfId="0" applyNumberFormat="1" applyFont="1" applyFill="1" applyAlignment="1">
      <alignment vertical="top"/>
    </xf>
    <xf numFmtId="0" fontId="185" fillId="0" borderId="0" xfId="0" applyNumberFormat="1" applyFont="1" applyFill="1"/>
    <xf numFmtId="0" fontId="58" fillId="5" borderId="67" xfId="34" applyNumberFormat="1" applyFont="1" applyFill="1" applyBorder="1" applyAlignment="1">
      <alignment horizontal="left" vertical="center"/>
    </xf>
    <xf numFmtId="43" fontId="26" fillId="15" borderId="136" xfId="2" applyFont="1" applyFill="1" applyBorder="1" applyAlignment="1">
      <alignment horizontal="right" vertical="center"/>
    </xf>
    <xf numFmtId="43" fontId="26" fillId="15" borderId="63" xfId="2" applyFont="1" applyFill="1" applyBorder="1" applyAlignment="1">
      <alignment horizontal="right" vertical="center"/>
    </xf>
    <xf numFmtId="43" fontId="26" fillId="15" borderId="137" xfId="2" applyFont="1" applyFill="1" applyBorder="1" applyAlignment="1">
      <alignment horizontal="right" vertical="center"/>
    </xf>
    <xf numFmtId="0" fontId="13" fillId="0" borderId="5" xfId="58" applyFont="1" applyFill="1" applyBorder="1" applyAlignment="1">
      <alignment horizontal="left" vertical="center" wrapText="1"/>
    </xf>
    <xf numFmtId="4" fontId="15" fillId="7" borderId="13" xfId="58" applyNumberFormat="1" applyFont="1" applyFill="1" applyBorder="1" applyAlignment="1">
      <alignment horizontal="right" vertical="center"/>
    </xf>
    <xf numFmtId="0" fontId="0" fillId="26" borderId="124" xfId="0" applyFont="1" applyFill="1" applyBorder="1" applyAlignment="1"/>
    <xf numFmtId="0" fontId="13" fillId="0" borderId="34" xfId="58" applyNumberFormat="1" applyFont="1" applyFill="1" applyBorder="1" applyAlignment="1">
      <alignment vertical="center"/>
    </xf>
    <xf numFmtId="43" fontId="17" fillId="13" borderId="34" xfId="2" applyFont="1" applyFill="1" applyBorder="1" applyAlignment="1">
      <alignment vertical="center"/>
    </xf>
    <xf numFmtId="0" fontId="25" fillId="5" borderId="135" xfId="34" applyNumberFormat="1" applyFont="1" applyFill="1" applyBorder="1" applyAlignment="1">
      <alignment horizontal="left" vertical="center"/>
    </xf>
    <xf numFmtId="0" fontId="121" fillId="13" borderId="0" xfId="0" applyFont="1" applyFill="1" applyBorder="1"/>
    <xf numFmtId="0" fontId="58" fillId="5" borderId="101" xfId="34" applyNumberFormat="1" applyFont="1" applyFill="1" applyBorder="1" applyAlignment="1">
      <alignment horizontal="left" vertical="center"/>
    </xf>
    <xf numFmtId="0" fontId="59" fillId="5" borderId="138" xfId="34" applyNumberFormat="1" applyFont="1" applyFill="1" applyBorder="1" applyAlignment="1">
      <alignment horizontal="left" vertical="center"/>
    </xf>
    <xf numFmtId="0" fontId="58" fillId="0" borderId="67" xfId="34" applyNumberFormat="1" applyFont="1" applyFill="1" applyBorder="1" applyAlignment="1">
      <alignment horizontal="left" vertical="center"/>
    </xf>
    <xf numFmtId="0" fontId="90" fillId="5" borderId="0" xfId="34" applyNumberFormat="1" applyFont="1" applyFill="1" applyBorder="1" applyAlignment="1">
      <alignment horizontal="left"/>
    </xf>
    <xf numFmtId="0" fontId="89" fillId="5" borderId="0" xfId="34" applyNumberFormat="1" applyFont="1" applyFill="1" applyBorder="1" applyAlignment="1">
      <alignment horizontal="left"/>
    </xf>
    <xf numFmtId="0" fontId="89" fillId="5" borderId="53" xfId="34" applyNumberFormat="1" applyFont="1" applyFill="1" applyBorder="1" applyAlignment="1">
      <alignment horizontal="left"/>
    </xf>
    <xf numFmtId="10" fontId="89" fillId="5" borderId="53" xfId="34" applyNumberFormat="1" applyFont="1" applyFill="1" applyBorder="1" applyAlignment="1">
      <alignment horizontal="left"/>
    </xf>
    <xf numFmtId="0" fontId="89" fillId="5" borderId="53" xfId="2" applyNumberFormat="1" applyFont="1" applyFill="1" applyBorder="1" applyAlignment="1">
      <alignment horizontal="left"/>
    </xf>
    <xf numFmtId="0" fontId="89" fillId="5" borderId="0" xfId="72" applyNumberFormat="1" applyFont="1" applyFill="1" applyBorder="1" applyAlignment="1">
      <alignment horizontal="left"/>
    </xf>
    <xf numFmtId="0" fontId="89" fillId="5" borderId="0" xfId="2" applyNumberFormat="1" applyFont="1" applyFill="1" applyBorder="1" applyAlignment="1">
      <alignment horizontal="left"/>
    </xf>
    <xf numFmtId="0" fontId="89" fillId="5" borderId="39" xfId="34" applyNumberFormat="1" applyFont="1" applyFill="1" applyBorder="1" applyAlignment="1">
      <alignment horizontal="left"/>
    </xf>
    <xf numFmtId="0" fontId="89" fillId="5" borderId="34" xfId="34" applyNumberFormat="1" applyFont="1" applyFill="1" applyBorder="1" applyAlignment="1">
      <alignment horizontal="center"/>
    </xf>
    <xf numFmtId="0" fontId="13" fillId="0" borderId="91" xfId="58" applyFont="1" applyFill="1" applyBorder="1" applyAlignment="1">
      <alignment horizontal="left" vertical="center" wrapText="1"/>
    </xf>
    <xf numFmtId="0" fontId="59" fillId="13" borderId="63" xfId="0" applyNumberFormat="1" applyFont="1" applyFill="1" applyBorder="1" applyAlignment="1">
      <alignment horizontal="left" vertical="center"/>
    </xf>
    <xf numFmtId="171" fontId="43" fillId="2" borderId="0" xfId="0" applyNumberFormat="1" applyFont="1"/>
    <xf numFmtId="43" fontId="17" fillId="2" borderId="0" xfId="2" applyFont="1" applyFill="1"/>
    <xf numFmtId="0" fontId="28" fillId="2" borderId="109" xfId="0" applyNumberFormat="1" applyFont="1" applyBorder="1" applyAlignment="1">
      <alignment horizontal="center" vertical="center"/>
    </xf>
    <xf numFmtId="4" fontId="28" fillId="2" borderId="3" xfId="0" applyNumberFormat="1" applyFont="1" applyBorder="1" applyAlignment="1">
      <alignment vertical="center"/>
    </xf>
    <xf numFmtId="4" fontId="28" fillId="0" borderId="3" xfId="0" applyNumberFormat="1" applyFont="1" applyFill="1" applyBorder="1" applyAlignment="1">
      <alignment vertical="center"/>
    </xf>
    <xf numFmtId="4" fontId="28" fillId="19" borderId="3" xfId="0" applyNumberFormat="1" applyFont="1" applyFill="1" applyBorder="1" applyAlignment="1">
      <alignment vertical="center"/>
    </xf>
    <xf numFmtId="15" fontId="28" fillId="2" borderId="3" xfId="0" applyNumberFormat="1" applyFont="1" applyBorder="1" applyAlignment="1">
      <alignment horizontal="center" vertical="center"/>
    </xf>
    <xf numFmtId="0" fontId="95" fillId="0" borderId="59" xfId="0" applyFont="1" applyFill="1" applyBorder="1" applyAlignment="1">
      <alignment vertical="center" wrapText="1"/>
    </xf>
    <xf numFmtId="43" fontId="28" fillId="0" borderId="6" xfId="0" applyNumberFormat="1" applyFont="1" applyFill="1" applyBorder="1" applyAlignment="1">
      <alignment horizontal="right" vertical="center"/>
    </xf>
    <xf numFmtId="15" fontId="28" fillId="0" borderId="14" xfId="0" applyNumberFormat="1" applyFont="1" applyFill="1" applyBorder="1" applyAlignment="1">
      <alignment horizontal="center" vertical="center"/>
    </xf>
    <xf numFmtId="15" fontId="28" fillId="2" borderId="14" xfId="0" applyNumberFormat="1" applyFont="1" applyBorder="1" applyAlignment="1">
      <alignment horizontal="center" vertical="center"/>
    </xf>
    <xf numFmtId="0" fontId="28" fillId="2" borderId="0" xfId="0" applyFont="1" applyAlignment="1"/>
    <xf numFmtId="0" fontId="28" fillId="2" borderId="0" xfId="0" applyFont="1"/>
    <xf numFmtId="0" fontId="158" fillId="0" borderId="10" xfId="2" applyNumberFormat="1" applyFont="1" applyFill="1" applyBorder="1" applyAlignment="1">
      <alignment horizontal="center" vertical="center"/>
    </xf>
    <xf numFmtId="0" fontId="143" fillId="0" borderId="10" xfId="58" applyNumberFormat="1" applyFont="1" applyFill="1" applyBorder="1" applyAlignment="1">
      <alignment vertical="center"/>
    </xf>
    <xf numFmtId="0" fontId="58" fillId="13" borderId="10" xfId="34" applyNumberFormat="1" applyFont="1" applyFill="1" applyBorder="1" applyAlignment="1">
      <alignment horizontal="center" vertical="center" wrapText="1"/>
    </xf>
    <xf numFmtId="39" fontId="58" fillId="13" borderId="10" xfId="34" applyNumberFormat="1" applyFont="1" applyFill="1" applyBorder="1" applyAlignment="1">
      <alignment horizontal="center" vertical="center" wrapText="1"/>
    </xf>
    <xf numFmtId="39" fontId="58" fillId="0" borderId="10" xfId="34" applyNumberFormat="1" applyFont="1" applyFill="1" applyBorder="1" applyAlignment="1">
      <alignment horizontal="center" vertical="center" wrapText="1"/>
    </xf>
    <xf numFmtId="0" fontId="30" fillId="13" borderId="10" xfId="34" applyNumberFormat="1" applyFont="1" applyFill="1" applyBorder="1" applyAlignment="1">
      <alignment horizontal="center" vertical="center" wrapText="1"/>
    </xf>
    <xf numFmtId="0" fontId="59" fillId="13" borderId="65" xfId="0" applyNumberFormat="1" applyFont="1" applyFill="1" applyBorder="1" applyAlignment="1">
      <alignment horizontal="left" vertical="center"/>
    </xf>
    <xf numFmtId="0" fontId="59" fillId="13" borderId="10" xfId="34" applyNumberFormat="1" applyFont="1" applyFill="1" applyBorder="1" applyAlignment="1">
      <alignment horizontal="center" vertical="center" wrapText="1"/>
    </xf>
    <xf numFmtId="1" fontId="59" fillId="13" borderId="10" xfId="34" applyNumberFormat="1" applyFont="1" applyFill="1" applyBorder="1" applyAlignment="1">
      <alignment horizontal="center" vertical="center"/>
    </xf>
    <xf numFmtId="10" fontId="113" fillId="0" borderId="10" xfId="0" applyNumberFormat="1" applyFont="1" applyFill="1" applyBorder="1" applyAlignment="1">
      <alignment horizontal="center"/>
    </xf>
    <xf numFmtId="15" fontId="113" fillId="0" borderId="10" xfId="0" applyNumberFormat="1" applyFont="1" applyFill="1" applyBorder="1" applyAlignment="1">
      <alignment horizontal="center"/>
    </xf>
    <xf numFmtId="1" fontId="158" fillId="5" borderId="10" xfId="0" applyNumberFormat="1" applyFont="1" applyFill="1" applyBorder="1" applyAlignment="1">
      <alignment horizontal="center" vertical="center"/>
    </xf>
    <xf numFmtId="15" fontId="158" fillId="5" borderId="10" xfId="0" applyNumberFormat="1" applyFont="1" applyFill="1" applyBorder="1" applyAlignment="1">
      <alignment horizontal="center" vertical="center"/>
    </xf>
    <xf numFmtId="15" fontId="158" fillId="5" borderId="10" xfId="2" applyNumberFormat="1" applyFont="1" applyFill="1" applyBorder="1" applyAlignment="1">
      <alignment horizontal="center" vertical="center"/>
    </xf>
    <xf numFmtId="0" fontId="143" fillId="0" borderId="0" xfId="0" applyFont="1" applyFill="1" applyBorder="1"/>
    <xf numFmtId="0" fontId="143" fillId="0" borderId="10" xfId="58" applyFont="1" applyFill="1" applyBorder="1" applyAlignment="1">
      <alignment vertical="center" wrapText="1"/>
    </xf>
    <xf numFmtId="0" fontId="28" fillId="0" borderId="34" xfId="0" applyFont="1" applyFill="1" applyBorder="1" applyAlignment="1">
      <alignment vertical="center"/>
    </xf>
    <xf numFmtId="39" fontId="59" fillId="0" borderId="10" xfId="34" applyNumberFormat="1" applyFont="1" applyFill="1" applyBorder="1" applyAlignment="1">
      <alignment horizontal="left" vertical="center" wrapText="1"/>
    </xf>
    <xf numFmtId="0" fontId="60" fillId="0" borderId="64" xfId="34" applyNumberFormat="1" applyFont="1" applyFill="1" applyBorder="1" applyAlignment="1">
      <alignment horizontal="center" vertical="center"/>
    </xf>
    <xf numFmtId="0" fontId="60" fillId="0" borderId="65" xfId="0" applyNumberFormat="1" applyFont="1" applyFill="1" applyBorder="1" applyAlignment="1">
      <alignment horizontal="left" vertical="center"/>
    </xf>
    <xf numFmtId="0" fontId="60" fillId="0" borderId="10" xfId="0" applyNumberFormat="1" applyFont="1" applyFill="1" applyBorder="1" applyAlignment="1">
      <alignment horizontal="left" vertical="center"/>
    </xf>
    <xf numFmtId="49" fontId="59" fillId="0" borderId="10" xfId="2" applyNumberFormat="1" applyFont="1" applyFill="1" applyBorder="1" applyAlignment="1">
      <alignment horizontal="center" vertical="center"/>
    </xf>
    <xf numFmtId="0" fontId="60" fillId="13" borderId="10" xfId="34" applyNumberFormat="1" applyFont="1" applyFill="1" applyBorder="1" applyAlignment="1">
      <alignment horizontal="center" vertical="center"/>
    </xf>
    <xf numFmtId="37" fontId="60" fillId="13" borderId="10" xfId="34" applyNumberFormat="1" applyFont="1" applyFill="1" applyBorder="1" applyAlignment="1">
      <alignment horizontal="center" vertical="center"/>
    </xf>
    <xf numFmtId="39" fontId="60" fillId="0" borderId="10" xfId="42" applyNumberFormat="1" applyFont="1" applyFill="1" applyBorder="1" applyAlignment="1">
      <alignment horizontal="center" vertical="center"/>
    </xf>
    <xf numFmtId="0" fontId="60" fillId="0" borderId="10" xfId="76" applyNumberFormat="1" applyFont="1" applyFill="1" applyBorder="1" applyAlignment="1">
      <alignment horizontal="center" vertical="center" wrapText="1"/>
    </xf>
    <xf numFmtId="0" fontId="60" fillId="0" borderId="0" xfId="0" applyFont="1" applyFill="1"/>
    <xf numFmtId="0" fontId="13" fillId="0" borderId="141" xfId="58" applyFont="1" applyFill="1" applyBorder="1" applyAlignment="1">
      <alignment horizontal="center" vertical="center"/>
    </xf>
    <xf numFmtId="0" fontId="13" fillId="0" borderId="142" xfId="58" applyNumberFormat="1" applyFont="1" applyFill="1" applyBorder="1" applyAlignment="1">
      <alignment horizontal="center" vertical="center"/>
    </xf>
    <xf numFmtId="10" fontId="13" fillId="0" borderId="142" xfId="58" applyNumberFormat="1" applyFont="1" applyFill="1" applyBorder="1" applyAlignment="1">
      <alignment horizontal="center" vertical="center"/>
    </xf>
    <xf numFmtId="4" fontId="13" fillId="0" borderId="142" xfId="58" applyNumberFormat="1" applyFont="1" applyFill="1" applyBorder="1" applyAlignment="1">
      <alignment vertical="center"/>
    </xf>
    <xf numFmtId="15" fontId="13" fillId="0" borderId="139" xfId="58" applyNumberFormat="1" applyFont="1" applyFill="1" applyBorder="1" applyAlignment="1">
      <alignment horizontal="center" vertical="center"/>
    </xf>
    <xf numFmtId="0" fontId="9" fillId="0" borderId="144" xfId="58" applyFont="1" applyFill="1" applyBorder="1" applyAlignment="1">
      <alignment horizontal="center" vertical="center"/>
    </xf>
    <xf numFmtId="0" fontId="9" fillId="0" borderId="143" xfId="58" applyFont="1" applyFill="1" applyBorder="1" applyAlignment="1">
      <alignment horizontal="center" vertical="center"/>
    </xf>
    <xf numFmtId="15" fontId="143" fillId="13" borderId="139" xfId="58" applyNumberFormat="1" applyFont="1" applyFill="1" applyBorder="1" applyAlignment="1">
      <alignment horizontal="center" vertical="center"/>
    </xf>
    <xf numFmtId="0" fontId="143" fillId="13" borderId="140" xfId="58" applyFont="1" applyFill="1" applyBorder="1" applyAlignment="1">
      <alignment horizontal="left" vertical="center" wrapText="1"/>
    </xf>
    <xf numFmtId="0" fontId="9" fillId="0" borderId="139" xfId="58" applyFont="1" applyFill="1" applyBorder="1" applyAlignment="1">
      <alignment horizontal="center" vertical="center"/>
    </xf>
    <xf numFmtId="0" fontId="9" fillId="0" borderId="140" xfId="58" applyFont="1" applyFill="1" applyBorder="1" applyAlignment="1">
      <alignment horizontal="center" vertical="center"/>
    </xf>
    <xf numFmtId="0" fontId="13" fillId="0" borderId="140" xfId="58" applyFont="1" applyFill="1" applyBorder="1" applyAlignment="1">
      <alignment horizontal="left" vertical="center" wrapText="1"/>
    </xf>
    <xf numFmtId="43" fontId="144" fillId="13" borderId="139" xfId="58" applyNumberFormat="1" applyFont="1" applyFill="1" applyBorder="1" applyAlignment="1">
      <alignment horizontal="center" vertical="center"/>
    </xf>
    <xf numFmtId="0" fontId="144" fillId="13" borderId="139" xfId="58" applyNumberFormat="1" applyFont="1" applyFill="1" applyBorder="1" applyAlignment="1">
      <alignment horizontal="center" vertical="center"/>
    </xf>
    <xf numFmtId="0" fontId="144" fillId="13" borderId="140" xfId="58" applyFont="1" applyFill="1" applyBorder="1" applyAlignment="1">
      <alignment horizontal="center" vertical="center"/>
    </xf>
    <xf numFmtId="0" fontId="144" fillId="13" borderId="139" xfId="58" applyFont="1" applyFill="1" applyBorder="1" applyAlignment="1">
      <alignment horizontal="center" vertical="center"/>
    </xf>
    <xf numFmtId="39" fontId="28" fillId="13" borderId="10" xfId="34" applyNumberFormat="1" applyFont="1" applyFill="1" applyBorder="1" applyAlignment="1">
      <alignment vertical="center" wrapText="1"/>
    </xf>
    <xf numFmtId="39" fontId="28" fillId="13" borderId="10" xfId="34" applyNumberFormat="1" applyFont="1" applyFill="1" applyBorder="1" applyAlignment="1">
      <alignment horizontal="center" vertical="center" wrapText="1"/>
    </xf>
    <xf numFmtId="0" fontId="28" fillId="13" borderId="10" xfId="34" applyNumberFormat="1" applyFont="1" applyFill="1" applyBorder="1" applyAlignment="1">
      <alignment horizontal="center" vertical="center" wrapText="1"/>
    </xf>
    <xf numFmtId="0" fontId="35" fillId="2" borderId="10" xfId="0" applyFont="1" applyBorder="1" applyAlignment="1">
      <alignment horizontal="left" vertical="center"/>
    </xf>
    <xf numFmtId="0" fontId="143" fillId="0" borderId="34" xfId="0" applyFont="1" applyFill="1" applyBorder="1" applyAlignment="1">
      <alignment horizontal="left" vertical="center"/>
    </xf>
    <xf numFmtId="0" fontId="13" fillId="0" borderId="142" xfId="58" applyNumberFormat="1" applyFont="1" applyFill="1" applyBorder="1" applyAlignment="1">
      <alignment vertical="center"/>
    </xf>
    <xf numFmtId="0" fontId="59" fillId="13" borderId="50" xfId="0" applyNumberFormat="1" applyFont="1" applyFill="1" applyBorder="1" applyAlignment="1">
      <alignment horizontal="left" vertical="center"/>
    </xf>
    <xf numFmtId="0" fontId="9" fillId="0" borderId="145" xfId="58" applyFont="1" applyFill="1" applyBorder="1" applyAlignment="1">
      <alignment horizontal="center" vertical="center"/>
    </xf>
    <xf numFmtId="43" fontId="143" fillId="13" borderId="145" xfId="58" applyNumberFormat="1" applyFont="1" applyFill="1" applyBorder="1" applyAlignment="1">
      <alignment horizontal="right" vertical="center"/>
    </xf>
    <xf numFmtId="4" fontId="15" fillId="7" borderId="145" xfId="58" applyNumberFormat="1" applyFont="1" applyFill="1" applyBorder="1" applyAlignment="1">
      <alignment vertical="center"/>
    </xf>
    <xf numFmtId="0" fontId="9" fillId="0" borderId="145" xfId="58" applyNumberFormat="1" applyFont="1" applyFill="1" applyBorder="1" applyAlignment="1">
      <alignment horizontal="center" vertical="center"/>
    </xf>
    <xf numFmtId="43" fontId="13" fillId="0" borderId="145" xfId="58" applyNumberFormat="1" applyFont="1" applyFill="1" applyBorder="1" applyAlignment="1">
      <alignment horizontal="right" vertical="center"/>
    </xf>
    <xf numFmtId="4" fontId="15" fillId="24" borderId="145" xfId="58" applyNumberFormat="1" applyFont="1" applyFill="1" applyBorder="1" applyAlignment="1">
      <alignment horizontal="right" vertical="center"/>
    </xf>
    <xf numFmtId="2" fontId="143" fillId="13" borderId="145" xfId="58" applyNumberFormat="1" applyFont="1" applyFill="1" applyBorder="1" applyAlignment="1">
      <alignment horizontal="right" vertical="center"/>
    </xf>
    <xf numFmtId="0" fontId="9" fillId="5" borderId="142" xfId="58" applyFont="1" applyFill="1" applyBorder="1" applyAlignment="1">
      <alignment vertical="center"/>
    </xf>
    <xf numFmtId="0" fontId="149" fillId="13" borderId="142" xfId="58" applyFont="1" applyFill="1" applyBorder="1" applyAlignment="1">
      <alignment vertical="center" wrapText="1"/>
    </xf>
    <xf numFmtId="0" fontId="101" fillId="13" borderId="142" xfId="58" applyFont="1" applyFill="1" applyBorder="1" applyAlignment="1">
      <alignment vertical="center" wrapText="1"/>
    </xf>
    <xf numFmtId="0" fontId="16" fillId="5" borderId="142" xfId="58" applyFont="1" applyFill="1" applyBorder="1" applyAlignment="1">
      <alignment vertical="top"/>
    </xf>
    <xf numFmtId="0" fontId="101" fillId="0" borderId="142" xfId="58" applyFont="1" applyFill="1" applyBorder="1" applyAlignment="1">
      <alignment vertical="center" wrapText="1"/>
    </xf>
    <xf numFmtId="0" fontId="143" fillId="13" borderId="142" xfId="58" applyFont="1" applyFill="1" applyBorder="1" applyAlignment="1">
      <alignment vertical="center"/>
    </xf>
    <xf numFmtId="0" fontId="35" fillId="2" borderId="10" xfId="0" applyFont="1" applyBorder="1" applyAlignment="1">
      <alignment horizontal="left" vertical="center" wrapText="1"/>
    </xf>
    <xf numFmtId="0" fontId="0" fillId="14" borderId="0" xfId="0" applyFill="1"/>
    <xf numFmtId="0" fontId="23" fillId="14" borderId="0" xfId="0" applyFont="1" applyFill="1"/>
    <xf numFmtId="10" fontId="17" fillId="0" borderId="34" xfId="2" applyNumberFormat="1" applyFont="1" applyFill="1" applyBorder="1" applyAlignment="1">
      <alignment horizontal="center" vertical="center"/>
    </xf>
    <xf numFmtId="164" fontId="17" fillId="0" borderId="122" xfId="2" applyNumberFormat="1" applyFont="1" applyFill="1" applyBorder="1" applyAlignment="1">
      <alignment horizontal="center" vertical="center"/>
    </xf>
    <xf numFmtId="43" fontId="17" fillId="0" borderId="125" xfId="2" applyFont="1" applyFill="1" applyBorder="1" applyAlignment="1">
      <alignment vertical="center"/>
    </xf>
    <xf numFmtId="43" fontId="17" fillId="0" borderId="125" xfId="2" applyFont="1" applyFill="1" applyBorder="1" applyAlignment="1">
      <alignment horizontal="center" vertical="center"/>
    </xf>
    <xf numFmtId="10" fontId="17" fillId="0" borderId="125" xfId="2" applyNumberFormat="1" applyFont="1" applyFill="1" applyBorder="1" applyAlignment="1">
      <alignment horizontal="center" vertical="center"/>
    </xf>
    <xf numFmtId="43" fontId="17" fillId="0" borderId="125" xfId="2" applyFont="1" applyFill="1" applyBorder="1" applyAlignment="1">
      <alignment horizontal="right" vertical="center"/>
    </xf>
    <xf numFmtId="43" fontId="105" fillId="0" borderId="125" xfId="0" applyNumberFormat="1" applyFont="1" applyFill="1" applyBorder="1" applyAlignment="1">
      <alignment horizontal="right" vertical="center"/>
    </xf>
    <xf numFmtId="15" fontId="17" fillId="0" borderId="125" xfId="2" applyNumberFormat="1" applyFont="1" applyFill="1" applyBorder="1" applyAlignment="1">
      <alignment horizontal="center" vertical="center"/>
    </xf>
    <xf numFmtId="43" fontId="95" fillId="0" borderId="148" xfId="2" applyFont="1" applyFill="1" applyBorder="1" applyAlignment="1">
      <alignment vertical="center"/>
    </xf>
    <xf numFmtId="164" fontId="17" fillId="0" borderId="34" xfId="2" applyNumberFormat="1" applyFont="1" applyFill="1" applyBorder="1" applyAlignment="1">
      <alignment horizontal="center" vertical="center"/>
    </xf>
    <xf numFmtId="172" fontId="43" fillId="0" borderId="139" xfId="0" applyNumberFormat="1" applyFont="1" applyFill="1" applyBorder="1" applyAlignment="1">
      <alignment horizontal="center" vertical="center" shrinkToFit="1"/>
    </xf>
    <xf numFmtId="0" fontId="28" fillId="2" borderId="0" xfId="0" applyFont="1" applyAlignment="1">
      <alignment horizontal="center" vertical="center"/>
    </xf>
    <xf numFmtId="0" fontId="35" fillId="13" borderId="10" xfId="0" applyFont="1" applyFill="1" applyBorder="1" applyAlignment="1">
      <alignment horizontal="left" vertical="center"/>
    </xf>
    <xf numFmtId="0" fontId="35" fillId="13" borderId="10" xfId="0" applyFont="1" applyFill="1" applyBorder="1" applyAlignment="1">
      <alignment horizontal="left" vertical="center" wrapText="1"/>
    </xf>
    <xf numFmtId="43" fontId="2" fillId="0" borderId="0" xfId="6" applyFont="1" applyBorder="1" applyAlignment="1">
      <alignment horizontal="center"/>
    </xf>
    <xf numFmtId="0" fontId="13" fillId="0" borderId="11" xfId="58" applyNumberFormat="1" applyFont="1" applyFill="1" applyBorder="1" applyAlignment="1">
      <alignment vertical="center"/>
    </xf>
    <xf numFmtId="0" fontId="13" fillId="0" borderId="38" xfId="58" applyFont="1" applyFill="1" applyBorder="1" applyAlignment="1">
      <alignment horizontal="left" vertical="center" wrapText="1"/>
    </xf>
    <xf numFmtId="0" fontId="13" fillId="0" borderId="0" xfId="58" applyNumberFormat="1" applyFont="1" applyFill="1" applyBorder="1" applyAlignment="1">
      <alignment vertical="center"/>
    </xf>
    <xf numFmtId="39" fontId="130" fillId="0" borderId="22" xfId="0" quotePrefix="1" applyNumberFormat="1" applyFont="1" applyFill="1" applyBorder="1" applyAlignment="1">
      <alignment horizontal="left" vertical="center" wrapText="1"/>
    </xf>
    <xf numFmtId="0" fontId="41" fillId="2" borderId="10" xfId="0" applyFont="1" applyBorder="1" applyAlignment="1">
      <alignment horizontal="left" vertical="center" wrapText="1"/>
    </xf>
    <xf numFmtId="43" fontId="110" fillId="2" borderId="142" xfId="2" applyFont="1" applyFill="1" applyBorder="1" applyAlignment="1">
      <alignment horizontal="center" vertical="center"/>
    </xf>
    <xf numFmtId="15" fontId="13" fillId="0" borderId="150" xfId="58" applyNumberFormat="1" applyFont="1" applyFill="1" applyBorder="1" applyAlignment="1">
      <alignment horizontal="center" vertical="center"/>
    </xf>
    <xf numFmtId="166" fontId="59" fillId="14" borderId="10" xfId="0" applyNumberFormat="1" applyFont="1" applyFill="1" applyBorder="1" applyAlignment="1">
      <alignment vertical="center"/>
    </xf>
    <xf numFmtId="39" fontId="28" fillId="13" borderId="10" xfId="0" applyNumberFormat="1" applyFont="1" applyFill="1" applyBorder="1" applyAlignment="1">
      <alignment horizontal="left" vertical="center" wrapText="1"/>
    </xf>
    <xf numFmtId="4" fontId="116" fillId="13" borderId="10" xfId="0" applyNumberFormat="1" applyFont="1" applyFill="1" applyBorder="1" applyAlignment="1">
      <alignment horizontal="right"/>
    </xf>
    <xf numFmtId="39" fontId="190" fillId="13" borderId="10" xfId="0" applyNumberFormat="1" applyFont="1" applyFill="1" applyBorder="1" applyAlignment="1">
      <alignment horizontal="left" vertical="center" wrapText="1"/>
    </xf>
    <xf numFmtId="43" fontId="59" fillId="13" borderId="10" xfId="34" applyNumberFormat="1" applyFont="1" applyFill="1" applyBorder="1" applyAlignment="1">
      <alignment horizontal="left" vertical="center" wrapText="1"/>
    </xf>
    <xf numFmtId="0" fontId="59" fillId="13" borderId="10" xfId="0" applyNumberFormat="1" applyFont="1" applyFill="1" applyBorder="1" applyAlignment="1">
      <alignment vertical="center" wrapText="1"/>
    </xf>
    <xf numFmtId="0" fontId="59" fillId="13" borderId="10" xfId="0" applyNumberFormat="1" applyFont="1" applyFill="1" applyBorder="1" applyAlignment="1">
      <alignment vertical="center"/>
    </xf>
    <xf numFmtId="4" fontId="190" fillId="2" borderId="3" xfId="0" applyNumberFormat="1" applyFont="1" applyBorder="1" applyAlignment="1">
      <alignment vertical="center"/>
    </xf>
    <xf numFmtId="4" fontId="20" fillId="14" borderId="121" xfId="58" applyNumberFormat="1" applyFont="1" applyFill="1" applyBorder="1" applyAlignment="1">
      <alignment vertical="center"/>
    </xf>
    <xf numFmtId="43" fontId="26" fillId="14" borderId="128" xfId="2" applyFont="1" applyFill="1" applyBorder="1" applyAlignment="1">
      <alignment horizontal="right" vertical="center"/>
    </xf>
    <xf numFmtId="0" fontId="52" fillId="2" borderId="0" xfId="0" applyFont="1" applyAlignment="1">
      <alignment horizontal="left" vertical="center"/>
    </xf>
    <xf numFmtId="0" fontId="113" fillId="13" borderId="10" xfId="34" applyNumberFormat="1" applyFont="1" applyFill="1" applyBorder="1" applyAlignment="1">
      <alignment vertical="center" wrapText="1"/>
    </xf>
    <xf numFmtId="39" fontId="113" fillId="13" borderId="10" xfId="34" applyNumberFormat="1" applyFont="1" applyFill="1" applyBorder="1" applyAlignment="1">
      <alignment vertical="center" wrapText="1"/>
    </xf>
    <xf numFmtId="43" fontId="23" fillId="13" borderId="0" xfId="0" applyNumberFormat="1" applyFont="1" applyFill="1" applyBorder="1"/>
    <xf numFmtId="43" fontId="60" fillId="13" borderId="0" xfId="0" applyNumberFormat="1" applyFont="1" applyFill="1"/>
    <xf numFmtId="43" fontId="133" fillId="13" borderId="0" xfId="0" applyNumberFormat="1" applyFont="1" applyFill="1"/>
    <xf numFmtId="164" fontId="17" fillId="0" borderId="34" xfId="0" applyNumberFormat="1" applyFont="1" applyFill="1" applyBorder="1" applyAlignment="1">
      <alignment horizontal="center" vertical="center"/>
    </xf>
    <xf numFmtId="43" fontId="33" fillId="0" borderId="0" xfId="2" applyFont="1" applyFill="1" applyBorder="1" applyAlignment="1">
      <alignment horizontal="right" vertical="center"/>
    </xf>
    <xf numFmtId="4" fontId="20" fillId="0" borderId="152" xfId="58" applyNumberFormat="1" applyFont="1" applyFill="1" applyBorder="1" applyAlignment="1">
      <alignment vertical="center"/>
    </xf>
    <xf numFmtId="4" fontId="20" fillId="0" borderId="153" xfId="58" applyNumberFormat="1" applyFont="1" applyFill="1" applyBorder="1" applyAlignment="1">
      <alignment vertical="center"/>
    </xf>
    <xf numFmtId="4" fontId="10" fillId="0" borderId="151" xfId="58" applyNumberFormat="1" applyFont="1" applyFill="1" applyBorder="1" applyAlignment="1">
      <alignment vertical="center"/>
    </xf>
    <xf numFmtId="43" fontId="191" fillId="13" borderId="125" xfId="0" applyNumberFormat="1" applyFont="1" applyFill="1" applyBorder="1"/>
    <xf numFmtId="43" fontId="144" fillId="14" borderId="153" xfId="0" applyNumberFormat="1" applyFont="1" applyFill="1" applyBorder="1" applyAlignment="1">
      <alignment vertical="center"/>
    </xf>
    <xf numFmtId="0" fontId="187" fillId="0" borderId="34" xfId="0" applyFont="1" applyFill="1" applyBorder="1" applyAlignment="1">
      <alignment horizontal="center"/>
    </xf>
    <xf numFmtId="4" fontId="17" fillId="0" borderId="34" xfId="2" applyNumberFormat="1" applyFont="1" applyFill="1" applyBorder="1" applyAlignment="1">
      <alignment horizontal="right" vertical="center"/>
    </xf>
    <xf numFmtId="4" fontId="161" fillId="0" borderId="34" xfId="0" applyNumberFormat="1" applyFont="1" applyFill="1" applyBorder="1" applyAlignment="1">
      <alignment horizontal="right" vertical="center"/>
    </xf>
    <xf numFmtId="43" fontId="26" fillId="14" borderId="111" xfId="2" applyFont="1" applyFill="1" applyBorder="1" applyAlignment="1">
      <alignment horizontal="right" vertical="center"/>
    </xf>
    <xf numFmtId="43" fontId="26" fillId="14" borderId="129" xfId="2" applyFont="1" applyFill="1" applyBorder="1" applyAlignment="1">
      <alignment horizontal="right" vertical="center"/>
    </xf>
    <xf numFmtId="43" fontId="26" fillId="15" borderId="63" xfId="2" applyNumberFormat="1" applyFont="1" applyFill="1" applyBorder="1" applyAlignment="1">
      <alignment horizontal="right" vertical="center"/>
    </xf>
    <xf numFmtId="0" fontId="58" fillId="14" borderId="46" xfId="34" applyNumberFormat="1" applyFont="1" applyFill="1" applyBorder="1" applyAlignment="1">
      <alignment horizontal="left" vertical="center"/>
    </xf>
    <xf numFmtId="0" fontId="59" fillId="14" borderId="34" xfId="34" applyNumberFormat="1" applyFont="1" applyFill="1" applyBorder="1" applyAlignment="1">
      <alignment horizontal="left" vertical="center"/>
    </xf>
    <xf numFmtId="0" fontId="59" fillId="14" borderId="34" xfId="34" applyNumberFormat="1" applyFont="1" applyFill="1" applyBorder="1" applyAlignment="1">
      <alignment horizontal="left" vertical="center" wrapText="1"/>
    </xf>
    <xf numFmtId="10" fontId="59" fillId="14" borderId="34" xfId="34" applyNumberFormat="1" applyFont="1" applyFill="1" applyBorder="1" applyAlignment="1">
      <alignment horizontal="left" vertical="center"/>
    </xf>
    <xf numFmtId="43" fontId="59" fillId="14" borderId="34" xfId="2" applyFont="1" applyFill="1" applyBorder="1" applyAlignment="1">
      <alignment horizontal="left" vertical="center"/>
    </xf>
    <xf numFmtId="9" fontId="59" fillId="14" borderId="34" xfId="72" applyFont="1" applyFill="1" applyBorder="1" applyAlignment="1">
      <alignment horizontal="left" vertical="center"/>
    </xf>
    <xf numFmtId="0" fontId="59" fillId="14" borderId="47" xfId="34" applyNumberFormat="1" applyFont="1" applyFill="1" applyBorder="1" applyAlignment="1">
      <alignment horizontal="left" vertical="center"/>
    </xf>
    <xf numFmtId="43" fontId="106" fillId="0" borderId="34" xfId="6" applyFont="1" applyFill="1" applyBorder="1"/>
    <xf numFmtId="0" fontId="70" fillId="0" borderId="34" xfId="58" applyNumberFormat="1" applyFont="1" applyFill="1" applyBorder="1" applyAlignment="1">
      <alignment vertical="center"/>
    </xf>
    <xf numFmtId="0" fontId="70" fillId="0" borderId="34" xfId="0" applyFont="1" applyFill="1" applyBorder="1" applyAlignment="1">
      <alignment vertical="center"/>
    </xf>
    <xf numFmtId="0" fontId="70" fillId="0" borderId="34" xfId="2" applyNumberFormat="1" applyFont="1" applyFill="1" applyBorder="1" applyAlignment="1">
      <alignment vertical="center" wrapText="1"/>
    </xf>
    <xf numFmtId="0" fontId="70" fillId="0" borderId="34" xfId="0" applyFont="1" applyFill="1" applyBorder="1" applyAlignment="1">
      <alignment horizontal="left" vertical="center"/>
    </xf>
    <xf numFmtId="0" fontId="70" fillId="0" borderId="34" xfId="2" applyNumberFormat="1" applyFont="1" applyFill="1" applyBorder="1" applyAlignment="1">
      <alignment vertical="center"/>
    </xf>
    <xf numFmtId="0" fontId="70" fillId="0" borderId="34" xfId="0" applyFont="1" applyFill="1" applyBorder="1" applyAlignment="1">
      <alignment vertical="center" wrapText="1"/>
    </xf>
    <xf numFmtId="0" fontId="188" fillId="0" borderId="154" xfId="58" applyFont="1" applyFill="1" applyBorder="1" applyAlignment="1">
      <alignment horizontal="left" vertical="center" wrapText="1"/>
    </xf>
    <xf numFmtId="0" fontId="19" fillId="5" borderId="0" xfId="58" applyFont="1" applyFill="1" applyBorder="1" applyAlignment="1">
      <alignment vertical="center"/>
    </xf>
    <xf numFmtId="0" fontId="9" fillId="5" borderId="0" xfId="58" applyNumberFormat="1" applyFont="1" applyFill="1" applyBorder="1" applyAlignment="1">
      <alignment vertical="center"/>
    </xf>
    <xf numFmtId="4" fontId="15" fillId="7" borderId="34" xfId="58" applyNumberFormat="1" applyFont="1" applyFill="1" applyBorder="1" applyAlignment="1">
      <alignment horizontal="right" vertical="center"/>
    </xf>
    <xf numFmtId="4" fontId="15" fillId="7" borderId="67" xfId="58" applyNumberFormat="1" applyFont="1" applyFill="1" applyBorder="1" applyAlignment="1">
      <alignment horizontal="right" vertical="center"/>
    </xf>
    <xf numFmtId="4" fontId="13" fillId="2" borderId="155" xfId="0" applyNumberFormat="1" applyFont="1" applyBorder="1" applyAlignment="1"/>
    <xf numFmtId="4" fontId="15" fillId="15" borderId="156" xfId="58" applyNumberFormat="1" applyFont="1" applyFill="1" applyBorder="1" applyAlignment="1">
      <alignment vertical="center"/>
    </xf>
    <xf numFmtId="0" fontId="144" fillId="5" borderId="158" xfId="58" applyFont="1" applyFill="1" applyBorder="1" applyAlignment="1">
      <alignment horizontal="center" vertical="center"/>
    </xf>
    <xf numFmtId="4" fontId="15" fillId="7" borderId="35" xfId="58" applyNumberFormat="1" applyFont="1" applyFill="1" applyBorder="1" applyAlignment="1">
      <alignment horizontal="right" vertical="center"/>
    </xf>
    <xf numFmtId="39" fontId="59" fillId="13" borderId="64" xfId="0" applyNumberFormat="1" applyFont="1" applyFill="1" applyBorder="1" applyAlignment="1">
      <alignment horizontal="left" vertical="center" wrapText="1"/>
    </xf>
    <xf numFmtId="39" fontId="59" fillId="13" borderId="65" xfId="34" applyNumberFormat="1" applyFont="1" applyFill="1" applyBorder="1" applyAlignment="1">
      <alignment horizontal="left" vertical="center" wrapText="1"/>
    </xf>
    <xf numFmtId="39" fontId="28" fillId="13" borderId="8" xfId="0" applyNumberFormat="1" applyFont="1" applyFill="1" applyBorder="1" applyAlignment="1">
      <alignment horizontal="left" vertical="center" wrapText="1"/>
    </xf>
    <xf numFmtId="0" fontId="6" fillId="2" borderId="34" xfId="0" applyFont="1" applyBorder="1" applyAlignment="1">
      <alignment vertical="center"/>
    </xf>
    <xf numFmtId="0" fontId="144" fillId="0" borderId="159" xfId="58" applyFont="1" applyFill="1" applyBorder="1" applyAlignment="1">
      <alignment horizontal="center" vertical="center"/>
    </xf>
    <xf numFmtId="10" fontId="52" fillId="5" borderId="49" xfId="76" applyNumberFormat="1" applyFont="1" applyFill="1" applyBorder="1" applyAlignment="1">
      <alignment horizontal="center" vertical="center"/>
    </xf>
    <xf numFmtId="10" fontId="52" fillId="5" borderId="50" xfId="76" applyNumberFormat="1" applyFont="1" applyFill="1" applyBorder="1" applyAlignment="1">
      <alignment horizontal="center" vertical="center"/>
    </xf>
    <xf numFmtId="10" fontId="52" fillId="5" borderId="63" xfId="2" applyNumberFormat="1" applyFont="1" applyFill="1" applyBorder="1" applyAlignment="1">
      <alignment horizontal="right" vertical="center"/>
    </xf>
    <xf numFmtId="4" fontId="23" fillId="7" borderId="34" xfId="58" applyNumberFormat="1" applyFont="1" applyFill="1" applyBorder="1" applyAlignment="1">
      <alignment horizontal="right" vertical="center"/>
    </xf>
    <xf numFmtId="0" fontId="143" fillId="0" borderId="142" xfId="58" applyNumberFormat="1" applyFont="1" applyFill="1" applyBorder="1" applyAlignment="1">
      <alignment vertical="center"/>
    </xf>
    <xf numFmtId="14" fontId="23" fillId="0" borderId="0" xfId="0" applyNumberFormat="1" applyFont="1" applyFill="1"/>
    <xf numFmtId="14" fontId="152" fillId="0" borderId="0" xfId="0" applyNumberFormat="1" applyFont="1" applyFill="1"/>
    <xf numFmtId="43" fontId="17" fillId="0" borderId="34" xfId="2" applyFont="1" applyFill="1" applyBorder="1" applyAlignment="1">
      <alignment vertical="center"/>
    </xf>
    <xf numFmtId="0" fontId="17" fillId="0" borderId="34" xfId="0" applyNumberFormat="1" applyFont="1" applyFill="1" applyBorder="1" applyAlignment="1">
      <alignment horizontal="right" vertical="center"/>
    </xf>
    <xf numFmtId="15" fontId="17" fillId="0" borderId="34" xfId="2" applyNumberFormat="1" applyFont="1" applyFill="1" applyBorder="1" applyAlignment="1">
      <alignment horizontal="center" vertical="center"/>
    </xf>
    <xf numFmtId="0" fontId="143" fillId="13" borderId="141" xfId="58" applyFont="1" applyFill="1" applyBorder="1" applyAlignment="1">
      <alignment horizontal="center" vertical="center"/>
    </xf>
    <xf numFmtId="0" fontId="159" fillId="8" borderId="150" xfId="58" applyNumberFormat="1" applyFont="1" applyFill="1" applyBorder="1" applyAlignment="1">
      <alignment vertical="center"/>
    </xf>
    <xf numFmtId="0" fontId="159" fillId="0" borderId="150" xfId="58" applyNumberFormat="1" applyFont="1" applyFill="1" applyBorder="1" applyAlignment="1">
      <alignment vertical="center"/>
    </xf>
    <xf numFmtId="4" fontId="167" fillId="13" borderId="150" xfId="58" applyNumberFormat="1" applyFont="1" applyFill="1" applyBorder="1" applyAlignment="1">
      <alignment horizontal="centerContinuous" vertical="center"/>
    </xf>
    <xf numFmtId="4" fontId="144" fillId="13" borderId="150" xfId="58" applyNumberFormat="1" applyFont="1" applyFill="1" applyBorder="1" applyAlignment="1">
      <alignment vertical="center"/>
    </xf>
    <xf numFmtId="4" fontId="143" fillId="13" borderId="150" xfId="58" applyNumberFormat="1" applyFont="1" applyFill="1" applyBorder="1" applyAlignment="1">
      <alignment vertical="center"/>
    </xf>
    <xf numFmtId="4" fontId="15" fillId="13" borderId="150" xfId="58" applyNumberFormat="1" applyFont="1" applyFill="1" applyBorder="1" applyAlignment="1">
      <alignment vertical="center"/>
    </xf>
    <xf numFmtId="0" fontId="144" fillId="13" borderId="150" xfId="58" applyNumberFormat="1" applyFont="1" applyFill="1" applyBorder="1" applyAlignment="1">
      <alignment horizontal="center" vertical="center"/>
    </xf>
    <xf numFmtId="0" fontId="143" fillId="13" borderId="6" xfId="58" applyFont="1" applyFill="1" applyBorder="1" applyAlignment="1">
      <alignment vertical="center"/>
    </xf>
    <xf numFmtId="0" fontId="144" fillId="13" borderId="160" xfId="58" applyNumberFormat="1" applyFont="1" applyFill="1" applyBorder="1" applyAlignment="1">
      <alignment horizontal="center" vertical="center"/>
    </xf>
    <xf numFmtId="0" fontId="144" fillId="13" borderId="160" xfId="58" applyFont="1" applyFill="1" applyBorder="1" applyAlignment="1">
      <alignment horizontal="center" vertical="center"/>
    </xf>
    <xf numFmtId="0" fontId="144" fillId="13" borderId="42" xfId="58" applyFont="1" applyFill="1" applyBorder="1" applyAlignment="1">
      <alignment horizontal="center" vertical="center"/>
    </xf>
    <xf numFmtId="43" fontId="186" fillId="0" borderId="34" xfId="2" applyFont="1" applyFill="1" applyBorder="1" applyAlignment="1">
      <alignment vertical="center"/>
    </xf>
    <xf numFmtId="10" fontId="158" fillId="13" borderId="162" xfId="2" applyNumberFormat="1" applyFont="1" applyFill="1" applyBorder="1" applyAlignment="1">
      <alignment horizontal="center" vertical="center"/>
    </xf>
    <xf numFmtId="43" fontId="158" fillId="13" borderId="162" xfId="2" applyFont="1" applyFill="1" applyBorder="1" applyAlignment="1">
      <alignment horizontal="center" vertical="center"/>
    </xf>
    <xf numFmtId="4" fontId="143" fillId="0" borderId="162" xfId="58" applyNumberFormat="1" applyFont="1" applyFill="1" applyBorder="1" applyAlignment="1">
      <alignment vertical="center"/>
    </xf>
    <xf numFmtId="15" fontId="143" fillId="0" borderId="162" xfId="58" applyNumberFormat="1" applyFont="1" applyFill="1" applyBorder="1" applyAlignment="1">
      <alignment horizontal="center" vertical="center"/>
    </xf>
    <xf numFmtId="4" fontId="9" fillId="15" borderId="153" xfId="58" applyNumberFormat="1" applyFont="1" applyFill="1" applyBorder="1" applyAlignment="1">
      <alignment vertical="center"/>
    </xf>
    <xf numFmtId="4" fontId="9" fillId="5" borderId="153" xfId="58" applyNumberFormat="1" applyFont="1" applyFill="1" applyBorder="1" applyAlignment="1">
      <alignment horizontal="center" vertical="center"/>
    </xf>
    <xf numFmtId="4" fontId="9" fillId="0" borderId="153" xfId="58" applyNumberFormat="1" applyFont="1" applyFill="1" applyBorder="1" applyAlignment="1">
      <alignment horizontal="center" vertical="center"/>
    </xf>
    <xf numFmtId="37" fontId="113" fillId="13" borderId="10" xfId="34" applyNumberFormat="1" applyFont="1" applyFill="1" applyBorder="1" applyAlignment="1">
      <alignment horizontal="center" vertical="center"/>
    </xf>
    <xf numFmtId="15" fontId="158" fillId="0" borderId="64" xfId="2" applyNumberFormat="1" applyFont="1" applyFill="1" applyBorder="1" applyAlignment="1">
      <alignment horizontal="center" vertical="center"/>
    </xf>
    <xf numFmtId="0" fontId="13" fillId="0" borderId="162" xfId="58" applyNumberFormat="1" applyFont="1" applyFill="1" applyBorder="1" applyAlignment="1">
      <alignment vertical="center"/>
    </xf>
    <xf numFmtId="0" fontId="13" fillId="0" borderId="162" xfId="58" applyNumberFormat="1" applyFont="1" applyFill="1" applyBorder="1" applyAlignment="1">
      <alignment horizontal="center" vertical="center"/>
    </xf>
    <xf numFmtId="10" fontId="13" fillId="0" borderId="162" xfId="58" applyNumberFormat="1" applyFont="1" applyFill="1" applyBorder="1" applyAlignment="1">
      <alignment horizontal="center" vertical="center"/>
    </xf>
    <xf numFmtId="4" fontId="13" fillId="0" borderId="162" xfId="58" applyNumberFormat="1" applyFont="1" applyFill="1" applyBorder="1" applyAlignment="1">
      <alignment vertical="center"/>
    </xf>
    <xf numFmtId="15" fontId="13" fillId="0" borderId="160" xfId="58" applyNumberFormat="1" applyFont="1" applyFill="1" applyBorder="1" applyAlignment="1">
      <alignment horizontal="center" vertical="center"/>
    </xf>
    <xf numFmtId="0" fontId="187" fillId="0" borderId="34" xfId="0" applyFont="1" applyFill="1" applyBorder="1" applyAlignment="1">
      <alignment horizontal="center" vertical="center"/>
    </xf>
    <xf numFmtId="43" fontId="17" fillId="0" borderId="34" xfId="2" applyFont="1" applyFill="1" applyBorder="1" applyAlignment="1">
      <alignment horizontal="right" vertical="center"/>
    </xf>
    <xf numFmtId="4" fontId="17" fillId="0" borderId="34" xfId="0" applyNumberFormat="1" applyFont="1" applyFill="1" applyBorder="1" applyAlignment="1">
      <alignment horizontal="right" vertical="center"/>
    </xf>
    <xf numFmtId="43" fontId="17" fillId="0" borderId="34" xfId="0" applyNumberFormat="1" applyFont="1" applyFill="1" applyBorder="1" applyAlignment="1">
      <alignment horizontal="right" vertical="center"/>
    </xf>
    <xf numFmtId="43" fontId="28" fillId="0" borderId="149" xfId="2" applyFont="1" applyFill="1" applyBorder="1" applyAlignment="1">
      <alignment vertical="center"/>
    </xf>
    <xf numFmtId="4" fontId="20" fillId="14" borderId="119" xfId="58" applyNumberFormat="1" applyFont="1" applyFill="1" applyBorder="1" applyAlignment="1">
      <alignment vertical="center"/>
    </xf>
    <xf numFmtId="0" fontId="113" fillId="13" borderId="50" xfId="0" applyNumberFormat="1" applyFont="1" applyFill="1" applyBorder="1" applyAlignment="1">
      <alignment horizontal="left" vertical="center"/>
    </xf>
    <xf numFmtId="0" fontId="113" fillId="13" borderId="10" xfId="0" applyNumberFormat="1" applyFont="1" applyFill="1" applyBorder="1" applyAlignment="1">
      <alignment horizontal="left" vertical="center"/>
    </xf>
    <xf numFmtId="0" fontId="113" fillId="13" borderId="10" xfId="34" applyFont="1" applyFill="1" applyBorder="1" applyAlignment="1">
      <alignment horizontal="center" vertical="center"/>
    </xf>
    <xf numFmtId="170" fontId="113" fillId="13" borderId="10" xfId="2" applyNumberFormat="1" applyFont="1" applyFill="1" applyBorder="1" applyAlignment="1">
      <alignment horizontal="center" vertical="center"/>
    </xf>
    <xf numFmtId="0" fontId="113" fillId="13" borderId="10" xfId="34" applyNumberFormat="1" applyFont="1" applyFill="1" applyBorder="1" applyAlignment="1">
      <alignment horizontal="center" vertical="center"/>
    </xf>
    <xf numFmtId="10" fontId="113" fillId="13" borderId="10" xfId="2" applyNumberFormat="1" applyFont="1" applyFill="1" applyBorder="1" applyAlignment="1">
      <alignment horizontal="center" vertical="center"/>
    </xf>
    <xf numFmtId="43" fontId="191" fillId="13" borderId="6" xfId="2" applyFont="1" applyFill="1" applyBorder="1" applyAlignment="1">
      <alignment horizontal="center" vertical="center"/>
    </xf>
    <xf numFmtId="0" fontId="143" fillId="0" borderId="154" xfId="58" applyFont="1" applyFill="1" applyBorder="1" applyAlignment="1">
      <alignment horizontal="left" vertical="center" wrapText="1"/>
    </xf>
    <xf numFmtId="0" fontId="143" fillId="0" borderId="162" xfId="58" applyNumberFormat="1" applyFont="1" applyFill="1" applyBorder="1" applyAlignment="1">
      <alignment vertical="center"/>
    </xf>
    <xf numFmtId="43" fontId="59" fillId="28" borderId="10" xfId="2" applyFont="1" applyFill="1" applyBorder="1" applyAlignment="1">
      <alignment horizontal="center" vertical="center"/>
    </xf>
    <xf numFmtId="43" fontId="59" fillId="28" borderId="10" xfId="0" applyNumberFormat="1" applyFont="1" applyFill="1" applyBorder="1" applyAlignment="1">
      <alignment horizontal="center" vertical="center"/>
    </xf>
    <xf numFmtId="9" fontId="59" fillId="28" borderId="10" xfId="76" applyFont="1" applyFill="1" applyBorder="1" applyAlignment="1">
      <alignment horizontal="center" vertical="center"/>
    </xf>
    <xf numFmtId="4" fontId="59" fillId="28" borderId="10" xfId="0" applyNumberFormat="1" applyFont="1" applyFill="1" applyBorder="1" applyAlignment="1">
      <alignment horizontal="right" vertical="center"/>
    </xf>
    <xf numFmtId="10" fontId="70" fillId="13" borderId="162" xfId="2" applyNumberFormat="1" applyFont="1" applyFill="1" applyBorder="1" applyAlignment="1">
      <alignment horizontal="center" vertical="center"/>
    </xf>
    <xf numFmtId="43" fontId="70" fillId="13" borderId="162" xfId="2" applyFont="1" applyFill="1" applyBorder="1" applyAlignment="1">
      <alignment horizontal="center" vertical="center"/>
    </xf>
    <xf numFmtId="0" fontId="9" fillId="0" borderId="159" xfId="58" applyFont="1" applyFill="1" applyBorder="1" applyAlignment="1">
      <alignment horizontal="center" vertical="center"/>
    </xf>
    <xf numFmtId="0" fontId="13" fillId="0" borderId="154" xfId="58" applyFont="1" applyFill="1" applyBorder="1" applyAlignment="1">
      <alignment horizontal="left" vertical="center" wrapText="1"/>
    </xf>
    <xf numFmtId="0" fontId="197" fillId="27" borderId="0" xfId="0" applyFont="1" applyFill="1"/>
    <xf numFmtId="0" fontId="143" fillId="0" borderId="162" xfId="58" applyNumberFormat="1" applyFont="1" applyFill="1" applyBorder="1" applyAlignment="1">
      <alignment horizontal="center" vertical="center"/>
    </xf>
    <xf numFmtId="43" fontId="113" fillId="0" borderId="10" xfId="2" applyFont="1" applyFill="1" applyBorder="1" applyAlignment="1">
      <alignment horizontal="center" vertical="center"/>
    </xf>
    <xf numFmtId="0" fontId="23" fillId="2" borderId="0" xfId="0" applyNumberFormat="1" applyFont="1"/>
    <xf numFmtId="0" fontId="188" fillId="0" borderId="162" xfId="58" applyNumberFormat="1" applyFont="1" applyFill="1" applyBorder="1" applyAlignment="1">
      <alignment vertical="center"/>
    </xf>
    <xf numFmtId="0" fontId="188" fillId="0" borderId="162" xfId="58" applyNumberFormat="1" applyFont="1" applyFill="1" applyBorder="1" applyAlignment="1">
      <alignment horizontal="center" vertical="center"/>
    </xf>
    <xf numFmtId="10" fontId="122" fillId="13" borderId="162" xfId="2" applyNumberFormat="1" applyFont="1" applyFill="1" applyBorder="1" applyAlignment="1">
      <alignment horizontal="center" vertical="center"/>
    </xf>
    <xf numFmtId="43" fontId="122" fillId="13" borderId="162" xfId="2" applyFont="1" applyFill="1" applyBorder="1" applyAlignment="1">
      <alignment horizontal="center" vertical="center"/>
    </xf>
    <xf numFmtId="4" fontId="188" fillId="0" borderId="162" xfId="58" applyNumberFormat="1" applyFont="1" applyFill="1" applyBorder="1" applyAlignment="1">
      <alignment vertical="center"/>
    </xf>
    <xf numFmtId="15" fontId="188" fillId="0" borderId="162" xfId="58" applyNumberFormat="1" applyFont="1" applyFill="1" applyBorder="1" applyAlignment="1">
      <alignment horizontal="center" vertical="center"/>
    </xf>
    <xf numFmtId="0" fontId="198" fillId="0" borderId="159" xfId="58" applyFont="1" applyFill="1" applyBorder="1" applyAlignment="1">
      <alignment horizontal="center" vertical="center"/>
    </xf>
    <xf numFmtId="0" fontId="188" fillId="0" borderId="0" xfId="0" applyFont="1" applyFill="1" applyBorder="1"/>
    <xf numFmtId="0" fontId="199" fillId="29" borderId="0" xfId="0" applyFont="1" applyFill="1"/>
    <xf numFmtId="0" fontId="198" fillId="0" borderId="160" xfId="58" applyFont="1" applyFill="1" applyBorder="1" applyAlignment="1">
      <alignment horizontal="center" vertical="center"/>
    </xf>
    <xf numFmtId="43" fontId="110" fillId="0" borderId="142" xfId="2" applyFont="1" applyFill="1" applyBorder="1" applyAlignment="1">
      <alignment vertical="center"/>
    </xf>
    <xf numFmtId="15" fontId="13" fillId="0" borderId="142" xfId="58" applyNumberFormat="1" applyFont="1" applyFill="1" applyBorder="1" applyAlignment="1">
      <alignment horizontal="center"/>
    </xf>
    <xf numFmtId="43" fontId="110" fillId="0" borderId="157" xfId="2" applyFont="1" applyFill="1" applyBorder="1" applyAlignment="1">
      <alignment horizontal="center" vertical="center"/>
    </xf>
    <xf numFmtId="43" fontId="110" fillId="0" borderId="145" xfId="2" applyFont="1" applyFill="1" applyBorder="1" applyAlignment="1">
      <alignment vertical="center"/>
    </xf>
    <xf numFmtId="15" fontId="13" fillId="0" borderId="142" xfId="58" applyNumberFormat="1" applyFont="1" applyFill="1" applyBorder="1" applyAlignment="1">
      <alignment horizontal="center" vertical="center"/>
    </xf>
    <xf numFmtId="43" fontId="110" fillId="0" borderId="6" xfId="2" applyFont="1" applyFill="1" applyBorder="1" applyAlignment="1">
      <alignment horizontal="center" vertical="center"/>
    </xf>
    <xf numFmtId="15" fontId="13" fillId="0" borderId="162" xfId="58" applyNumberFormat="1" applyFont="1" applyFill="1" applyBorder="1" applyAlignment="1">
      <alignment horizontal="center" vertical="center"/>
    </xf>
    <xf numFmtId="43" fontId="1" fillId="0" borderId="6" xfId="2" applyFont="1" applyFill="1" applyBorder="1" applyAlignment="1">
      <alignment horizontal="center" vertical="center"/>
    </xf>
    <xf numFmtId="0" fontId="27" fillId="2" borderId="0" xfId="0" applyFont="1" applyAlignment="1">
      <alignment horizontal="center"/>
    </xf>
    <xf numFmtId="10" fontId="27" fillId="2" borderId="0" xfId="0" applyNumberFormat="1" applyFont="1"/>
    <xf numFmtId="0" fontId="59" fillId="13" borderId="64" xfId="0" applyNumberFormat="1" applyFont="1" applyFill="1" applyBorder="1" applyAlignment="1">
      <alignment horizontal="left" vertical="center"/>
    </xf>
    <xf numFmtId="170" fontId="59" fillId="13" borderId="65" xfId="2" applyNumberFormat="1" applyFont="1" applyFill="1" applyBorder="1" applyAlignment="1">
      <alignment horizontal="center" vertical="center"/>
    </xf>
    <xf numFmtId="0" fontId="59" fillId="13" borderId="63" xfId="34" applyFont="1" applyFill="1" applyBorder="1" applyAlignment="1">
      <alignment horizontal="center" vertical="center"/>
    </xf>
    <xf numFmtId="0" fontId="59" fillId="13" borderId="34" xfId="34" applyFont="1" applyFill="1" applyBorder="1" applyAlignment="1">
      <alignment horizontal="center" vertical="center"/>
    </xf>
    <xf numFmtId="0" fontId="59" fillId="0" borderId="64" xfId="34" applyNumberFormat="1" applyFont="1" applyFill="1" applyBorder="1" applyAlignment="1">
      <alignment horizontal="center" vertical="center"/>
    </xf>
    <xf numFmtId="0" fontId="59" fillId="13" borderId="34" xfId="0" applyNumberFormat="1" applyFont="1" applyFill="1" applyBorder="1" applyAlignment="1">
      <alignment horizontal="left" vertical="center"/>
    </xf>
    <xf numFmtId="43" fontId="110" fillId="13" borderId="6" xfId="2" applyFont="1" applyFill="1" applyBorder="1" applyAlignment="1">
      <alignment horizontal="center" vertical="center"/>
    </xf>
    <xf numFmtId="0" fontId="197" fillId="14" borderId="0" xfId="0" applyFont="1" applyFill="1"/>
    <xf numFmtId="0" fontId="0" fillId="30" borderId="0" xfId="0" applyFill="1"/>
    <xf numFmtId="43" fontId="191" fillId="0" borderId="145" xfId="2" applyFont="1" applyFill="1" applyBorder="1" applyAlignment="1">
      <alignment vertical="center"/>
    </xf>
    <xf numFmtId="0" fontId="143" fillId="0" borderId="163" xfId="58" applyNumberFormat="1" applyFont="1" applyFill="1" applyBorder="1" applyAlignment="1">
      <alignment vertical="center"/>
    </xf>
    <xf numFmtId="0" fontId="0" fillId="24" borderId="0" xfId="0" applyFill="1"/>
    <xf numFmtId="0" fontId="0" fillId="31" borderId="0" xfId="0" applyFill="1"/>
    <xf numFmtId="0" fontId="143" fillId="0" borderId="164" xfId="58" applyNumberFormat="1" applyFont="1" applyFill="1" applyBorder="1" applyAlignment="1">
      <alignment vertical="center"/>
    </xf>
    <xf numFmtId="0" fontId="143" fillId="0" borderId="164" xfId="58" applyNumberFormat="1" applyFont="1" applyFill="1" applyBorder="1" applyAlignment="1">
      <alignment horizontal="center" vertical="center"/>
    </xf>
    <xf numFmtId="10" fontId="158" fillId="13" borderId="164" xfId="2" applyNumberFormat="1" applyFont="1" applyFill="1" applyBorder="1" applyAlignment="1">
      <alignment horizontal="center" vertical="center"/>
    </xf>
    <xf numFmtId="43" fontId="158" fillId="13" borderId="164" xfId="2" applyFont="1" applyFill="1" applyBorder="1" applyAlignment="1">
      <alignment horizontal="center" vertical="center"/>
    </xf>
    <xf numFmtId="4" fontId="143" fillId="0" borderId="164" xfId="58" applyNumberFormat="1" applyFont="1" applyFill="1" applyBorder="1" applyAlignment="1">
      <alignment vertical="center"/>
    </xf>
    <xf numFmtId="15" fontId="143" fillId="0" borderId="164" xfId="58" applyNumberFormat="1" applyFont="1" applyFill="1" applyBorder="1" applyAlignment="1">
      <alignment horizontal="center" vertical="center"/>
    </xf>
    <xf numFmtId="0" fontId="144" fillId="0" borderId="160" xfId="58" applyFont="1" applyFill="1" applyBorder="1" applyAlignment="1">
      <alignment horizontal="center" vertical="center"/>
    </xf>
    <xf numFmtId="0" fontId="0" fillId="32" borderId="0" xfId="0" applyFill="1"/>
    <xf numFmtId="0" fontId="158" fillId="0" borderId="8" xfId="34" applyNumberFormat="1" applyFont="1" applyFill="1" applyBorder="1" applyAlignment="1">
      <alignment horizontal="center" vertical="center"/>
    </xf>
    <xf numFmtId="37" fontId="158" fillId="0" borderId="8" xfId="34" applyNumberFormat="1" applyFont="1" applyFill="1" applyBorder="1" applyAlignment="1">
      <alignment horizontal="center" vertical="center"/>
    </xf>
    <xf numFmtId="0" fontId="143" fillId="0" borderId="8" xfId="58" applyFont="1" applyFill="1" applyBorder="1" applyAlignment="1">
      <alignment vertical="center" wrapText="1"/>
    </xf>
    <xf numFmtId="0" fontId="143" fillId="0" borderId="165" xfId="58" applyNumberFormat="1" applyFont="1" applyFill="1" applyBorder="1" applyAlignment="1">
      <alignment vertical="center"/>
    </xf>
    <xf numFmtId="0" fontId="143" fillId="0" borderId="166" xfId="58" applyNumberFormat="1" applyFont="1" applyFill="1" applyBorder="1" applyAlignment="1">
      <alignment vertical="center"/>
    </xf>
    <xf numFmtId="0" fontId="158" fillId="0" borderId="34" xfId="34" applyNumberFormat="1" applyFont="1" applyFill="1" applyBorder="1" applyAlignment="1">
      <alignment horizontal="center" vertical="center"/>
    </xf>
    <xf numFmtId="0" fontId="23" fillId="2" borderId="34" xfId="0" applyFont="1" applyBorder="1"/>
    <xf numFmtId="10" fontId="52" fillId="2" borderId="34" xfId="0" applyNumberFormat="1" applyFont="1" applyBorder="1" applyAlignment="1">
      <alignment horizontal="center" vertical="center"/>
    </xf>
    <xf numFmtId="43" fontId="141" fillId="2" borderId="34" xfId="0" applyNumberFormat="1" applyFont="1" applyBorder="1" applyAlignment="1">
      <alignment horizontal="center" vertical="center"/>
    </xf>
    <xf numFmtId="0" fontId="23" fillId="0" borderId="34" xfId="0" applyFont="1" applyFill="1" applyBorder="1"/>
    <xf numFmtId="15" fontId="158" fillId="0" borderId="8" xfId="2" applyNumberFormat="1" applyFont="1" applyFill="1" applyBorder="1" applyAlignment="1">
      <alignment horizontal="left" vertical="center"/>
    </xf>
    <xf numFmtId="0" fontId="143" fillId="0" borderId="167" xfId="58" applyNumberFormat="1" applyFont="1" applyFill="1" applyBorder="1" applyAlignment="1">
      <alignment vertical="center"/>
    </xf>
    <xf numFmtId="15" fontId="158" fillId="0" borderId="10" xfId="2" applyNumberFormat="1" applyFont="1" applyFill="1" applyBorder="1" applyAlignment="1">
      <alignment horizontal="left" vertical="center"/>
    </xf>
    <xf numFmtId="0" fontId="23" fillId="2" borderId="0" xfId="0" applyFont="1" applyAlignment="1">
      <alignment horizontal="right"/>
    </xf>
    <xf numFmtId="0" fontId="23" fillId="2" borderId="0" xfId="0" applyFont="1" applyAlignment="1">
      <alignment horizontal="left"/>
    </xf>
    <xf numFmtId="0" fontId="23" fillId="2" borderId="0" xfId="0" applyFont="1" applyAlignment="1">
      <alignment horizontal="center"/>
    </xf>
    <xf numFmtId="0" fontId="56" fillId="0" borderId="0" xfId="0" applyNumberFormat="1" applyFont="1" applyFill="1" applyAlignment="1">
      <alignment horizontal="center"/>
    </xf>
    <xf numFmtId="0" fontId="25" fillId="0" borderId="0" xfId="0" applyNumberFormat="1" applyFont="1" applyFill="1" applyAlignment="1">
      <alignment horizontal="center" vertical="top"/>
    </xf>
    <xf numFmtId="0" fontId="81" fillId="18" borderId="64" xfId="0" applyNumberFormat="1" applyFont="1" applyFill="1" applyBorder="1" applyAlignment="1">
      <alignment horizontal="left"/>
    </xf>
    <xf numFmtId="0" fontId="81" fillId="18" borderId="88" xfId="0" applyNumberFormat="1" applyFont="1" applyFill="1" applyBorder="1" applyAlignment="1">
      <alignment horizontal="left"/>
    </xf>
    <xf numFmtId="0" fontId="81" fillId="18" borderId="65" xfId="0" applyNumberFormat="1" applyFont="1" applyFill="1" applyBorder="1" applyAlignment="1">
      <alignment horizontal="left"/>
    </xf>
    <xf numFmtId="0" fontId="30" fillId="0" borderId="55" xfId="0" applyNumberFormat="1" applyFont="1" applyFill="1" applyBorder="1" applyAlignment="1">
      <alignment horizontal="center" vertical="center"/>
    </xf>
    <xf numFmtId="0" fontId="30" fillId="0" borderId="85" xfId="0" applyNumberFormat="1" applyFont="1" applyFill="1" applyBorder="1" applyAlignment="1">
      <alignment horizontal="center" vertical="center"/>
    </xf>
    <xf numFmtId="10" fontId="135" fillId="0" borderId="46" xfId="0" applyNumberFormat="1" applyFont="1" applyFill="1" applyBorder="1" applyAlignment="1">
      <alignment horizontal="center" vertical="center"/>
    </xf>
    <xf numFmtId="0" fontId="103" fillId="18" borderId="64" xfId="71" applyNumberFormat="1" applyFont="1" applyFill="1" applyBorder="1" applyAlignment="1">
      <alignment horizontal="left" vertical="center"/>
    </xf>
    <xf numFmtId="0" fontId="103" fillId="18" borderId="88" xfId="71" applyNumberFormat="1" applyFont="1" applyFill="1" applyBorder="1" applyAlignment="1">
      <alignment horizontal="left" vertical="center"/>
    </xf>
    <xf numFmtId="0" fontId="103" fillId="18" borderId="65" xfId="71" applyNumberFormat="1" applyFont="1" applyFill="1" applyBorder="1" applyAlignment="1">
      <alignment horizontal="left" vertical="center"/>
    </xf>
    <xf numFmtId="0" fontId="58" fillId="7" borderId="64" xfId="0" applyNumberFormat="1" applyFont="1" applyFill="1" applyBorder="1" applyAlignment="1">
      <alignment horizontal="center" vertical="center"/>
    </xf>
    <xf numFmtId="0" fontId="58" fillId="7" borderId="65" xfId="0" applyNumberFormat="1" applyFont="1" applyFill="1" applyBorder="1" applyAlignment="1">
      <alignment horizontal="center" vertical="center"/>
    </xf>
    <xf numFmtId="0" fontId="59" fillId="0" borderId="0" xfId="34" applyNumberFormat="1" applyFont="1" applyFill="1" applyBorder="1" applyAlignment="1">
      <alignment horizontal="center" vertical="center"/>
    </xf>
    <xf numFmtId="0" fontId="57" fillId="0" borderId="9" xfId="0" applyNumberFormat="1" applyFont="1" applyFill="1" applyBorder="1" applyAlignment="1">
      <alignment horizontal="center"/>
    </xf>
    <xf numFmtId="10" fontId="135" fillId="0" borderId="101" xfId="0" applyNumberFormat="1" applyFont="1" applyFill="1" applyBorder="1" applyAlignment="1">
      <alignment horizontal="center" vertical="center"/>
    </xf>
    <xf numFmtId="43" fontId="8" fillId="5" borderId="0" xfId="58" applyNumberFormat="1" applyFont="1" applyFill="1" applyBorder="1" applyAlignment="1">
      <alignment horizontal="left"/>
    </xf>
    <xf numFmtId="43" fontId="26" fillId="6" borderId="108" xfId="2" applyFont="1" applyFill="1" applyBorder="1" applyAlignment="1">
      <alignment horizontal="center" vertical="center"/>
    </xf>
    <xf numFmtId="43" fontId="26" fillId="6" borderId="59" xfId="2" applyFont="1" applyFill="1" applyBorder="1" applyAlignment="1">
      <alignment horizontal="center" vertical="center"/>
    </xf>
    <xf numFmtId="43" fontId="20" fillId="6" borderId="107" xfId="2" applyFont="1" applyFill="1" applyBorder="1" applyAlignment="1">
      <alignment horizontal="center" vertical="center"/>
    </xf>
    <xf numFmtId="43" fontId="20" fillId="6" borderId="3" xfId="2" applyFont="1" applyFill="1" applyBorder="1" applyAlignment="1">
      <alignment horizontal="center" vertical="center"/>
    </xf>
    <xf numFmtId="43" fontId="10" fillId="6" borderId="107" xfId="2" applyFont="1" applyFill="1" applyBorder="1" applyAlignment="1">
      <alignment horizontal="center" vertical="center"/>
    </xf>
    <xf numFmtId="43" fontId="10" fillId="6" borderId="3" xfId="2" applyFont="1" applyFill="1" applyBorder="1" applyAlignment="1">
      <alignment horizontal="center" vertical="center"/>
    </xf>
    <xf numFmtId="43" fontId="160" fillId="6" borderId="106" xfId="2" applyFont="1" applyFill="1" applyBorder="1" applyAlignment="1">
      <alignment horizontal="center" vertical="center" wrapText="1"/>
    </xf>
    <xf numFmtId="43" fontId="26" fillId="6" borderId="109" xfId="2" applyFont="1" applyFill="1" applyBorder="1" applyAlignment="1">
      <alignment horizontal="center" vertical="center" wrapText="1"/>
    </xf>
    <xf numFmtId="43" fontId="26" fillId="6" borderId="107" xfId="2" applyFont="1" applyFill="1" applyBorder="1" applyAlignment="1">
      <alignment horizontal="center" vertical="center"/>
    </xf>
    <xf numFmtId="43" fontId="26" fillId="6" borderId="3" xfId="2" applyFont="1" applyFill="1" applyBorder="1" applyAlignment="1">
      <alignment horizontal="center" vertical="center"/>
    </xf>
    <xf numFmtId="43" fontId="20" fillId="6" borderId="107" xfId="2" applyFont="1" applyFill="1" applyBorder="1" applyAlignment="1">
      <alignment horizontal="center" vertical="center" wrapText="1"/>
    </xf>
    <xf numFmtId="43" fontId="20" fillId="6" borderId="3" xfId="2" applyFont="1" applyFill="1" applyBorder="1" applyAlignment="1">
      <alignment horizontal="center" vertical="center" wrapText="1"/>
    </xf>
    <xf numFmtId="0" fontId="68" fillId="15" borderId="112" xfId="58" applyFont="1" applyFill="1" applyBorder="1" applyAlignment="1">
      <alignment horizontal="center" vertical="center"/>
    </xf>
    <xf numFmtId="0" fontId="68" fillId="15" borderId="5" xfId="58" applyFont="1" applyFill="1" applyBorder="1" applyAlignment="1">
      <alignment horizontal="center" vertical="center"/>
    </xf>
    <xf numFmtId="0" fontId="68" fillId="15" borderId="161" xfId="58" applyFont="1" applyFill="1" applyBorder="1" applyAlignment="1">
      <alignment horizontal="center" vertical="center"/>
    </xf>
    <xf numFmtId="4" fontId="19" fillId="5" borderId="0" xfId="58" applyNumberFormat="1" applyFont="1" applyFill="1" applyAlignment="1">
      <alignment horizontal="right"/>
    </xf>
    <xf numFmtId="43" fontId="31" fillId="0" borderId="0" xfId="2" applyFont="1" applyFill="1" applyBorder="1" applyAlignment="1">
      <alignment horizontal="left" vertical="center"/>
    </xf>
    <xf numFmtId="43" fontId="33" fillId="0" borderId="0" xfId="2" applyFont="1" applyFill="1" applyBorder="1" applyAlignment="1">
      <alignment horizontal="right" vertical="center"/>
    </xf>
    <xf numFmtId="0" fontId="68" fillId="15" borderId="131" xfId="58" applyFont="1" applyFill="1" applyBorder="1" applyAlignment="1">
      <alignment horizontal="center" vertical="center"/>
    </xf>
    <xf numFmtId="0" fontId="68" fillId="15" borderId="146" xfId="58" applyFont="1" applyFill="1" applyBorder="1" applyAlignment="1">
      <alignment horizontal="center" vertical="center"/>
    </xf>
    <xf numFmtId="0" fontId="68" fillId="15" borderId="147" xfId="58" applyFont="1" applyFill="1" applyBorder="1" applyAlignment="1">
      <alignment horizontal="center" vertical="center"/>
    </xf>
    <xf numFmtId="0" fontId="68" fillId="15" borderId="58" xfId="58" applyFont="1" applyFill="1" applyBorder="1" applyAlignment="1">
      <alignment horizontal="center" vertical="center"/>
    </xf>
    <xf numFmtId="0" fontId="68" fillId="15" borderId="42" xfId="58" applyFont="1" applyFill="1" applyBorder="1" applyAlignment="1">
      <alignment horizontal="center" vertical="center"/>
    </xf>
    <xf numFmtId="0" fontId="68" fillId="15" borderId="123" xfId="58" applyFont="1" applyFill="1" applyBorder="1" applyAlignment="1">
      <alignment horizontal="center" vertical="center"/>
    </xf>
    <xf numFmtId="0" fontId="19" fillId="5" borderId="72" xfId="58" applyFont="1" applyFill="1" applyBorder="1" applyAlignment="1">
      <alignment horizontal="right" vertical="center"/>
    </xf>
    <xf numFmtId="0" fontId="19" fillId="5" borderId="124" xfId="58" applyFont="1" applyFill="1" applyBorder="1" applyAlignment="1">
      <alignment horizontal="right" vertical="center"/>
    </xf>
    <xf numFmtId="0" fontId="19" fillId="0" borderId="0" xfId="58" applyFont="1" applyFill="1" applyBorder="1" applyAlignment="1">
      <alignment horizontal="right" vertical="center"/>
    </xf>
    <xf numFmtId="0" fontId="19" fillId="0" borderId="113" xfId="58" applyFont="1" applyFill="1" applyBorder="1" applyAlignment="1">
      <alignment horizontal="right" vertical="center"/>
    </xf>
    <xf numFmtId="0" fontId="158" fillId="0" borderId="40" xfId="34" applyNumberFormat="1" applyFont="1" applyFill="1" applyBorder="1" applyAlignment="1">
      <alignment horizontal="center" vertical="center"/>
    </xf>
    <xf numFmtId="0" fontId="158" fillId="0" borderId="0" xfId="34" applyNumberFormat="1" applyFont="1" applyFill="1" applyBorder="1" applyAlignment="1">
      <alignment horizontal="center" vertical="center"/>
    </xf>
    <xf numFmtId="0" fontId="158" fillId="0" borderId="57" xfId="34" applyNumberFormat="1" applyFont="1" applyFill="1" applyBorder="1" applyAlignment="1">
      <alignment horizontal="center" vertical="center"/>
    </xf>
    <xf numFmtId="0" fontId="38" fillId="0" borderId="17" xfId="58" applyFont="1" applyFill="1" applyBorder="1" applyAlignment="1">
      <alignment horizontal="right" vertical="center" wrapText="1"/>
    </xf>
    <xf numFmtId="0" fontId="38" fillId="0" borderId="25" xfId="58" applyFont="1" applyFill="1" applyBorder="1" applyAlignment="1">
      <alignment horizontal="right" vertical="center" wrapText="1"/>
    </xf>
    <xf numFmtId="10" fontId="132" fillId="0" borderId="99" xfId="0" applyNumberFormat="1" applyFont="1" applyFill="1" applyBorder="1" applyAlignment="1">
      <alignment horizontal="left" vertical="center"/>
    </xf>
    <xf numFmtId="10" fontId="132" fillId="0" borderId="100" xfId="0" applyNumberFormat="1" applyFont="1" applyFill="1" applyBorder="1" applyAlignment="1">
      <alignment horizontal="left" vertical="center"/>
    </xf>
    <xf numFmtId="0" fontId="37" fillId="10" borderId="16" xfId="58" applyFont="1" applyFill="1" applyBorder="1" applyAlignment="1">
      <alignment horizontal="left" vertical="center"/>
    </xf>
    <xf numFmtId="0" fontId="38" fillId="0" borderId="94" xfId="58" applyFont="1" applyFill="1" applyBorder="1" applyAlignment="1">
      <alignment horizontal="right" vertical="center" wrapText="1"/>
    </xf>
    <xf numFmtId="0" fontId="38" fillId="0" borderId="95" xfId="58" applyFont="1" applyFill="1" applyBorder="1" applyAlignment="1">
      <alignment horizontal="right" vertical="center" wrapText="1"/>
    </xf>
    <xf numFmtId="0" fontId="38" fillId="21" borderId="49" xfId="58" applyFont="1" applyFill="1" applyBorder="1" applyAlignment="1">
      <alignment horizontal="right" vertical="center"/>
    </xf>
    <xf numFmtId="0" fontId="38" fillId="21" borderId="50" xfId="58" applyFont="1" applyFill="1" applyBorder="1" applyAlignment="1">
      <alignment horizontal="right" vertical="center"/>
    </xf>
    <xf numFmtId="0" fontId="38" fillId="22" borderId="64" xfId="58" applyFont="1" applyFill="1" applyBorder="1" applyAlignment="1">
      <alignment horizontal="right" vertical="center" wrapText="1"/>
    </xf>
    <xf numFmtId="0" fontId="38" fillId="22" borderId="65" xfId="58" applyFont="1" applyFill="1" applyBorder="1" applyAlignment="1">
      <alignment horizontal="right" vertical="center" wrapText="1"/>
    </xf>
    <xf numFmtId="0" fontId="38" fillId="22" borderId="17" xfId="58" applyFont="1" applyFill="1" applyBorder="1" applyAlignment="1">
      <alignment horizontal="right" vertical="center" wrapText="1"/>
    </xf>
    <xf numFmtId="0" fontId="38" fillId="22" borderId="66" xfId="58" applyFont="1" applyFill="1" applyBorder="1" applyAlignment="1">
      <alignment horizontal="right" vertical="center" wrapText="1"/>
    </xf>
    <xf numFmtId="0" fontId="6" fillId="6" borderId="8" xfId="58" applyFont="1" applyFill="1" applyBorder="1" applyAlignment="1">
      <alignment horizontal="center" vertical="center"/>
    </xf>
    <xf numFmtId="0" fontId="17" fillId="6" borderId="63" xfId="58" applyNumberFormat="1" applyFont="1" applyFill="1" applyBorder="1" applyAlignment="1">
      <alignment horizontal="center" vertical="center"/>
    </xf>
    <xf numFmtId="0" fontId="34" fillId="6" borderId="8" xfId="58" applyFont="1" applyFill="1" applyBorder="1" applyAlignment="1">
      <alignment horizontal="center" vertical="center"/>
    </xf>
    <xf numFmtId="0" fontId="36" fillId="6" borderId="63" xfId="58" applyNumberFormat="1" applyFont="1" applyFill="1" applyBorder="1" applyAlignment="1">
      <alignment horizontal="center" vertical="center"/>
    </xf>
    <xf numFmtId="0" fontId="34" fillId="6" borderId="63" xfId="58" applyFont="1" applyFill="1" applyBorder="1" applyAlignment="1">
      <alignment horizontal="center" vertical="center"/>
    </xf>
    <xf numFmtId="0" fontId="33" fillId="0" borderId="0" xfId="58" applyFont="1" applyFill="1" applyAlignment="1">
      <alignment horizontal="center"/>
    </xf>
    <xf numFmtId="0" fontId="29" fillId="0" borderId="0" xfId="58" applyFont="1" applyFill="1" applyAlignment="1">
      <alignment horizontal="left" vertical="center"/>
    </xf>
    <xf numFmtId="0" fontId="33" fillId="0" borderId="9" xfId="58" applyFont="1" applyFill="1" applyBorder="1" applyAlignment="1">
      <alignment horizontal="left" vertical="center"/>
    </xf>
    <xf numFmtId="0" fontId="19" fillId="0" borderId="26" xfId="58" applyFont="1" applyFill="1" applyBorder="1" applyAlignment="1">
      <alignment horizontal="right" vertical="center"/>
    </xf>
    <xf numFmtId="0" fontId="19" fillId="0" borderId="86" xfId="58" applyFont="1" applyFill="1" applyBorder="1" applyAlignment="1">
      <alignment horizontal="right" vertical="center"/>
    </xf>
    <xf numFmtId="0" fontId="19" fillId="0" borderId="0" xfId="58" applyNumberFormat="1" applyFont="1" applyFill="1" applyBorder="1" applyAlignment="1">
      <alignment horizontal="right" vertical="center"/>
    </xf>
    <xf numFmtId="0" fontId="19" fillId="0" borderId="27" xfId="58" applyNumberFormat="1" applyFont="1" applyFill="1" applyBorder="1" applyAlignment="1">
      <alignment horizontal="right" vertical="center"/>
    </xf>
    <xf numFmtId="0" fontId="19" fillId="0" borderId="0" xfId="58" applyFont="1" applyFill="1" applyAlignment="1">
      <alignment horizontal="left"/>
    </xf>
    <xf numFmtId="0" fontId="29" fillId="2" borderId="0" xfId="58" applyFont="1" applyAlignment="1">
      <alignment horizontal="left" vertical="center"/>
    </xf>
    <xf numFmtId="43" fontId="68" fillId="2" borderId="0" xfId="58" applyNumberFormat="1" applyFont="1" applyAlignment="1">
      <alignment horizontal="left" vertical="center"/>
    </xf>
    <xf numFmtId="0" fontId="68" fillId="2" borderId="0" xfId="58" applyFont="1" applyAlignment="1">
      <alignment horizontal="left" vertical="center"/>
    </xf>
    <xf numFmtId="4" fontId="20" fillId="0" borderId="26" xfId="58" applyNumberFormat="1" applyFont="1" applyFill="1" applyBorder="1" applyAlignment="1">
      <alignment horizontal="center" vertical="center"/>
    </xf>
    <xf numFmtId="43" fontId="33" fillId="2" borderId="0" xfId="58" applyNumberFormat="1" applyFont="1" applyAlignment="1">
      <alignment horizontal="left" vertical="center"/>
    </xf>
    <xf numFmtId="0" fontId="33" fillId="2" borderId="0" xfId="58" applyFont="1" applyAlignment="1">
      <alignment horizontal="left" vertical="center"/>
    </xf>
    <xf numFmtId="0" fontId="19" fillId="2" borderId="0" xfId="58" applyFont="1" applyAlignment="1">
      <alignment horizontal="right"/>
    </xf>
    <xf numFmtId="0" fontId="19" fillId="2" borderId="27" xfId="58" applyFont="1" applyBorder="1" applyAlignment="1">
      <alignment horizontal="right"/>
    </xf>
  </cellXfs>
  <cellStyles count="104">
    <cellStyle name="AutoFormat Options" xfId="1"/>
    <cellStyle name="Comma" xfId="2" builtinId="3"/>
    <cellStyle name="Comma 10 2" xfId="3"/>
    <cellStyle name="Comma 18" xfId="4"/>
    <cellStyle name="Comma 19" xfId="5"/>
    <cellStyle name="Comma 2" xfId="6"/>
    <cellStyle name="Comma 2 10" xfId="7"/>
    <cellStyle name="Comma 2 11" xfId="8"/>
    <cellStyle name="Comma 2 12" xfId="9"/>
    <cellStyle name="Comma 2 13" xfId="10"/>
    <cellStyle name="Comma 2 14" xfId="11"/>
    <cellStyle name="Comma 2 2" xfId="12"/>
    <cellStyle name="Comma 2 3" xfId="13"/>
    <cellStyle name="Comma 2 4" xfId="14"/>
    <cellStyle name="Comma 2 5" xfId="15"/>
    <cellStyle name="Comma 2 6" xfId="16"/>
    <cellStyle name="Comma 2 7" xfId="17"/>
    <cellStyle name="Comma 2 8" xfId="18"/>
    <cellStyle name="Comma 2 9" xfId="19"/>
    <cellStyle name="Comma 3" xfId="20"/>
    <cellStyle name="Comma 4" xfId="21"/>
    <cellStyle name="Comma 4 2" xfId="22"/>
    <cellStyle name="Comma 4 2 2" xfId="23"/>
    <cellStyle name="Comma 4 3" xfId="24"/>
    <cellStyle name="Comma 4 4" xfId="25"/>
    <cellStyle name="Comma 4 5" xfId="26"/>
    <cellStyle name="Comma 5" xfId="27"/>
    <cellStyle name="Currency 2" xfId="28"/>
    <cellStyle name="Currency 2 2" xfId="29"/>
    <cellStyle name="Custom - Style8" xfId="30"/>
    <cellStyle name="Data   - Style2" xfId="31"/>
    <cellStyle name="Hyperlink 2" xfId="32"/>
    <cellStyle name="Labels - Style3" xfId="33"/>
    <cellStyle name="Normal" xfId="0" builtinId="0"/>
    <cellStyle name="Normal 2" xfId="34"/>
    <cellStyle name="Normal 2 10" xfId="35"/>
    <cellStyle name="Normal 2 11" xfId="36"/>
    <cellStyle name="Normal 2 12" xfId="37"/>
    <cellStyle name="Normal 2 13" xfId="38"/>
    <cellStyle name="Normal 2 14" xfId="39"/>
    <cellStyle name="Normal 2 15" xfId="40"/>
    <cellStyle name="Normal 2 16" xfId="41"/>
    <cellStyle name="Normal 2 16 2" xfId="102"/>
    <cellStyle name="Normal 2 17" xfId="42"/>
    <cellStyle name="Normal 2 18" xfId="43"/>
    <cellStyle name="Normal 2 19" xfId="103"/>
    <cellStyle name="Normal 2 2" xfId="44"/>
    <cellStyle name="Normal 2 2 2" xfId="45"/>
    <cellStyle name="Normal 2 2 3" xfId="46"/>
    <cellStyle name="Normal 2 3" xfId="47"/>
    <cellStyle name="Normal 2 4" xfId="48"/>
    <cellStyle name="Normal 2 5" xfId="49"/>
    <cellStyle name="Normal 2 5 2" xfId="50"/>
    <cellStyle name="Normal 2 6" xfId="51"/>
    <cellStyle name="Normal 2 7" xfId="52"/>
    <cellStyle name="Normal 2 8" xfId="53"/>
    <cellStyle name="Normal 2 9" xfId="54"/>
    <cellStyle name="Normal 2_Monthly-December-2010" xfId="55"/>
    <cellStyle name="Normal 20" xfId="56"/>
    <cellStyle name="Normal 21" xfId="57"/>
    <cellStyle name="Normal 3" xfId="58"/>
    <cellStyle name="Normal 4" xfId="59"/>
    <cellStyle name="Normal 5" xfId="60"/>
    <cellStyle name="Normal 6" xfId="61"/>
    <cellStyle name="Normal 6 2" xfId="62"/>
    <cellStyle name="Normal 6 2 2" xfId="63"/>
    <cellStyle name="Normal 6 3" xfId="64"/>
    <cellStyle name="Normal 6 4" xfId="65"/>
    <cellStyle name="Normal 7" xfId="66"/>
    <cellStyle name="Normal 7 2" xfId="67"/>
    <cellStyle name="Normal 8" xfId="68"/>
    <cellStyle name="Normal 8 2" xfId="69"/>
    <cellStyle name="Normal 8 2 2" xfId="70"/>
    <cellStyle name="Normal 9" xfId="71"/>
    <cellStyle name="Percent" xfId="72" builtinId="5"/>
    <cellStyle name="Percent 10 2" xfId="73"/>
    <cellStyle name="Percent 17" xfId="74"/>
    <cellStyle name="Percent 18" xfId="75"/>
    <cellStyle name="Percent 2" xfId="76"/>
    <cellStyle name="Percent 2 10" xfId="77"/>
    <cellStyle name="Percent 2 11" xfId="78"/>
    <cellStyle name="Percent 2 12" xfId="79"/>
    <cellStyle name="Percent 2 13" xfId="80"/>
    <cellStyle name="Percent 2 14" xfId="81"/>
    <cellStyle name="Percent 2 2" xfId="82"/>
    <cellStyle name="Percent 2 3" xfId="83"/>
    <cellStyle name="Percent 2 4" xfId="84"/>
    <cellStyle name="Percent 2 5" xfId="85"/>
    <cellStyle name="Percent 2 6" xfId="86"/>
    <cellStyle name="Percent 2 7" xfId="87"/>
    <cellStyle name="Percent 2 8" xfId="88"/>
    <cellStyle name="Percent 2 9" xfId="89"/>
    <cellStyle name="Percent 3" xfId="90"/>
    <cellStyle name="Percent 3 2" xfId="91"/>
    <cellStyle name="Percent 4" xfId="92"/>
    <cellStyle name="Percent 4 2" xfId="93"/>
    <cellStyle name="Percent 4 3" xfId="94"/>
    <cellStyle name="Percent 4 4" xfId="95"/>
    <cellStyle name="Reset  - Style7" xfId="96"/>
    <cellStyle name="Table  - Style6" xfId="97"/>
    <cellStyle name="Title  - Style1" xfId="98"/>
    <cellStyle name="TotCol - Style5" xfId="99"/>
    <cellStyle name="TotRow - Style4" xfId="100"/>
    <cellStyle name="常规_Opening of Doc For Year 2006" xfId="10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26</xdr:col>
      <xdr:colOff>671512</xdr:colOff>
      <xdr:row>121</xdr:row>
      <xdr:rowOff>557212</xdr:rowOff>
    </xdr:from>
    <xdr:ext cx="65" cy="172227"/>
    <xdr:sp macro="" textlink="">
      <xdr:nvSpPr>
        <xdr:cNvPr id="2" name="TextBox 1"/>
        <xdr:cNvSpPr txBox="1"/>
      </xdr:nvSpPr>
      <xdr:spPr>
        <a:xfrm>
          <a:off x="24569737" y="103589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bbpph82\credit\Monthly%20Returns_2008\HO%20Returns\Sep%20'08\Global%20Assets_Sep%20'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Documents%20and%20Settings\loan2\Application%20Data\Microsoft\Excel\09.Master-Sep-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Users\User\AppData\Local\Microsoft\Windows\Temporary%20Internet%20Files\Content.IE5\SF7CUHO5\Reports\master%20list\Appendix%20B%20to%20O_DEC-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Users\User\AppData\Local\Microsoft\Windows\Temporary%20Internet%20Files\Content.IE5\SF7CUHO5\Reports\master%20list\Appendix%20B%20to%20O_MAR%20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henda-14043\Desktop\KH0010009_20170831_CRB_Output_.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KH0010009_20180228_CRB_Output_.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onthly%20Report/Master%20List/2017/August%202017/KH0010009_20170831_CRB_Output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ap1"/>
      <sheetName val="Cap2"/>
      <sheetName val="Cap3"/>
      <sheetName val="Bnmform"/>
      <sheetName val="OD-LCTR"/>
      <sheetName val="Sheet2"/>
    </sheetNames>
    <sheetDataSet>
      <sheetData sheetId="0" refreshError="1"/>
      <sheetData sheetId="1"/>
      <sheetData sheetId="2" refreshError="1"/>
      <sheetData sheetId="3"/>
      <sheetData sheetId="4" refreshError="1"/>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2)"/>
      <sheetName val="O-D (2)"/>
      <sheetName val="Restructure"/>
      <sheetName val="By Industries (NBC)"/>
      <sheetName val="Support Cre-Ind"/>
      <sheetName val="Master-List"/>
      <sheetName val="Support Avg. Int.Rate"/>
      <sheetName val="Avg. Int. rate"/>
      <sheetName val="Loan"/>
      <sheetName val="O-D"/>
      <sheetName val="Provision"/>
      <sheetName val="Loss Loan"/>
      <sheetName val="Sub-Stan"/>
      <sheetName val="Doubtfull"/>
      <sheetName val="Write off"/>
      <sheetName val="Sheet1"/>
    </sheetNames>
    <sheetDataSet>
      <sheetData sheetId="0" refreshError="1"/>
      <sheetData sheetId="1" refreshError="1"/>
      <sheetData sheetId="2" refreshError="1"/>
      <sheetData sheetId="3">
        <row r="4">
          <cell r="A4" t="str">
            <v>1.2.1- Commercial Banks</v>
          </cell>
        </row>
        <row r="5">
          <cell r="A5" t="str">
            <v>1.2.1- Commercial Banks-CORP</v>
          </cell>
        </row>
        <row r="6">
          <cell r="A6" t="str">
            <v>1.2.1- Commercial Banks-PART</v>
          </cell>
        </row>
        <row r="7">
          <cell r="A7" t="str">
            <v>1.2.1- Commercial Banks-SOLE</v>
          </cell>
        </row>
        <row r="8">
          <cell r="A8" t="str">
            <v>1.2.1- Commercial Banks-HOUSE</v>
          </cell>
        </row>
        <row r="9">
          <cell r="A9" t="str">
            <v>1.2.2- Depository Microfinance Institutions</v>
          </cell>
        </row>
        <row r="10">
          <cell r="A10" t="str">
            <v>1.2.2- Depository Microfinance Institutions-CORP</v>
          </cell>
        </row>
        <row r="11">
          <cell r="A11" t="str">
            <v>1.2.2- Depository Microfinance Institutions-PART</v>
          </cell>
        </row>
        <row r="12">
          <cell r="A12" t="str">
            <v>1.2.2- Depository Microfinance Institutions-SOLE</v>
          </cell>
        </row>
        <row r="13">
          <cell r="A13" t="str">
            <v>1.2.2- Depository Microfinance Institutions-HOUSE</v>
          </cell>
        </row>
        <row r="14">
          <cell r="A14" t="str">
            <v>1.2.3- Other Depository Institutions</v>
          </cell>
        </row>
        <row r="15">
          <cell r="A15" t="str">
            <v>1.2.3- Other Depository Institutions-CORP</v>
          </cell>
        </row>
        <row r="16">
          <cell r="A16" t="str">
            <v>1.2.3- Other Depository Institutions-PART</v>
          </cell>
        </row>
        <row r="17">
          <cell r="A17" t="str">
            <v>1.2.3- Other Depository Institutions-SOLE</v>
          </cell>
        </row>
        <row r="18">
          <cell r="A18" t="str">
            <v>1.2.3- Other Depository Institutions-HOUSE</v>
          </cell>
        </row>
        <row r="19">
          <cell r="A19" t="str">
            <v>1.3.1- Specialized Banks</v>
          </cell>
        </row>
        <row r="20">
          <cell r="A20" t="str">
            <v>1.3.1- Specialized Banks-CORP</v>
          </cell>
        </row>
        <row r="21">
          <cell r="A21" t="str">
            <v>1.3.1- Specialized Banks-PART</v>
          </cell>
        </row>
        <row r="22">
          <cell r="A22" t="str">
            <v>1.3.1- Specialized Banks-SOLE</v>
          </cell>
        </row>
        <row r="23">
          <cell r="A23" t="str">
            <v>1.3.1- Specialized Banks-HOUSE</v>
          </cell>
        </row>
        <row r="24">
          <cell r="A24" t="str">
            <v>1.3.2- Licensed Microfinance Institutions</v>
          </cell>
        </row>
        <row r="25">
          <cell r="A25" t="str">
            <v>1.3.2- Licensed Microfinance Institutions-CORP</v>
          </cell>
        </row>
        <row r="26">
          <cell r="A26" t="str">
            <v>1.3.2- Licensed Microfinance Institutions-PART</v>
          </cell>
        </row>
        <row r="27">
          <cell r="A27" t="str">
            <v>1.3.2- Licensed Microfinance Institutions-SOLE</v>
          </cell>
        </row>
        <row r="28">
          <cell r="A28" t="str">
            <v>1.3.2- Licensed Microfinance Institutions-HOUSE</v>
          </cell>
        </row>
        <row r="29">
          <cell r="A29" t="str">
            <v>1.3.3- Life Insurance</v>
          </cell>
        </row>
        <row r="30">
          <cell r="A30" t="str">
            <v>1.3.3- Life Insurance-CORP</v>
          </cell>
        </row>
        <row r="31">
          <cell r="A31" t="str">
            <v>1.3.3- Life Insurance-PART</v>
          </cell>
        </row>
        <row r="32">
          <cell r="A32" t="str">
            <v>1.3.3- Life Insurance-SOLE</v>
          </cell>
        </row>
        <row r="33">
          <cell r="A33" t="str">
            <v>1.3.3- Life Insurance-HOUSE</v>
          </cell>
        </row>
        <row r="34">
          <cell r="A34" t="str">
            <v>1.3.4- General Insurance</v>
          </cell>
        </row>
        <row r="35">
          <cell r="A35" t="str">
            <v>1.3.4- General Insurance-CORP</v>
          </cell>
        </row>
        <row r="36">
          <cell r="A36" t="str">
            <v>1.3.4- General Insurance-PART</v>
          </cell>
        </row>
        <row r="37">
          <cell r="A37" t="str">
            <v>1.3.4- General Insurance-SOLE</v>
          </cell>
        </row>
        <row r="38">
          <cell r="A38" t="str">
            <v>1.3.4- General Insurance-HOUSE</v>
          </cell>
        </row>
        <row r="39">
          <cell r="A39" t="str">
            <v>1.3.5- Pension Funds</v>
          </cell>
        </row>
        <row r="40">
          <cell r="A40" t="str">
            <v>1.3.5- Pension Funds-CORP</v>
          </cell>
        </row>
        <row r="41">
          <cell r="A41" t="str">
            <v>1.3.5- Pension Funds-PART</v>
          </cell>
        </row>
        <row r="42">
          <cell r="A42" t="str">
            <v>1.3.5- Pension Funds-SOLE</v>
          </cell>
        </row>
        <row r="43">
          <cell r="A43" t="str">
            <v>1.3.5- Pension Funds-HOUSE</v>
          </cell>
        </row>
        <row r="44">
          <cell r="A44" t="str">
            <v>1.3.6- Stock Exchange and Stockbrokers</v>
          </cell>
        </row>
        <row r="45">
          <cell r="A45" t="str">
            <v>1.3.6- Stock Exchange and Stockbrokers-CORP</v>
          </cell>
        </row>
        <row r="46">
          <cell r="A46" t="str">
            <v>1.3.6- Stock Exchange and Stockbrokers-PART</v>
          </cell>
        </row>
        <row r="47">
          <cell r="A47" t="str">
            <v>1.3.6- Stock Exchange and Stockbrokers-SOLE</v>
          </cell>
        </row>
        <row r="48">
          <cell r="A48" t="str">
            <v>1.3.6- Stock Exchange and Stockbrokers-HOUSE</v>
          </cell>
        </row>
        <row r="49">
          <cell r="A49" t="str">
            <v>1.3.7- Other Financial Institutions, not listed above</v>
          </cell>
        </row>
        <row r="50">
          <cell r="A50" t="str">
            <v>1.3.7- Other Financial Institutions, not listed above-CORP</v>
          </cell>
        </row>
        <row r="51">
          <cell r="A51" t="str">
            <v>1.3.7- Other Financial Institutions, not listed above-PART</v>
          </cell>
        </row>
        <row r="52">
          <cell r="A52" t="str">
            <v>1.3.7- Other Financial Institutions, not listed above-SOLE</v>
          </cell>
        </row>
        <row r="53">
          <cell r="A53" t="str">
            <v>1.3.7- Other Financial Institutions, not listed above-HOUSE</v>
          </cell>
        </row>
        <row r="54">
          <cell r="A54" t="str">
            <v>2.1.1- Agriculture</v>
          </cell>
        </row>
        <row r="55">
          <cell r="A55" t="str">
            <v>2.1.1- Agriculture-CORP</v>
          </cell>
        </row>
        <row r="56">
          <cell r="A56" t="str">
            <v>2.1.1- Agriculture-PART</v>
          </cell>
        </row>
        <row r="57">
          <cell r="A57" t="str">
            <v>2.1.1- Agriculture-SOLE</v>
          </cell>
        </row>
        <row r="58">
          <cell r="A58" t="str">
            <v>2.1.1- Agriculture-HOUSE</v>
          </cell>
        </row>
        <row r="59">
          <cell r="A59" t="str">
            <v>2.1.2- Forestry</v>
          </cell>
        </row>
        <row r="60">
          <cell r="A60" t="str">
            <v>2.1.2- Forestry-CORP</v>
          </cell>
        </row>
        <row r="61">
          <cell r="A61" t="str">
            <v>2.1.2- Forestry-PART</v>
          </cell>
        </row>
        <row r="62">
          <cell r="A62" t="str">
            <v>2.1.2- Forestry-SOLE</v>
          </cell>
        </row>
        <row r="63">
          <cell r="A63" t="str">
            <v>2.1.2- Forestry-HOUSE</v>
          </cell>
        </row>
        <row r="64">
          <cell r="A64" t="str">
            <v>2.1.3- Fishing</v>
          </cell>
        </row>
        <row r="65">
          <cell r="A65" t="str">
            <v>2.1.3- Fishing-CORP</v>
          </cell>
        </row>
        <row r="66">
          <cell r="A66" t="str">
            <v>2.1.3- Fishing-PART</v>
          </cell>
        </row>
        <row r="67">
          <cell r="A67" t="str">
            <v>2.1.3- Fishing-SOLE</v>
          </cell>
        </row>
        <row r="68">
          <cell r="A68" t="str">
            <v>2.1.3- Fishing-HOUSE</v>
          </cell>
        </row>
        <row r="69">
          <cell r="A69" t="str">
            <v>2.2- Mining and Quarrying</v>
          </cell>
        </row>
        <row r="70">
          <cell r="A70" t="str">
            <v>2.2- Mining and Quarrying-CORP</v>
          </cell>
        </row>
        <row r="71">
          <cell r="A71" t="str">
            <v>2.2- Mining and Quarrying-PART</v>
          </cell>
        </row>
        <row r="72">
          <cell r="A72" t="str">
            <v>2.2- Mining and Quarrying-SOLE</v>
          </cell>
        </row>
        <row r="73">
          <cell r="A73" t="str">
            <v>2.2- Mining and Quarrying-HOUSE</v>
          </cell>
        </row>
        <row r="74">
          <cell r="A74" t="str">
            <v>2.3.1- Food Products Manufacturing</v>
          </cell>
        </row>
        <row r="75">
          <cell r="A75" t="str">
            <v>2.3.1- Food Products Manufacturing-CORP</v>
          </cell>
        </row>
        <row r="76">
          <cell r="A76" t="str">
            <v>2.3.1- Food Products Manufacturing-PART</v>
          </cell>
        </row>
        <row r="77">
          <cell r="A77" t="str">
            <v>2.3.1- Food Products Manufacturing-SOLE</v>
          </cell>
        </row>
        <row r="78">
          <cell r="A78" t="str">
            <v>2.3.1- Food Products Manufacturing-HOUSE</v>
          </cell>
        </row>
        <row r="79">
          <cell r="A79" t="str">
            <v>2.3.2- Beverage and Tobacco Manufacturing</v>
          </cell>
        </row>
        <row r="80">
          <cell r="A80" t="str">
            <v>2.3.2- Beverage and Tobacco Manufacturing-CORP</v>
          </cell>
        </row>
        <row r="81">
          <cell r="A81" t="str">
            <v>2.3.2- Beverage and Tobacco Manufacturing-PART</v>
          </cell>
        </row>
        <row r="82">
          <cell r="A82" t="str">
            <v>2.3.2- Beverage and Tobacco Manufacturing-SOLE</v>
          </cell>
        </row>
        <row r="83">
          <cell r="A83" t="str">
            <v>2.3.2- Beverage and Tobacco Manufacturing-HOUSE</v>
          </cell>
        </row>
        <row r="84">
          <cell r="A84" t="str">
            <v>2.3.3- Textile, Wearing Apparel and Leather Products Manufacturing</v>
          </cell>
        </row>
        <row r="85">
          <cell r="A85" t="str">
            <v>2.3.3- Textile, Wearing Apparel and Leather Products Manufacturing-CORP</v>
          </cell>
        </row>
        <row r="86">
          <cell r="A86" t="str">
            <v>2.3.3- Textile, Wearing Apparel and Leather Products Manufacturing-PART</v>
          </cell>
        </row>
        <row r="87">
          <cell r="A87" t="str">
            <v>2.3.3- Textile, Wearing Apparel and Leather Products Manufacturing-SOLE</v>
          </cell>
        </row>
        <row r="88">
          <cell r="A88" t="str">
            <v>2.3.3- Textile, Wearing Apparel and Leather Products Manufacturing-HOUSE</v>
          </cell>
        </row>
        <row r="89">
          <cell r="A89" t="str">
            <v>2.3.4- Wood Products and Paper Manufacturing</v>
          </cell>
        </row>
        <row r="90">
          <cell r="A90" t="str">
            <v>2.3.4- Wood Products and Paper Manufacturing-CORP</v>
          </cell>
        </row>
        <row r="91">
          <cell r="A91" t="str">
            <v>2.3.4- Wood Products and Paper Manufacturing-PART</v>
          </cell>
        </row>
        <row r="92">
          <cell r="A92" t="str">
            <v>2.3.4- Wood Products and Paper Manufacturing-SOLE</v>
          </cell>
        </row>
        <row r="93">
          <cell r="A93" t="str">
            <v>2.3.4- Wood Products and Paper Manufacturing-HOUSE</v>
          </cell>
        </row>
        <row r="94">
          <cell r="A94" t="str">
            <v>2.3.5- Printing</v>
          </cell>
        </row>
        <row r="95">
          <cell r="A95" t="str">
            <v>2.3.5- Printing-CORP</v>
          </cell>
        </row>
        <row r="96">
          <cell r="A96" t="str">
            <v>2.3.5- Printing-PART</v>
          </cell>
        </row>
        <row r="97">
          <cell r="A97" t="str">
            <v>2.3.5- Printing-SOLE</v>
          </cell>
        </row>
        <row r="98">
          <cell r="A98" t="str">
            <v>2.3.5- Printing-HOUSE</v>
          </cell>
        </row>
        <row r="99">
          <cell r="A99" t="str">
            <v>2.3.6- Petroleum, Coal, Chemical, Polymer and Rubber Manufacturing</v>
          </cell>
        </row>
        <row r="100">
          <cell r="A100" t="str">
            <v>2.3.6- Petroleum, Coal, Chemical, Polymer and Rubber Manufacturing-CORP</v>
          </cell>
        </row>
        <row r="101">
          <cell r="A101" t="str">
            <v>2.3.6- Petroleum, Coal, Chemical, Polymer and Rubber Manufacturing-PART</v>
          </cell>
        </row>
        <row r="102">
          <cell r="A102" t="str">
            <v>2.3.6- Petroleum, Coal, Chemical, Polymer and Rubber Manufacturing-SOLE</v>
          </cell>
        </row>
        <row r="103">
          <cell r="A103" t="str">
            <v>2.3.6- Petroleum, Coal, Chemical, Polymer and Rubber Manufacturing-HOUSE</v>
          </cell>
        </row>
        <row r="104">
          <cell r="A104" t="str">
            <v>2.3.7- Non-Metallic Minerals Manufacturing</v>
          </cell>
        </row>
        <row r="105">
          <cell r="A105" t="str">
            <v>2.3.7- Non-Metallic Minerals Manufacturing-CORP</v>
          </cell>
        </row>
        <row r="106">
          <cell r="A106" t="str">
            <v>2.3.7- Non-Metallic Minerals Manufacturing-PART</v>
          </cell>
        </row>
        <row r="107">
          <cell r="A107" t="str">
            <v>2.3.7- Non-Metallic Minerals Manufacturing-SOLE</v>
          </cell>
        </row>
        <row r="108">
          <cell r="A108" t="str">
            <v>2.3.7- Non-Metallic Minerals Manufacturing-HOUSE</v>
          </cell>
        </row>
        <row r="109">
          <cell r="A109" t="str">
            <v>2.3.8- Metal and Metal Products Manufacturing</v>
          </cell>
        </row>
        <row r="110">
          <cell r="A110" t="str">
            <v>2.3.8- Metal and Metal Products Manufacturing-CORP</v>
          </cell>
        </row>
        <row r="111">
          <cell r="A111" t="str">
            <v>2.3.8- Metal and Metal Products Manufacturing-PART</v>
          </cell>
        </row>
        <row r="112">
          <cell r="A112" t="str">
            <v>2.3.8- Metal and Metal Products Manufacturing-SOLE</v>
          </cell>
        </row>
        <row r="113">
          <cell r="A113" t="str">
            <v>2.3.8- Metal and Metal Products Manufacturing-HOUSE</v>
          </cell>
        </row>
        <row r="114">
          <cell r="A114" t="str">
            <v>2.3.9- Transport Equipment Manufacturing</v>
          </cell>
        </row>
        <row r="115">
          <cell r="A115" t="str">
            <v>2.3.9- Transport Equipment Manufacturing-CORP</v>
          </cell>
        </row>
        <row r="116">
          <cell r="A116" t="str">
            <v>2.3.9- Transport Equipment Manufacturing-PART</v>
          </cell>
        </row>
        <row r="117">
          <cell r="A117" t="str">
            <v>2.3.9- Transport Equipment Manufacturing-SOLE</v>
          </cell>
        </row>
        <row r="118">
          <cell r="A118" t="str">
            <v>2.3.9- Transport Equipment Manufacturing-HOUSE</v>
          </cell>
        </row>
        <row r="119">
          <cell r="A119" t="str">
            <v>2.3.10- Machinery and Equipment Manufacturing</v>
          </cell>
        </row>
        <row r="120">
          <cell r="A120" t="str">
            <v>2.3.10- Machinery and Equipment Manufacturing-CORP</v>
          </cell>
        </row>
        <row r="121">
          <cell r="A121" t="str">
            <v>2.3.10- Machinery and Equipment Manufacturing-PART</v>
          </cell>
        </row>
        <row r="122">
          <cell r="A122" t="str">
            <v>2.3.10- Machinery and Equipment Manufacturing-SOLE</v>
          </cell>
        </row>
        <row r="123">
          <cell r="A123" t="str">
            <v>2.3.10- Machinery and Equipment Manufacturing-HOUSE</v>
          </cell>
        </row>
        <row r="124">
          <cell r="A124" t="str">
            <v>2.3.11- Furniture and Other Manufacturing</v>
          </cell>
        </row>
        <row r="125">
          <cell r="A125" t="str">
            <v>2.3.11- Furniture and Other Manufacturing-CORP</v>
          </cell>
        </row>
        <row r="126">
          <cell r="A126" t="str">
            <v>2.3.11- Furniture and Other Manufacturing-PART</v>
          </cell>
        </row>
        <row r="127">
          <cell r="A127" t="str">
            <v>2.3.11- Furniture and Other Manufacturing-SOLE</v>
          </cell>
        </row>
        <row r="128">
          <cell r="A128" t="str">
            <v>2.3.11- Furniture and Other Manufacturing-HOUSE</v>
          </cell>
        </row>
        <row r="129">
          <cell r="A129" t="str">
            <v>2.4.1- Electricity</v>
          </cell>
        </row>
        <row r="130">
          <cell r="A130" t="str">
            <v>2.4.1- Electricity-CORP</v>
          </cell>
        </row>
        <row r="131">
          <cell r="A131" t="str">
            <v>2.4.1- Electricity-PART</v>
          </cell>
        </row>
        <row r="132">
          <cell r="A132" t="str">
            <v>2.4.1- Electricity-SOLE</v>
          </cell>
        </row>
        <row r="133">
          <cell r="A133" t="str">
            <v>2.4.1- Electricity-HOUSE</v>
          </cell>
        </row>
        <row r="134">
          <cell r="A134" t="str">
            <v>2.4.2- Gas</v>
          </cell>
        </row>
        <row r="135">
          <cell r="A135" t="str">
            <v>2.4.2- Gas-CORP</v>
          </cell>
        </row>
        <row r="136">
          <cell r="A136" t="str">
            <v>2.4.2- Gas-PART</v>
          </cell>
        </row>
        <row r="137">
          <cell r="A137" t="str">
            <v>2.4.2- Gas-SOLE</v>
          </cell>
        </row>
        <row r="138">
          <cell r="A138" t="str">
            <v>2.4.2- Gas-HOUSE</v>
          </cell>
        </row>
        <row r="139">
          <cell r="A139" t="str">
            <v>2.4.3- Water, Sewerage and Drainage</v>
          </cell>
        </row>
        <row r="140">
          <cell r="A140" t="str">
            <v>2.4.3- Water, Sewerage and Drainage-CORP</v>
          </cell>
        </row>
        <row r="141">
          <cell r="A141" t="str">
            <v>2.4.3- Water, Sewerage and Drainage-PART</v>
          </cell>
        </row>
        <row r="142">
          <cell r="A142" t="str">
            <v>2.4.3- Water, Sewerage and Drainage-SOLE</v>
          </cell>
        </row>
        <row r="143">
          <cell r="A143" t="str">
            <v>2.4.3- Water, Sewerage and Drainage-HOUSE</v>
          </cell>
        </row>
        <row r="144">
          <cell r="A144" t="str">
            <v>2.4.4- Waste Collection, Treatment and Disposal</v>
          </cell>
        </row>
        <row r="145">
          <cell r="A145" t="str">
            <v>2.4.4- Waste Collection, Treatment and Disposal-CORP</v>
          </cell>
        </row>
        <row r="146">
          <cell r="A146" t="str">
            <v>2.4.4- Waste Collection, Treatment and Disposal-PART</v>
          </cell>
        </row>
        <row r="147">
          <cell r="A147" t="str">
            <v>2.4.4- Waste Collection, Treatment and Disposal-SOLE</v>
          </cell>
        </row>
        <row r="148">
          <cell r="A148" t="str">
            <v>2.4.4- Waste Collection, Treatment and Disposal-HOUSE</v>
          </cell>
        </row>
        <row r="149">
          <cell r="A149" t="str">
            <v xml:space="preserve">2.5.1- Property Development: Industrial </v>
          </cell>
        </row>
        <row r="150">
          <cell r="A150" t="str">
            <v>2.5.1- Property Development: Industrial-CORP</v>
          </cell>
        </row>
        <row r="151">
          <cell r="A151" t="str">
            <v>2.5.1- Property Development: Industrial-PART</v>
          </cell>
        </row>
        <row r="152">
          <cell r="A152" t="str">
            <v>2.5.1- Property Development: Industrial-SOLE</v>
          </cell>
        </row>
        <row r="153">
          <cell r="A153" t="str">
            <v>2.5.1- Property Development: Industrial-HOUSE</v>
          </cell>
        </row>
        <row r="154">
          <cell r="A154" t="str">
            <v>2.5.2- Property Development: Commercial</v>
          </cell>
        </row>
        <row r="155">
          <cell r="A155" t="str">
            <v>2.5.2- Property Development: Commercial-CORP</v>
          </cell>
        </row>
        <row r="156">
          <cell r="A156" t="str">
            <v>2.5.2- Property Development: Commercial-PART</v>
          </cell>
        </row>
        <row r="157">
          <cell r="A157" t="str">
            <v>2.5.2- Property Development: Commercial-SOLE</v>
          </cell>
        </row>
        <row r="158">
          <cell r="A158" t="str">
            <v>2.5.2- Property Development: Commercial-HOUSE</v>
          </cell>
        </row>
        <row r="159">
          <cell r="A159" t="str">
            <v>2.5.3- Property Development: Tourism related</v>
          </cell>
        </row>
        <row r="160">
          <cell r="A160" t="str">
            <v>2.5.3- Property Development: Tourism related-CORP</v>
          </cell>
        </row>
        <row r="161">
          <cell r="A161" t="str">
            <v>2.5.3- Property Development: Tourism related-PART</v>
          </cell>
        </row>
        <row r="162">
          <cell r="A162" t="str">
            <v>2.5.3- Property Development: Tourism related-SOLE</v>
          </cell>
        </row>
        <row r="163">
          <cell r="A163" t="str">
            <v>2.5.3- Property Development: Tourism related-HOUSE</v>
          </cell>
        </row>
        <row r="164">
          <cell r="A164" t="str">
            <v>2.5.4- Property Development: Residential</v>
          </cell>
        </row>
        <row r="165">
          <cell r="A165" t="str">
            <v>2.5.4- Property Development: Residential-CORP</v>
          </cell>
        </row>
        <row r="166">
          <cell r="A166" t="str">
            <v>2.5.4- Property Development: Residential-PART</v>
          </cell>
        </row>
        <row r="167">
          <cell r="A167" t="str">
            <v>2.5.4- Property Development: Residential-SOLE</v>
          </cell>
        </row>
        <row r="168">
          <cell r="A168" t="str">
            <v>2.5.4- Property Development: Residential-HOUSE</v>
          </cell>
        </row>
        <row r="169">
          <cell r="A169" t="str">
            <v>2.5.5- Property Development: Others</v>
          </cell>
        </row>
        <row r="170">
          <cell r="A170" t="str">
            <v>2.5.5- Property Development: Others-CORP</v>
          </cell>
        </row>
        <row r="171">
          <cell r="A171" t="str">
            <v>2.5.5- Property Development: Others-PART</v>
          </cell>
        </row>
        <row r="172">
          <cell r="A172" t="str">
            <v>2.5.5- Property Development: Others-SOLE</v>
          </cell>
        </row>
        <row r="173">
          <cell r="A173" t="str">
            <v>2.5.5- Property Development: Others-HOUSE</v>
          </cell>
        </row>
        <row r="174">
          <cell r="A174" t="str">
            <v>2.5.6- Heavy Construction</v>
          </cell>
        </row>
        <row r="175">
          <cell r="A175" t="str">
            <v>2.5.6- Heavy Construction-CORP</v>
          </cell>
        </row>
        <row r="176">
          <cell r="A176" t="str">
            <v>2.5.6- Heavy Construction-PART</v>
          </cell>
        </row>
        <row r="177">
          <cell r="A177" t="str">
            <v>2.5.6- Heavy Construction-SOLE</v>
          </cell>
        </row>
        <row r="178">
          <cell r="A178" t="str">
            <v>2.5.6- Heavy Construction-HOUSE</v>
          </cell>
        </row>
        <row r="179">
          <cell r="A179" t="str">
            <v>2.5.7- Land Management</v>
          </cell>
        </row>
        <row r="180">
          <cell r="A180" t="str">
            <v>2.5.7- Land Management-CORP</v>
          </cell>
        </row>
        <row r="181">
          <cell r="A181" t="str">
            <v>2.5.7- Land Management-PART</v>
          </cell>
        </row>
        <row r="182">
          <cell r="A182" t="str">
            <v>2.5.7- Land Management-SOLE</v>
          </cell>
        </row>
        <row r="183">
          <cell r="A183" t="str">
            <v>2.5.7- Land Management-HOUSE</v>
          </cell>
        </row>
        <row r="184">
          <cell r="A184" t="str">
            <v>2.5.8- Other Construction</v>
          </cell>
        </row>
        <row r="185">
          <cell r="A185" t="str">
            <v>2.5.8- Other Construction-CORP</v>
          </cell>
        </row>
        <row r="186">
          <cell r="A186" t="str">
            <v>2.5.8- Other Construction-PART</v>
          </cell>
        </row>
        <row r="187">
          <cell r="A187" t="str">
            <v>2.5.8- Other Construction-SOLE</v>
          </cell>
        </row>
        <row r="188">
          <cell r="A188" t="str">
            <v>2.5.8- Other Construction-HOUSE</v>
          </cell>
        </row>
        <row r="189">
          <cell r="A189" t="str">
            <v>2.6.1- Wholesale - Import</v>
          </cell>
        </row>
        <row r="190">
          <cell r="A190" t="str">
            <v>2.6.1- Wholesale - Import-CORP</v>
          </cell>
        </row>
        <row r="191">
          <cell r="A191" t="str">
            <v>2.6.1- Wholesale - Import-PART</v>
          </cell>
        </row>
        <row r="192">
          <cell r="A192" t="str">
            <v>2.6.1- Wholesale - Import-SOLE</v>
          </cell>
        </row>
        <row r="193">
          <cell r="A193" t="str">
            <v>2.6.1- Wholesale - Import-HOUSE</v>
          </cell>
        </row>
        <row r="194">
          <cell r="A194" t="str">
            <v>2.6.2- Wholesale - Export</v>
          </cell>
        </row>
        <row r="195">
          <cell r="A195" t="str">
            <v>2.6.2- Wholesale - Export-CORP</v>
          </cell>
        </row>
        <row r="196">
          <cell r="A196" t="str">
            <v>2.6.2- Wholesale - Export-PART</v>
          </cell>
        </row>
        <row r="197">
          <cell r="A197" t="str">
            <v>2.6.2- Wholesale - Export-SOLE</v>
          </cell>
        </row>
        <row r="198">
          <cell r="A198" t="str">
            <v>2.6.2- Wholesale - Export-HOUSE</v>
          </cell>
        </row>
        <row r="199">
          <cell r="A199" t="str">
            <v xml:space="preserve">2.6.3- Wholesale - Others </v>
          </cell>
        </row>
        <row r="200">
          <cell r="A200" t="str">
            <v>2.6.3- Wholesale - Others-CORP</v>
          </cell>
        </row>
        <row r="201">
          <cell r="A201" t="str">
            <v>2.6.3- Wholesale - Others-PART</v>
          </cell>
        </row>
        <row r="202">
          <cell r="A202" t="str">
            <v>2.6.3- Wholesale - Others-SOLE</v>
          </cell>
        </row>
        <row r="203">
          <cell r="A203" t="str">
            <v>2.6.3- Wholesale - Others-HOUSE</v>
          </cell>
        </row>
        <row r="204">
          <cell r="A204" t="str">
            <v>2.7- Retail Trade</v>
          </cell>
        </row>
        <row r="205">
          <cell r="A205" t="str">
            <v>2.7- Retail Trade-CORP</v>
          </cell>
        </row>
        <row r="206">
          <cell r="A206" t="str">
            <v>2.7- Retail Trade-PART</v>
          </cell>
        </row>
        <row r="207">
          <cell r="A207" t="str">
            <v>2.7- Retail Trade-SOLE</v>
          </cell>
        </row>
        <row r="208">
          <cell r="A208" t="str">
            <v>2.7- Retail Trade-HOUSE</v>
          </cell>
        </row>
        <row r="209">
          <cell r="A209" t="str">
            <v>2.8- Hotels and Restaurants</v>
          </cell>
        </row>
        <row r="210">
          <cell r="A210" t="str">
            <v>2.8- Hotels and Restaurants-CORP</v>
          </cell>
        </row>
        <row r="211">
          <cell r="A211" t="str">
            <v>2.8- Hotels and Restaurants-PART</v>
          </cell>
        </row>
        <row r="212">
          <cell r="A212" t="str">
            <v>2.8- Hotels and Restaurants-SOLE</v>
          </cell>
        </row>
        <row r="213">
          <cell r="A213" t="str">
            <v>2.8- Hotels and Restaurants-HOUSE</v>
          </cell>
        </row>
        <row r="214">
          <cell r="A214" t="str">
            <v>2.9- Transport and Storage</v>
          </cell>
        </row>
        <row r="215">
          <cell r="A215" t="str">
            <v>2.9- Transport and Storage-CORP</v>
          </cell>
        </row>
        <row r="216">
          <cell r="A216" t="str">
            <v>2.9- Transport and Storage-PART</v>
          </cell>
        </row>
        <row r="217">
          <cell r="A217" t="str">
            <v>2.9- Transport and Storage-SOLE</v>
          </cell>
        </row>
        <row r="218">
          <cell r="A218" t="str">
            <v>2.9- Transport and Storage-HOUSE</v>
          </cell>
        </row>
        <row r="219">
          <cell r="A219" t="str">
            <v>2.10- Information Media and Telecommunications</v>
          </cell>
        </row>
        <row r="220">
          <cell r="A220" t="str">
            <v>2.10- Information Media and Telecommunications-CORP</v>
          </cell>
        </row>
        <row r="221">
          <cell r="A221" t="str">
            <v>2.10- Information Media and Telecommunications-PART</v>
          </cell>
        </row>
        <row r="222">
          <cell r="A222" t="str">
            <v>2.10- Information Media and Telecommunications-SOLE</v>
          </cell>
        </row>
        <row r="223">
          <cell r="A223" t="str">
            <v>2.10- Information Media and Telecommunications-HOUSE</v>
          </cell>
        </row>
        <row r="224">
          <cell r="A224" t="str">
            <v>2.11- Rental and Operational Leasing Activities, excluded Real Estate Leasing and Rentals</v>
          </cell>
        </row>
        <row r="225">
          <cell r="A225" t="str">
            <v>2.11- Rental and Operational Leasing Activities, excluded Real Estate Leasing and Rentals-CORP</v>
          </cell>
        </row>
        <row r="226">
          <cell r="A226" t="str">
            <v>2.11- Rental and Operational Leasing Activities, excluded Real Estate Leasing and Rentals-PART</v>
          </cell>
        </row>
        <row r="227">
          <cell r="A227" t="str">
            <v>2.11- Rental and Operational Leasing Activities, excluded Real Estate Leasing and Rentals-SOLE</v>
          </cell>
        </row>
        <row r="228">
          <cell r="A228" t="str">
            <v>2.11- Rental and Operational Leasing Activities, excluded Real Estate Leasing and Rentals-HOUSE</v>
          </cell>
        </row>
        <row r="229">
          <cell r="A229" t="str">
            <v>2.12.1- Real Estate Operation: Industrial</v>
          </cell>
        </row>
        <row r="230">
          <cell r="A230" t="str">
            <v>2.12.1- Real Estate Operation: Industrial-CORP</v>
          </cell>
        </row>
        <row r="231">
          <cell r="A231" t="str">
            <v>2.12.1- Real Estate Operation: Industrial-PART</v>
          </cell>
        </row>
        <row r="232">
          <cell r="A232" t="str">
            <v>2.12.1- Real Estate Operation: Industrial-SOLE</v>
          </cell>
        </row>
        <row r="233">
          <cell r="A233" t="str">
            <v>2.12.1- Real Estate Operation: Industrial-HOUSE</v>
          </cell>
        </row>
        <row r="234">
          <cell r="A234" t="str">
            <v>2.12.2- Real Estate Operation: Commercial</v>
          </cell>
        </row>
        <row r="235">
          <cell r="A235" t="str">
            <v>2.12.2- Real Estate Operation: Commercial-CORP</v>
          </cell>
        </row>
        <row r="236">
          <cell r="A236" t="str">
            <v>2.12.2- Real Estate Operation: Commercial-PART</v>
          </cell>
        </row>
        <row r="237">
          <cell r="A237" t="str">
            <v>2.12.2- Real Estate Operation: Commercial-SOLE</v>
          </cell>
        </row>
        <row r="238">
          <cell r="A238" t="str">
            <v>2.12.2- Real Estate Operation: Commercial-HOUSE</v>
          </cell>
        </row>
        <row r="239">
          <cell r="A239" t="str">
            <v>2.12.3- Real Estate Operation: Tourism Related</v>
          </cell>
        </row>
        <row r="240">
          <cell r="A240" t="str">
            <v>2.12.3- Real Estate Operation: Tourism Related-CORP</v>
          </cell>
        </row>
        <row r="241">
          <cell r="A241" t="str">
            <v>2.12.3- Real Estate Operation: Tourism Related-PART</v>
          </cell>
        </row>
        <row r="242">
          <cell r="A242" t="str">
            <v>2.12.3- Real Estate Operation: Tourism Related-SOLE</v>
          </cell>
        </row>
        <row r="243">
          <cell r="A243" t="str">
            <v>2.12.3- Real Estate Operation: Tourism Related-HOUSE</v>
          </cell>
        </row>
        <row r="244">
          <cell r="A244" t="str">
            <v>2.12.4- Real Estate Operation: Residential</v>
          </cell>
        </row>
        <row r="245">
          <cell r="A245" t="str">
            <v>2.12.4- Real Estate Operation: Residential-CORP</v>
          </cell>
        </row>
        <row r="246">
          <cell r="A246" t="str">
            <v>2.12.4- Real Estate Operation: Residential-PART</v>
          </cell>
        </row>
        <row r="247">
          <cell r="A247" t="str">
            <v>2.12.4- Real Estate Operation: Residential-SOLE</v>
          </cell>
        </row>
        <row r="248">
          <cell r="A248" t="str">
            <v>2.12.4- Real Estate Operation: Residential-HOUSE</v>
          </cell>
        </row>
        <row r="249">
          <cell r="A249" t="str">
            <v>2.12.5- Real Estate Operation: Others</v>
          </cell>
        </row>
        <row r="250">
          <cell r="A250" t="str">
            <v>2.12.5- Real Estate Operation: Others-CORP</v>
          </cell>
        </row>
        <row r="251">
          <cell r="A251" t="str">
            <v>2.12.5- Real Estate Operation: Others-PART</v>
          </cell>
        </row>
        <row r="252">
          <cell r="A252" t="str">
            <v>2.12.5- Real Estate Operation: Others-SOLE</v>
          </cell>
        </row>
        <row r="253">
          <cell r="A253" t="str">
            <v>2.12.5- Real Estate Operation: Others-HOUSE</v>
          </cell>
        </row>
        <row r="254">
          <cell r="A254" t="str">
            <v>2.12.6- Real Estate Service Providers for a fee (i.e. Real Estate Agents and Similar Activities)</v>
          </cell>
        </row>
        <row r="255">
          <cell r="A255" t="str">
            <v>2.12.6- Real Estate Service Providers for a fee (i.e. Real Estate Agents and Similar Activities)-CORP</v>
          </cell>
        </row>
        <row r="256">
          <cell r="A256" t="str">
            <v>2.12.6- Real Estate Service Providers for a fee (i.e. Real Estate Agents and Similar Activities)-PART</v>
          </cell>
        </row>
        <row r="257">
          <cell r="A257" t="str">
            <v>2.12.6- Real Estate Service Providers for a fee (i.e. Real Estate Agents and Similar Activities)-SOLE</v>
          </cell>
        </row>
        <row r="258">
          <cell r="A258" t="str">
            <v>2.12.6- Real Estate Service Providers for a fee (i.e. Real Estate Agents and Similar Activities)-HOUSE</v>
          </cell>
        </row>
        <row r="259">
          <cell r="A259" t="str">
            <v>2.13- Other Non-Financial Services</v>
          </cell>
        </row>
        <row r="260">
          <cell r="A260" t="str">
            <v>2.13- Other Non-Financial Services-CORP</v>
          </cell>
        </row>
        <row r="261">
          <cell r="A261" t="str">
            <v>2.13- Other Non-Financial Services-PART</v>
          </cell>
        </row>
        <row r="262">
          <cell r="A262" t="str">
            <v>2.13- Other Non-Financial Services-SOLE</v>
          </cell>
        </row>
        <row r="263">
          <cell r="A263" t="str">
            <v>2.13- Other Non-Financial Services-HOUSE</v>
          </cell>
        </row>
        <row r="264">
          <cell r="A264" t="str">
            <v>3.1.1- Secured, excluded Mortgages to purchase owner-occupied housing</v>
          </cell>
        </row>
        <row r="265">
          <cell r="A265" t="str">
            <v>3.1.1- Secured, excluded Mortgages to purchase owner-occupied housing-CORP</v>
          </cell>
        </row>
        <row r="266">
          <cell r="A266" t="str">
            <v>3.1.1- Secured, excluded Mortgages to purchase owner-occupied housing-PART</v>
          </cell>
        </row>
        <row r="267">
          <cell r="A267" t="str">
            <v>3.1.1- Secured, excluded Mortgages to purchase owner-occupied housing-SOLE</v>
          </cell>
        </row>
        <row r="268">
          <cell r="A268" t="str">
            <v>3.1.1- Secured, excluded Mortgages to purchase owner-occupied housing-HOUSE</v>
          </cell>
        </row>
        <row r="269">
          <cell r="A269" t="str">
            <v>3.1.2- Unsecured</v>
          </cell>
        </row>
        <row r="270">
          <cell r="A270" t="str">
            <v>3.1.2- Unsecured-CORP</v>
          </cell>
        </row>
        <row r="271">
          <cell r="A271" t="str">
            <v>3.1.2- Unsecured-PART</v>
          </cell>
        </row>
        <row r="272">
          <cell r="A272" t="str">
            <v>3.1.2- Unsecured-SOLE</v>
          </cell>
        </row>
        <row r="273">
          <cell r="A273" t="str">
            <v>3.1.2- Unsecured-HOUSE</v>
          </cell>
        </row>
        <row r="274">
          <cell r="A274" t="str">
            <v>3.2- Credit Cards</v>
          </cell>
        </row>
        <row r="275">
          <cell r="A275" t="str">
            <v>3.2- Credit Cards-CORP</v>
          </cell>
        </row>
        <row r="276">
          <cell r="A276" t="str">
            <v>3.2- Credit Cards-PART</v>
          </cell>
        </row>
        <row r="277">
          <cell r="A277" t="str">
            <v>3.2- Credit Cards-SOLE</v>
          </cell>
        </row>
        <row r="278">
          <cell r="A278" t="str">
            <v>3.2- Credit Cards-HOUSE</v>
          </cell>
        </row>
        <row r="279">
          <cell r="A279" t="str">
            <v>3.3- Mortgages, Owner-Occupied Housing only</v>
          </cell>
        </row>
        <row r="280">
          <cell r="A280" t="str">
            <v>3.3- Mortgages, Owner-Occupied Housing only-CORP</v>
          </cell>
        </row>
        <row r="281">
          <cell r="A281" t="str">
            <v>3.3- Mortgages, Owner-Occupied Housing only-PART</v>
          </cell>
        </row>
        <row r="282">
          <cell r="A282" t="str">
            <v>3.3- Mortgages, Owner-Occupied Housing only-SOLE</v>
          </cell>
        </row>
        <row r="283">
          <cell r="A283" t="str">
            <v>3.3- Mortgages, Owner-Occupied Housing only-HOUSE</v>
          </cell>
        </row>
        <row r="284">
          <cell r="A284" t="str">
            <v>4- Other Lending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11"/>
      <sheetName val="B"/>
      <sheetName val="C"/>
      <sheetName val="D"/>
      <sheetName val="E (i)"/>
      <sheetName val="E (ii)"/>
      <sheetName val="F"/>
      <sheetName val="G"/>
      <sheetName val="H"/>
      <sheetName val="I"/>
      <sheetName val="J"/>
      <sheetName val="K"/>
      <sheetName val="L"/>
      <sheetName val="M"/>
      <sheetName val="N"/>
      <sheetName val="O"/>
      <sheetName val="Loan Pending"/>
      <sheetName val="OD-LCTR"/>
      <sheetName val="Local Lending"/>
      <sheetName val="NBC Top 50"/>
      <sheetName val="Loan Classification"/>
      <sheetName val="Module1"/>
      <sheetName val="NBC1"/>
      <sheetName val="LARGE LOAN"/>
      <sheetName val="Approved Limits"/>
      <sheetName val="Outstanding"/>
      <sheetName val="NPL "/>
      <sheetName val="by Eco Sec"/>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row r="5">
          <cell r="B5" t="str">
            <v>National bank of Cambodia</v>
          </cell>
        </row>
        <row r="6">
          <cell r="B6" t="str">
            <v>Depository Institutions</v>
          </cell>
        </row>
        <row r="7">
          <cell r="B7" t="str">
            <v>Other financial Institution</v>
          </cell>
        </row>
        <row r="8">
          <cell r="B8" t="str">
            <v>Agriculture, Forestry &amp; Fishing</v>
          </cell>
        </row>
        <row r="9">
          <cell r="B9" t="str">
            <v>Mining &amp; Quarrying</v>
          </cell>
        </row>
        <row r="10">
          <cell r="B10" t="str">
            <v>Manufacturing</v>
          </cell>
        </row>
        <row r="11">
          <cell r="B11" t="str">
            <v>Utilities</v>
          </cell>
        </row>
        <row r="12">
          <cell r="B12" t="str">
            <v>Contraction</v>
          </cell>
        </row>
        <row r="13">
          <cell r="B13" t="str">
            <v>Wholesale Trade</v>
          </cell>
        </row>
        <row r="14">
          <cell r="B14" t="str">
            <v>Retail Trade</v>
          </cell>
        </row>
        <row r="15">
          <cell r="B15" t="str">
            <v>Hotels &amp; Restaurants</v>
          </cell>
        </row>
        <row r="16">
          <cell r="B16" t="str">
            <v>Transport &amp; Storage</v>
          </cell>
        </row>
        <row r="17">
          <cell r="B17" t="str">
            <v>Information media &amp; Telecommunications</v>
          </cell>
        </row>
        <row r="18">
          <cell r="B18" t="str">
            <v>Retail &amp; Operational Leasing Activities, exclude real Estate leasing &amp; rental</v>
          </cell>
        </row>
        <row r="19">
          <cell r="B19" t="str">
            <v>Real Estate Activities</v>
          </cell>
        </row>
        <row r="20">
          <cell r="B20" t="str">
            <v>Other Non-Financial Services</v>
          </cell>
        </row>
        <row r="21">
          <cell r="B21" t="str">
            <v>Personal Lending</v>
          </cell>
        </row>
        <row r="22">
          <cell r="B22" t="str">
            <v>Credits Cart</v>
          </cell>
        </row>
        <row r="23">
          <cell r="B23" t="str">
            <v>Mortgages, Owner-Occupied Housing only</v>
          </cell>
        </row>
        <row r="24">
          <cell r="B24" t="str">
            <v>Service</v>
          </cell>
        </row>
      </sheetData>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1"/>
      <sheetName val="B"/>
      <sheetName val="C"/>
      <sheetName val="D"/>
      <sheetName val="E (i)"/>
      <sheetName val="E (ii)"/>
      <sheetName val="F"/>
      <sheetName val="G"/>
      <sheetName val="H"/>
      <sheetName val="I"/>
      <sheetName val="J"/>
      <sheetName val="K"/>
      <sheetName val="L"/>
      <sheetName val="M"/>
      <sheetName val="N"/>
      <sheetName val="O"/>
      <sheetName val="New Credit by Economic Sectors"/>
      <sheetName val="NBC1"/>
      <sheetName val="Loan Pending"/>
      <sheetName val="LARGE LOAN"/>
      <sheetName val="OD-LCTR"/>
      <sheetName val="Local Lending"/>
      <sheetName val="NBC Top 50"/>
      <sheetName val="Loan Classification"/>
      <sheetName val="Module1"/>
      <sheetName val="Approved Limits"/>
      <sheetName val="Outstanding"/>
      <sheetName val="NPL "/>
      <sheetName val="by Eco Sec"/>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5">
          <cell r="B5" t="str">
            <v>1-</v>
          </cell>
        </row>
        <row r="6">
          <cell r="B6" t="str">
            <v>1.1-</v>
          </cell>
        </row>
        <row r="7">
          <cell r="B7" t="str">
            <v>1.2-</v>
          </cell>
        </row>
        <row r="8">
          <cell r="B8" t="str">
            <v>1.2.1-</v>
          </cell>
        </row>
        <row r="9">
          <cell r="B9" t="str">
            <v>1.2.2-</v>
          </cell>
        </row>
        <row r="10">
          <cell r="B10" t="str">
            <v>1.2.3-</v>
          </cell>
        </row>
        <row r="11">
          <cell r="B11" t="str">
            <v>1.3-</v>
          </cell>
        </row>
        <row r="12">
          <cell r="B12" t="str">
            <v>1.3.1-</v>
          </cell>
        </row>
        <row r="13">
          <cell r="B13" t="str">
            <v>1.3.2-</v>
          </cell>
        </row>
        <row r="14">
          <cell r="B14" t="str">
            <v>1.3.3-</v>
          </cell>
        </row>
        <row r="15">
          <cell r="B15" t="str">
            <v>1.3.4-</v>
          </cell>
        </row>
        <row r="16">
          <cell r="B16" t="str">
            <v>1.3.5-</v>
          </cell>
        </row>
        <row r="17">
          <cell r="B17" t="str">
            <v>1.3.6-</v>
          </cell>
        </row>
        <row r="18">
          <cell r="B18" t="str">
            <v>1.3.7-</v>
          </cell>
        </row>
        <row r="19">
          <cell r="B19" t="str">
            <v>2-</v>
          </cell>
        </row>
        <row r="20">
          <cell r="B20" t="str">
            <v>2.1-</v>
          </cell>
        </row>
        <row r="21">
          <cell r="B21" t="str">
            <v>2.1.1-</v>
          </cell>
        </row>
        <row r="22">
          <cell r="B22" t="str">
            <v>2.1.2-</v>
          </cell>
        </row>
        <row r="23">
          <cell r="B23" t="str">
            <v>2.1.3-</v>
          </cell>
        </row>
        <row r="24">
          <cell r="B24" t="str">
            <v>2.2-</v>
          </cell>
        </row>
        <row r="25">
          <cell r="B25" t="str">
            <v>2.3-</v>
          </cell>
        </row>
        <row r="26">
          <cell r="B26" t="str">
            <v>2.3.1-</v>
          </cell>
        </row>
        <row r="27">
          <cell r="B27" t="str">
            <v>2.3.2-</v>
          </cell>
        </row>
        <row r="28">
          <cell r="B28" t="str">
            <v>2.3.3-</v>
          </cell>
        </row>
        <row r="29">
          <cell r="B29" t="str">
            <v>2.3.4-</v>
          </cell>
        </row>
        <row r="30">
          <cell r="B30" t="str">
            <v>2.3.5-</v>
          </cell>
        </row>
        <row r="31">
          <cell r="B31" t="str">
            <v>2.3.6-</v>
          </cell>
        </row>
        <row r="32">
          <cell r="B32" t="str">
            <v>2.3.7-</v>
          </cell>
        </row>
        <row r="33">
          <cell r="B33" t="str">
            <v>2.3.8-</v>
          </cell>
        </row>
        <row r="34">
          <cell r="B34" t="str">
            <v>2.3.9-</v>
          </cell>
        </row>
        <row r="35">
          <cell r="B35" t="str">
            <v>2.3.10-</v>
          </cell>
        </row>
        <row r="36">
          <cell r="B36" t="str">
            <v>2.3.11-</v>
          </cell>
        </row>
        <row r="37">
          <cell r="B37" t="str">
            <v>2.4-</v>
          </cell>
        </row>
        <row r="38">
          <cell r="B38" t="str">
            <v>2.4.1-</v>
          </cell>
        </row>
        <row r="39">
          <cell r="B39" t="str">
            <v>2.4.2-</v>
          </cell>
        </row>
        <row r="40">
          <cell r="B40" t="str">
            <v>2.4.3-</v>
          </cell>
        </row>
        <row r="41">
          <cell r="B41" t="str">
            <v>2.4.4-</v>
          </cell>
        </row>
        <row r="42">
          <cell r="B42" t="str">
            <v>2.5-</v>
          </cell>
        </row>
        <row r="43">
          <cell r="B43" t="str">
            <v>2.5.1-</v>
          </cell>
        </row>
        <row r="44">
          <cell r="B44" t="str">
            <v>2.5.2-</v>
          </cell>
        </row>
        <row r="45">
          <cell r="B45" t="str">
            <v>2.5.3-</v>
          </cell>
        </row>
        <row r="46">
          <cell r="B46" t="str">
            <v>2.5.4-</v>
          </cell>
        </row>
        <row r="47">
          <cell r="B47" t="str">
            <v>2.5.5-</v>
          </cell>
        </row>
        <row r="48">
          <cell r="B48" t="str">
            <v>2.5.6-</v>
          </cell>
        </row>
        <row r="49">
          <cell r="B49" t="str">
            <v>2.5.7-</v>
          </cell>
        </row>
        <row r="50">
          <cell r="B50" t="str">
            <v>2.5.8-</v>
          </cell>
        </row>
        <row r="51">
          <cell r="B51" t="str">
            <v>2.6-</v>
          </cell>
        </row>
        <row r="52">
          <cell r="B52" t="str">
            <v>2.6.1-</v>
          </cell>
        </row>
        <row r="53">
          <cell r="B53" t="str">
            <v>2.6.2-</v>
          </cell>
        </row>
        <row r="54">
          <cell r="B54" t="str">
            <v>2.6.3-</v>
          </cell>
        </row>
        <row r="55">
          <cell r="B55" t="str">
            <v>2.7-</v>
          </cell>
        </row>
        <row r="56">
          <cell r="B56" t="str">
            <v>2.8-</v>
          </cell>
        </row>
        <row r="57">
          <cell r="B57" t="str">
            <v>2.9-</v>
          </cell>
        </row>
        <row r="58">
          <cell r="B58" t="str">
            <v>2.10-</v>
          </cell>
        </row>
        <row r="59">
          <cell r="B59" t="str">
            <v>2.11-</v>
          </cell>
        </row>
        <row r="60">
          <cell r="B60" t="str">
            <v>2.12-</v>
          </cell>
        </row>
        <row r="61">
          <cell r="B61" t="str">
            <v>2.12.1-</v>
          </cell>
        </row>
        <row r="62">
          <cell r="B62" t="str">
            <v>2.12.2-</v>
          </cell>
        </row>
        <row r="63">
          <cell r="B63" t="str">
            <v>2.12.3-</v>
          </cell>
        </row>
        <row r="64">
          <cell r="B64" t="str">
            <v>2.12.4-</v>
          </cell>
        </row>
        <row r="65">
          <cell r="B65" t="str">
            <v>2.12.5-</v>
          </cell>
        </row>
        <row r="66">
          <cell r="B66" t="str">
            <v>2.12.6-</v>
          </cell>
        </row>
        <row r="67">
          <cell r="B67" t="str">
            <v>2.13-</v>
          </cell>
        </row>
        <row r="68">
          <cell r="B68" t="str">
            <v>3-</v>
          </cell>
        </row>
        <row r="69">
          <cell r="B69" t="str">
            <v>3.1-</v>
          </cell>
        </row>
        <row r="70">
          <cell r="B70" t="str">
            <v>3.1.1-</v>
          </cell>
        </row>
        <row r="71">
          <cell r="B71" t="str">
            <v>3.1.2-</v>
          </cell>
        </row>
        <row r="72">
          <cell r="B72" t="str">
            <v>3.2-</v>
          </cell>
        </row>
        <row r="73">
          <cell r="B73" t="str">
            <v>3.3-</v>
          </cell>
        </row>
        <row r="74">
          <cell r="B74" t="str">
            <v>4-</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0010009_20170831_CRB_Output_"/>
    </sheetNames>
    <sheetDataSet>
      <sheetData sheetId="0">
        <row r="155">
          <cell r="C155" t="str">
            <v>PEN PHALLA NGUN SOPHY</v>
          </cell>
          <cell r="D155">
            <v>-187831.82</v>
          </cell>
          <cell r="E155">
            <v>-187831.82</v>
          </cell>
        </row>
        <row r="156">
          <cell r="C156" t="str">
            <v>CHOEUNG SANGEANG LY SOULAY</v>
          </cell>
          <cell r="D156">
            <v>-48399.07</v>
          </cell>
          <cell r="E156">
            <v>-48399.07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0010009_20180228_CRB_Output_"/>
    </sheetNames>
    <sheetDataSet>
      <sheetData sheetId="0">
        <row r="1">
          <cell r="B1" t="str">
            <v>EK SOK</v>
          </cell>
          <cell r="C1">
            <v>-51945.279999999999</v>
          </cell>
          <cell r="D1">
            <v>-51945.279999999999</v>
          </cell>
        </row>
        <row r="2">
          <cell r="B2" t="str">
            <v>EK SOK</v>
          </cell>
          <cell r="C2">
            <v>-614.29999999999995</v>
          </cell>
          <cell r="D2">
            <v>-614.29999999999995</v>
          </cell>
        </row>
        <row r="3">
          <cell r="B3" t="str">
            <v>EK SOK</v>
          </cell>
          <cell r="C3">
            <v>-10595.37</v>
          </cell>
          <cell r="D3">
            <v>-10595.37</v>
          </cell>
        </row>
        <row r="4">
          <cell r="B4" t="str">
            <v>HAK SAKKUNA</v>
          </cell>
          <cell r="C4">
            <v>-382.28</v>
          </cell>
          <cell r="D4">
            <v>-382.28</v>
          </cell>
        </row>
        <row r="5">
          <cell r="B5" t="str">
            <v>KAO CHILEANG</v>
          </cell>
          <cell r="C5">
            <v>-61015.88</v>
          </cell>
          <cell r="D5">
            <v>-61015.88</v>
          </cell>
        </row>
        <row r="6">
          <cell r="B6" t="str">
            <v xml:space="preserve">HAK SAKKUNA </v>
          </cell>
          <cell r="C6">
            <v>-25404.27</v>
          </cell>
          <cell r="D6">
            <v>-25404.27</v>
          </cell>
        </row>
        <row r="7">
          <cell r="B7" t="str">
            <v xml:space="preserve">EK SOK </v>
          </cell>
          <cell r="C7">
            <v>-38851.129999999997</v>
          </cell>
          <cell r="D7">
            <v>-38851.129999999997</v>
          </cell>
        </row>
        <row r="8">
          <cell r="B8" t="str">
            <v>LENG CHANMONY</v>
          </cell>
          <cell r="C8">
            <v>-3986.06</v>
          </cell>
          <cell r="D8">
            <v>-3986.06</v>
          </cell>
        </row>
        <row r="9">
          <cell r="B9" t="str">
            <v>CHIN CHRUY</v>
          </cell>
          <cell r="C9">
            <v>-50416</v>
          </cell>
          <cell r="D9">
            <v>-50416</v>
          </cell>
        </row>
        <row r="10">
          <cell r="B10" t="str">
            <v>PHOUN CHANRA</v>
          </cell>
          <cell r="C10">
            <v>-27216.44</v>
          </cell>
          <cell r="D10">
            <v>-27216.44</v>
          </cell>
        </row>
        <row r="11">
          <cell r="B11" t="str">
            <v>NUON VANNAK</v>
          </cell>
          <cell r="C11">
            <v>-45416.74</v>
          </cell>
          <cell r="D11">
            <v>-45416.74</v>
          </cell>
        </row>
        <row r="12">
          <cell r="B12" t="str">
            <v>SOK SOCHETANA</v>
          </cell>
          <cell r="C12">
            <v>-36333.370000000003</v>
          </cell>
          <cell r="D12">
            <v>-36333.370000000003</v>
          </cell>
        </row>
        <row r="13">
          <cell r="B13" t="str">
            <v>DUCH VANTHAN</v>
          </cell>
          <cell r="C13">
            <v>-111498.36</v>
          </cell>
          <cell r="D13">
            <v>-111498.36</v>
          </cell>
        </row>
        <row r="14">
          <cell r="B14" t="str">
            <v>KEATH VIREAK</v>
          </cell>
          <cell r="C14">
            <v>-47427.87</v>
          </cell>
          <cell r="D14">
            <v>-47427.87</v>
          </cell>
        </row>
        <row r="15">
          <cell r="B15" t="str">
            <v>HOUT SILOT</v>
          </cell>
          <cell r="C15">
            <v>-65919</v>
          </cell>
          <cell r="D15">
            <v>-65919</v>
          </cell>
        </row>
        <row r="16">
          <cell r="B16" t="str">
            <v>SEANG THEANHONG</v>
          </cell>
          <cell r="C16">
            <v>-61181.919999999998</v>
          </cell>
          <cell r="D16">
            <v>-61181.919999999998</v>
          </cell>
        </row>
        <row r="17">
          <cell r="B17" t="str">
            <v>CHAN LOEKSEY</v>
          </cell>
          <cell r="C17">
            <v>-20745.439999999999</v>
          </cell>
          <cell r="D17">
            <v>-20745.439999999999</v>
          </cell>
        </row>
        <row r="18">
          <cell r="B18" t="str">
            <v>MAO POUSUPHY</v>
          </cell>
          <cell r="C18">
            <v>-26658.18</v>
          </cell>
          <cell r="D18">
            <v>-26658.18</v>
          </cell>
        </row>
        <row r="19">
          <cell r="B19" t="str">
            <v>EANG NAVY</v>
          </cell>
          <cell r="C19">
            <v>-33421.97</v>
          </cell>
          <cell r="D19">
            <v>-33421.97</v>
          </cell>
        </row>
        <row r="20">
          <cell r="B20" t="str">
            <v>KROEM VUTHY</v>
          </cell>
          <cell r="C20">
            <v>-81912.09</v>
          </cell>
          <cell r="D20">
            <v>-81912.09</v>
          </cell>
        </row>
        <row r="21">
          <cell r="B21" t="str">
            <v>LENG TITHVIBOLSAMBATH</v>
          </cell>
          <cell r="C21">
            <v>-27035.77</v>
          </cell>
          <cell r="D21">
            <v>-27035.77</v>
          </cell>
        </row>
        <row r="22">
          <cell r="B22" t="str">
            <v>SUON CHANDA</v>
          </cell>
          <cell r="C22">
            <v>-111924.17</v>
          </cell>
          <cell r="D22">
            <v>-111924.17</v>
          </cell>
        </row>
        <row r="23">
          <cell r="B23" t="str">
            <v>KAO CHANMEY</v>
          </cell>
          <cell r="C23">
            <v>-69066.649999999994</v>
          </cell>
          <cell r="D23">
            <v>-69066.649999999994</v>
          </cell>
        </row>
        <row r="24">
          <cell r="B24" t="str">
            <v>MENG KIMSRENG</v>
          </cell>
          <cell r="C24">
            <v>-39681.32</v>
          </cell>
          <cell r="D24">
            <v>-39681.32</v>
          </cell>
        </row>
        <row r="25">
          <cell r="B25" t="str">
            <v>SOK SOTHY</v>
          </cell>
          <cell r="C25">
            <v>-41250.85</v>
          </cell>
          <cell r="D25">
            <v>-41250.85</v>
          </cell>
        </row>
        <row r="26">
          <cell r="B26" t="str">
            <v>YEN SOPHORN</v>
          </cell>
          <cell r="C26">
            <v>-35664.129999999997</v>
          </cell>
          <cell r="D26">
            <v>-35664.129999999997</v>
          </cell>
        </row>
        <row r="27">
          <cell r="B27" t="str">
            <v>KEA LEANGSRUNN</v>
          </cell>
          <cell r="C27">
            <v>-38159.870000000003</v>
          </cell>
          <cell r="D27">
            <v>-38159.870000000003</v>
          </cell>
        </row>
        <row r="28">
          <cell r="B28" t="str">
            <v>KRONG THIDA</v>
          </cell>
          <cell r="C28">
            <v>-34716.699999999997</v>
          </cell>
          <cell r="D28">
            <v>-34716.699999999997</v>
          </cell>
        </row>
        <row r="29">
          <cell r="B29" t="str">
            <v>SAM SAVIN</v>
          </cell>
          <cell r="C29">
            <v>-29827.02</v>
          </cell>
          <cell r="D29">
            <v>-29827.02</v>
          </cell>
        </row>
        <row r="30">
          <cell r="B30" t="str">
            <v>SEANG KIMVISAL</v>
          </cell>
          <cell r="C30">
            <v>-32738.74</v>
          </cell>
          <cell r="D30">
            <v>-32738.74</v>
          </cell>
        </row>
        <row r="31">
          <cell r="B31" t="str">
            <v>SUON RATANA</v>
          </cell>
          <cell r="C31">
            <v>-68333.38</v>
          </cell>
          <cell r="D31">
            <v>-68333.38</v>
          </cell>
        </row>
        <row r="32">
          <cell r="B32" t="str">
            <v>NOP CHANRY</v>
          </cell>
          <cell r="C32">
            <v>-12059.39</v>
          </cell>
          <cell r="D32">
            <v>-12059.39</v>
          </cell>
        </row>
        <row r="33">
          <cell r="B33" t="str">
            <v>CHHIN SOBINTHORN</v>
          </cell>
          <cell r="C33">
            <v>-20242.599999999999</v>
          </cell>
          <cell r="D33">
            <v>-20242.599999999999</v>
          </cell>
        </row>
        <row r="34">
          <cell r="B34" t="str">
            <v>CHHAI SOKSOVAN</v>
          </cell>
          <cell r="C34">
            <v>-29129.16</v>
          </cell>
          <cell r="D34">
            <v>-29129.16</v>
          </cell>
        </row>
        <row r="35">
          <cell r="B35" t="str">
            <v>KUM KOREN</v>
          </cell>
          <cell r="C35">
            <v>-77174.429999999993</v>
          </cell>
          <cell r="D35">
            <v>-77174.429999999993</v>
          </cell>
        </row>
        <row r="36">
          <cell r="B36" t="str">
            <v>PHORK NARIN</v>
          </cell>
          <cell r="C36">
            <v>-29025.71</v>
          </cell>
          <cell r="D36">
            <v>-29025.71</v>
          </cell>
        </row>
        <row r="37">
          <cell r="B37" t="str">
            <v>PHOU SEIT</v>
          </cell>
          <cell r="C37">
            <v>-16482.12</v>
          </cell>
          <cell r="D37">
            <v>-16482.12</v>
          </cell>
        </row>
        <row r="38">
          <cell r="B38" t="str">
            <v>KAO UN</v>
          </cell>
          <cell r="C38">
            <v>-58126.91</v>
          </cell>
          <cell r="D38">
            <v>-58126.91</v>
          </cell>
        </row>
        <row r="39">
          <cell r="B39" t="str">
            <v>DUOCH DARA</v>
          </cell>
          <cell r="C39">
            <v>-88766.69</v>
          </cell>
          <cell r="D39">
            <v>-88766.69</v>
          </cell>
        </row>
        <row r="40">
          <cell r="B40" t="str">
            <v>LONG KEARA</v>
          </cell>
          <cell r="C40">
            <v>-36335.93</v>
          </cell>
          <cell r="D40">
            <v>-36335.93</v>
          </cell>
        </row>
        <row r="41">
          <cell r="B41" t="str">
            <v>BAN LYHENG</v>
          </cell>
          <cell r="C41">
            <v>-44326.11</v>
          </cell>
          <cell r="D41">
            <v>-44326.11</v>
          </cell>
        </row>
        <row r="42">
          <cell r="B42" t="str">
            <v>SIENG SITHA</v>
          </cell>
          <cell r="C42">
            <v>-295301.71999999997</v>
          </cell>
          <cell r="D42">
            <v>-295301.71999999997</v>
          </cell>
        </row>
        <row r="43">
          <cell r="B43" t="str">
            <v>HO YEM</v>
          </cell>
          <cell r="C43">
            <v>-88936.43</v>
          </cell>
          <cell r="D43">
            <v>-88936.43</v>
          </cell>
        </row>
        <row r="44">
          <cell r="B44" t="str">
            <v>LAY SOKHA</v>
          </cell>
          <cell r="C44">
            <v>-293490.28000000003</v>
          </cell>
          <cell r="D44">
            <v>-293490.28000000003</v>
          </cell>
        </row>
        <row r="45">
          <cell r="B45" t="str">
            <v>SAO SEYHA</v>
          </cell>
          <cell r="C45">
            <v>-37893.360000000001</v>
          </cell>
          <cell r="D45">
            <v>-37893.360000000001</v>
          </cell>
        </row>
        <row r="46">
          <cell r="B46" t="str">
            <v>OUCH BORN</v>
          </cell>
          <cell r="C46">
            <v>-148227.42000000001</v>
          </cell>
          <cell r="D46">
            <v>-148227.42000000001</v>
          </cell>
        </row>
        <row r="47">
          <cell r="B47" t="str">
            <v>OL CHAMROEUN</v>
          </cell>
          <cell r="C47">
            <v>-43092.75</v>
          </cell>
          <cell r="D47">
            <v>-43092.75</v>
          </cell>
        </row>
        <row r="48">
          <cell r="B48" t="str">
            <v>PREAP SAROEUN</v>
          </cell>
          <cell r="C48">
            <v>-24320.51</v>
          </cell>
          <cell r="D48">
            <v>-24320.51</v>
          </cell>
        </row>
        <row r="49">
          <cell r="B49" t="str">
            <v>CHEM SAMEYDY</v>
          </cell>
          <cell r="C49">
            <v>-38765.269999999997</v>
          </cell>
          <cell r="D49">
            <v>-38765.269999999997</v>
          </cell>
        </row>
        <row r="50">
          <cell r="B50" t="str">
            <v>KRIN SOKHUOR</v>
          </cell>
          <cell r="C50">
            <v>-49711.73</v>
          </cell>
          <cell r="D50">
            <v>-49711.73</v>
          </cell>
        </row>
        <row r="51">
          <cell r="B51" t="str">
            <v>SRUN SUNHENG</v>
          </cell>
          <cell r="C51">
            <v>-35188.32</v>
          </cell>
          <cell r="D51">
            <v>-35188.32</v>
          </cell>
        </row>
        <row r="52">
          <cell r="B52" t="str">
            <v>PEN SAMORN</v>
          </cell>
          <cell r="C52">
            <v>-30731.07</v>
          </cell>
          <cell r="D52">
            <v>-30731.07</v>
          </cell>
        </row>
        <row r="53">
          <cell r="B53" t="str">
            <v>TE SOTHEAR</v>
          </cell>
          <cell r="C53">
            <v>-82345.539999999994</v>
          </cell>
          <cell r="D53">
            <v>-82345.539999999994</v>
          </cell>
        </row>
        <row r="54">
          <cell r="B54" t="str">
            <v>SIEK SENGLY</v>
          </cell>
          <cell r="C54">
            <v>-49722.23</v>
          </cell>
          <cell r="D54">
            <v>-49722.23</v>
          </cell>
        </row>
        <row r="55">
          <cell r="B55" t="str">
            <v>YONG SOKUN</v>
          </cell>
          <cell r="C55">
            <v>-36800.980000000003</v>
          </cell>
          <cell r="D55">
            <v>-36800.980000000003</v>
          </cell>
        </row>
        <row r="56">
          <cell r="B56" t="str">
            <v>OR CHANMOLY</v>
          </cell>
          <cell r="C56">
            <v>-39868.449999999997</v>
          </cell>
          <cell r="D56">
            <v>-39868.449999999997</v>
          </cell>
        </row>
        <row r="57">
          <cell r="B57" t="str">
            <v>HEM PHEARA</v>
          </cell>
          <cell r="C57">
            <v>-70000</v>
          </cell>
          <cell r="D57">
            <v>-70000</v>
          </cell>
        </row>
        <row r="58">
          <cell r="B58" t="str">
            <v>HAM KONGHENG</v>
          </cell>
          <cell r="C58">
            <v>-20000</v>
          </cell>
          <cell r="D58">
            <v>-20000</v>
          </cell>
        </row>
        <row r="59">
          <cell r="B59" t="str">
            <v>TUM SANSARAK</v>
          </cell>
          <cell r="C59">
            <v>-82680</v>
          </cell>
          <cell r="D59">
            <v>-82680</v>
          </cell>
        </row>
        <row r="60">
          <cell r="B60" t="str">
            <v>DEK DARA</v>
          </cell>
          <cell r="C60">
            <v>-82000</v>
          </cell>
          <cell r="D60">
            <v>-82000</v>
          </cell>
        </row>
        <row r="61">
          <cell r="B61" t="str">
            <v>SRENG CHANPHOSNA</v>
          </cell>
          <cell r="C61">
            <v>-45000</v>
          </cell>
          <cell r="D61">
            <v>-45000</v>
          </cell>
        </row>
        <row r="62">
          <cell r="B62" t="str">
            <v>OENG YUNLY</v>
          </cell>
          <cell r="C62">
            <v>-52018.57</v>
          </cell>
          <cell r="D62">
            <v>-52018.57</v>
          </cell>
        </row>
        <row r="63">
          <cell r="B63" t="str">
            <v>KEO SAMNANG</v>
          </cell>
          <cell r="C63">
            <v>-59000</v>
          </cell>
          <cell r="D63">
            <v>-59000</v>
          </cell>
        </row>
        <row r="64">
          <cell r="B64" t="str">
            <v>KOUCH SOKIM</v>
          </cell>
          <cell r="C64">
            <v>-36000</v>
          </cell>
          <cell r="D64">
            <v>-36000</v>
          </cell>
        </row>
        <row r="65">
          <cell r="B65" t="str">
            <v xml:space="preserve">LIM LENICH </v>
          </cell>
          <cell r="C65">
            <v>-178986.3</v>
          </cell>
          <cell r="D65">
            <v>-178986.3</v>
          </cell>
        </row>
        <row r="66">
          <cell r="B66" t="str">
            <v xml:space="preserve">TITH PANHA </v>
          </cell>
          <cell r="C66">
            <v>-15474.17</v>
          </cell>
          <cell r="D66">
            <v>-15474.17</v>
          </cell>
        </row>
        <row r="67">
          <cell r="B67" t="str">
            <v>CHHAY SOK CHEA</v>
          </cell>
          <cell r="C67">
            <v>-17553.759999999998</v>
          </cell>
          <cell r="D67">
            <v>-17553.759999999998</v>
          </cell>
        </row>
        <row r="68">
          <cell r="B68" t="str">
            <v>ANG RITHY</v>
          </cell>
          <cell r="C68">
            <v>-24376.54</v>
          </cell>
          <cell r="D68">
            <v>-24376.54</v>
          </cell>
        </row>
        <row r="69">
          <cell r="B69" t="str">
            <v>HENG SENGHORN</v>
          </cell>
          <cell r="C69">
            <v>-36992.89</v>
          </cell>
          <cell r="D69">
            <v>-36992.89</v>
          </cell>
        </row>
        <row r="70">
          <cell r="B70" t="str">
            <v>KIN SOKHOEUN</v>
          </cell>
          <cell r="C70">
            <v>-21551</v>
          </cell>
          <cell r="D70">
            <v>-21551</v>
          </cell>
        </row>
        <row r="71">
          <cell r="B71" t="str">
            <v>SY MENG</v>
          </cell>
          <cell r="C71">
            <v>-84773.75</v>
          </cell>
          <cell r="D71">
            <v>-84773.75</v>
          </cell>
        </row>
        <row r="72">
          <cell r="B72" t="str">
            <v>CHAN VANNY</v>
          </cell>
          <cell r="C72">
            <v>-6506.06</v>
          </cell>
          <cell r="D72">
            <v>-6506.06</v>
          </cell>
        </row>
        <row r="73">
          <cell r="B73" t="str">
            <v>BAN HY</v>
          </cell>
          <cell r="C73">
            <v>-33787.129999999997</v>
          </cell>
          <cell r="D73">
            <v>-33787.129999999997</v>
          </cell>
        </row>
        <row r="74">
          <cell r="B74" t="str">
            <v>YEUN VIRAK</v>
          </cell>
          <cell r="C74">
            <v>-20679.509999999998</v>
          </cell>
          <cell r="D74">
            <v>-20679.509999999998</v>
          </cell>
        </row>
        <row r="75">
          <cell r="B75" t="str">
            <v>HENG SOPHAT</v>
          </cell>
          <cell r="C75">
            <v>-27982.98</v>
          </cell>
          <cell r="D75">
            <v>-27982.98</v>
          </cell>
        </row>
        <row r="76">
          <cell r="B76" t="str">
            <v>BI SANGMENG</v>
          </cell>
          <cell r="C76">
            <v>-34460.22</v>
          </cell>
          <cell r="D76">
            <v>-34460.22</v>
          </cell>
        </row>
        <row r="77">
          <cell r="B77" t="str">
            <v>MOM HOEUNG SARY</v>
          </cell>
          <cell r="C77">
            <v>-26313.8</v>
          </cell>
          <cell r="D77">
            <v>-26313.8</v>
          </cell>
        </row>
        <row r="78">
          <cell r="B78" t="str">
            <v>TEM BORA</v>
          </cell>
          <cell r="C78">
            <v>-46139.8</v>
          </cell>
          <cell r="D78">
            <v>-46139.8</v>
          </cell>
        </row>
        <row r="79">
          <cell r="B79" t="str">
            <v>CHHOEUN VY</v>
          </cell>
          <cell r="C79">
            <v>-27500.07</v>
          </cell>
          <cell r="D79">
            <v>-27500.07</v>
          </cell>
        </row>
        <row r="80">
          <cell r="B80" t="str">
            <v>BOU SOMONY</v>
          </cell>
          <cell r="C80">
            <v>-39920</v>
          </cell>
          <cell r="D80">
            <v>-39920</v>
          </cell>
        </row>
        <row r="81">
          <cell r="B81" t="str">
            <v>NEOU CHANDARA</v>
          </cell>
          <cell r="C81">
            <v>-37781.83</v>
          </cell>
          <cell r="D81">
            <v>-37781.83</v>
          </cell>
        </row>
        <row r="82">
          <cell r="B82" t="str">
            <v>KONG VIREAK</v>
          </cell>
          <cell r="C82">
            <v>-49352.18</v>
          </cell>
          <cell r="D82">
            <v>-49352.18</v>
          </cell>
        </row>
        <row r="83">
          <cell r="B83" t="str">
            <v>CHHOEURN SOTON</v>
          </cell>
          <cell r="C83">
            <v>-13938.83</v>
          </cell>
          <cell r="D83">
            <v>-13938.83</v>
          </cell>
        </row>
        <row r="84">
          <cell r="B84" t="str">
            <v>TITH PANHA</v>
          </cell>
          <cell r="C84">
            <v>-21330.95</v>
          </cell>
          <cell r="D84">
            <v>-21330.95</v>
          </cell>
        </row>
        <row r="85">
          <cell r="B85" t="str">
            <v>KROEM VUTHY</v>
          </cell>
          <cell r="C85">
            <v>-67004.39</v>
          </cell>
          <cell r="D85">
            <v>-67004.39</v>
          </cell>
        </row>
        <row r="86">
          <cell r="B86" t="str">
            <v>SENG THEA</v>
          </cell>
          <cell r="C86">
            <v>-8617.7000000000007</v>
          </cell>
          <cell r="D86">
            <v>-8617.7000000000007</v>
          </cell>
        </row>
        <row r="87">
          <cell r="B87" t="str">
            <v>SAMBATH SATHYA</v>
          </cell>
          <cell r="C87">
            <v>-27658.33</v>
          </cell>
          <cell r="D87">
            <v>-27658.33</v>
          </cell>
        </row>
        <row r="88">
          <cell r="B88" t="str">
            <v>SUM SONG</v>
          </cell>
          <cell r="C88">
            <v>-45513.88</v>
          </cell>
          <cell r="D88">
            <v>-45513.88</v>
          </cell>
        </row>
        <row r="89">
          <cell r="B89" t="str">
            <v>SREY PHORS</v>
          </cell>
          <cell r="C89">
            <v>-46778.27</v>
          </cell>
          <cell r="D89">
            <v>-46778.27</v>
          </cell>
        </row>
        <row r="90">
          <cell r="B90" t="str">
            <v>LY VENGLONG</v>
          </cell>
          <cell r="C90">
            <v>-74887.600000000006</v>
          </cell>
          <cell r="D90">
            <v>-74887.600000000006</v>
          </cell>
        </row>
        <row r="91">
          <cell r="B91" t="str">
            <v>CHEA CHAMROEUN</v>
          </cell>
          <cell r="C91">
            <v>-33503.199999999997</v>
          </cell>
          <cell r="D91">
            <v>-33503.199999999997</v>
          </cell>
        </row>
        <row r="92">
          <cell r="B92" t="str">
            <v>LIM LENICH</v>
          </cell>
          <cell r="C92">
            <v>-185471.02</v>
          </cell>
          <cell r="D92">
            <v>-185471.02</v>
          </cell>
        </row>
        <row r="93">
          <cell r="B93" t="str">
            <v>MAY SOKLIM</v>
          </cell>
          <cell r="C93">
            <v>-25808</v>
          </cell>
          <cell r="D93">
            <v>-25808</v>
          </cell>
        </row>
        <row r="94">
          <cell r="B94" t="str">
            <v>SOK SAMAIT</v>
          </cell>
          <cell r="C94">
            <v>-20823.669999999998</v>
          </cell>
          <cell r="D94">
            <v>-20823.669999999998</v>
          </cell>
        </row>
        <row r="95">
          <cell r="B95" t="str">
            <v>MEAS SANETH</v>
          </cell>
          <cell r="C95">
            <v>-48067.32</v>
          </cell>
          <cell r="D95">
            <v>-48067.32</v>
          </cell>
        </row>
        <row r="96">
          <cell r="B96" t="str">
            <v>RUN CHANDARO</v>
          </cell>
          <cell r="C96">
            <v>-28130.19</v>
          </cell>
          <cell r="D96">
            <v>-28130.19</v>
          </cell>
        </row>
        <row r="97">
          <cell r="B97" t="str">
            <v>SAM PISETH</v>
          </cell>
          <cell r="C97">
            <v>-48500.27</v>
          </cell>
          <cell r="D97">
            <v>-48500.27</v>
          </cell>
        </row>
        <row r="98">
          <cell r="B98" t="str">
            <v>TEP CHEA</v>
          </cell>
          <cell r="C98">
            <v>-38917.360000000001</v>
          </cell>
          <cell r="D98">
            <v>-38917.360000000001</v>
          </cell>
        </row>
        <row r="99">
          <cell r="B99" t="str">
            <v>BUTH SOKSOPHEAK</v>
          </cell>
          <cell r="C99">
            <v>-76336.429999999993</v>
          </cell>
          <cell r="D99">
            <v>-76336.429999999993</v>
          </cell>
        </row>
        <row r="100">
          <cell r="B100" t="str">
            <v>KHUN SONA</v>
          </cell>
          <cell r="C100">
            <v>-117101.02</v>
          </cell>
          <cell r="D100">
            <v>-117101.02</v>
          </cell>
        </row>
        <row r="101">
          <cell r="B101" t="str">
            <v>SANN VANNAROTH</v>
          </cell>
          <cell r="C101">
            <v>-28633.57</v>
          </cell>
          <cell r="D101">
            <v>-28633.57</v>
          </cell>
        </row>
        <row r="102">
          <cell r="B102" t="str">
            <v>LENG KUY</v>
          </cell>
          <cell r="C102">
            <v>-36260</v>
          </cell>
          <cell r="D102">
            <v>-36260</v>
          </cell>
        </row>
        <row r="103">
          <cell r="B103" t="str">
            <v>TE KEA</v>
          </cell>
          <cell r="C103">
            <v>-25756.53</v>
          </cell>
          <cell r="D103">
            <v>-25756.53</v>
          </cell>
        </row>
        <row r="104">
          <cell r="B104" t="str">
            <v>OUK KEOBUNTHEANG</v>
          </cell>
          <cell r="C104">
            <v>-95433.42</v>
          </cell>
          <cell r="D104">
            <v>-95433.42</v>
          </cell>
        </row>
        <row r="105">
          <cell r="B105" t="str">
            <v>CHIN SARIN</v>
          </cell>
          <cell r="C105">
            <v>-29000</v>
          </cell>
          <cell r="D105">
            <v>-29000</v>
          </cell>
        </row>
        <row r="106">
          <cell r="B106" t="str">
            <v>HEI MOYSREI</v>
          </cell>
          <cell r="C106">
            <v>-33454.080000000002</v>
          </cell>
          <cell r="D106">
            <v>-33454.080000000002</v>
          </cell>
        </row>
        <row r="107">
          <cell r="B107" t="str">
            <v>SENG SOPHO</v>
          </cell>
          <cell r="C107">
            <v>-40021.4</v>
          </cell>
          <cell r="D107">
            <v>-40021.4</v>
          </cell>
        </row>
        <row r="108">
          <cell r="B108" t="str">
            <v>HENG NGOUN CHENG</v>
          </cell>
          <cell r="C108">
            <v>-14805.01</v>
          </cell>
          <cell r="D108">
            <v>-14805.01</v>
          </cell>
        </row>
        <row r="109">
          <cell r="B109" t="str">
            <v>SAN SOPHEAK</v>
          </cell>
          <cell r="C109">
            <v>-36192.92</v>
          </cell>
          <cell r="D109">
            <v>-36192.92</v>
          </cell>
        </row>
        <row r="110">
          <cell r="B110" t="str">
            <v>MOK SAKITH</v>
          </cell>
          <cell r="C110">
            <v>-38259.53</v>
          </cell>
          <cell r="D110">
            <v>-38259.53</v>
          </cell>
        </row>
        <row r="111">
          <cell r="B111" t="str">
            <v>SAN SOPHEAK</v>
          </cell>
          <cell r="C111">
            <v>-91.67</v>
          </cell>
          <cell r="D111">
            <v>-91.67</v>
          </cell>
        </row>
        <row r="112">
          <cell r="B112" t="str">
            <v>MOK SAKITH</v>
          </cell>
          <cell r="C112">
            <v>-122.62</v>
          </cell>
          <cell r="D112">
            <v>-122.62</v>
          </cell>
        </row>
        <row r="113">
          <cell r="B113" t="str">
            <v>PHAN BORIN</v>
          </cell>
          <cell r="C113">
            <v>-26994.52</v>
          </cell>
          <cell r="D113">
            <v>-26994.52</v>
          </cell>
        </row>
        <row r="114">
          <cell r="B114" t="str">
            <v>LY LY ING</v>
          </cell>
          <cell r="C114">
            <v>-22453.67</v>
          </cell>
          <cell r="D114">
            <v>-22453.67</v>
          </cell>
        </row>
        <row r="115">
          <cell r="B115" t="str">
            <v>POV SOK PHEARI</v>
          </cell>
          <cell r="C115">
            <v>-41508.51</v>
          </cell>
          <cell r="D115">
            <v>-41508.51</v>
          </cell>
        </row>
        <row r="116">
          <cell r="B116" t="str">
            <v>ROM CHENDA</v>
          </cell>
          <cell r="C116">
            <v>-39784.25</v>
          </cell>
          <cell r="D116">
            <v>-39784.25</v>
          </cell>
        </row>
        <row r="117">
          <cell r="B117" t="str">
            <v>KOUNG MUYLENG</v>
          </cell>
          <cell r="C117">
            <v>-172958.17</v>
          </cell>
          <cell r="D117">
            <v>-172958.17</v>
          </cell>
        </row>
        <row r="118">
          <cell r="B118" t="str">
            <v>PHAN BORIN</v>
          </cell>
          <cell r="C118">
            <v>-57759</v>
          </cell>
          <cell r="D118">
            <v>-57759</v>
          </cell>
        </row>
        <row r="119">
          <cell r="B119" t="str">
            <v>CHHOEUN DEVID</v>
          </cell>
          <cell r="C119">
            <v>-56241.08</v>
          </cell>
          <cell r="D119">
            <v>-56241.08</v>
          </cell>
        </row>
        <row r="120">
          <cell r="B120" t="str">
            <v>PEN SAROEUN</v>
          </cell>
          <cell r="C120">
            <v>-43624.14</v>
          </cell>
          <cell r="D120">
            <v>-43624.14</v>
          </cell>
        </row>
        <row r="121">
          <cell r="B121" t="str">
            <v>TITH VICHEKA</v>
          </cell>
          <cell r="C121">
            <v>-25147.4</v>
          </cell>
          <cell r="D121">
            <v>-25147.4</v>
          </cell>
        </row>
        <row r="122">
          <cell r="B122" t="str">
            <v>KEO CHANVISAL</v>
          </cell>
          <cell r="C122">
            <v>-3181.65</v>
          </cell>
          <cell r="D122">
            <v>-3181.65</v>
          </cell>
        </row>
        <row r="123">
          <cell r="B123" t="str">
            <v>KHEANG VIRUN</v>
          </cell>
          <cell r="C123">
            <v>-2277.9</v>
          </cell>
          <cell r="D123">
            <v>-2277.9</v>
          </cell>
        </row>
        <row r="124">
          <cell r="B124" t="str">
            <v>SOK SOKUNVEARY</v>
          </cell>
          <cell r="C124">
            <v>-2846.35</v>
          </cell>
          <cell r="D124">
            <v>-2846.35</v>
          </cell>
        </row>
        <row r="125">
          <cell r="B125" t="str">
            <v>YOUK KIM OEUN</v>
          </cell>
          <cell r="C125">
            <v>-37273.21</v>
          </cell>
          <cell r="D125">
            <v>-37273.21</v>
          </cell>
        </row>
        <row r="126">
          <cell r="B126" t="str">
            <v>PEN SAROEUN</v>
          </cell>
          <cell r="C126">
            <v>-9431.17</v>
          </cell>
          <cell r="D126">
            <v>-9431.17</v>
          </cell>
        </row>
        <row r="127">
          <cell r="B127" t="str">
            <v>THA CHACRYA</v>
          </cell>
          <cell r="C127">
            <v>-8333.26</v>
          </cell>
          <cell r="D127">
            <v>-8333.26</v>
          </cell>
        </row>
        <row r="128">
          <cell r="B128" t="str">
            <v>TA BUNRITH</v>
          </cell>
          <cell r="C128">
            <v>-5698.5</v>
          </cell>
          <cell r="D128">
            <v>-5698.5</v>
          </cell>
        </row>
        <row r="129">
          <cell r="B129" t="str">
            <v>LY ERO</v>
          </cell>
          <cell r="C129">
            <v>-61481.86</v>
          </cell>
          <cell r="D129">
            <v>-61481.86</v>
          </cell>
        </row>
        <row r="130">
          <cell r="B130" t="str">
            <v>PRUM AUN</v>
          </cell>
          <cell r="C130">
            <v>-6746.04</v>
          </cell>
          <cell r="D130">
            <v>-6746.04</v>
          </cell>
        </row>
        <row r="131">
          <cell r="B131" t="str">
            <v>YUN CHANDY</v>
          </cell>
          <cell r="C131">
            <v>-7308</v>
          </cell>
          <cell r="D131">
            <v>-7308</v>
          </cell>
        </row>
        <row r="132">
          <cell r="B132" t="str">
            <v>THIM SAN</v>
          </cell>
          <cell r="C132">
            <v>-3276.64</v>
          </cell>
          <cell r="D132">
            <v>-3276.64</v>
          </cell>
        </row>
        <row r="133">
          <cell r="B133" t="str">
            <v>CHAN EANTAY</v>
          </cell>
          <cell r="C133">
            <v>-28666.720000000001</v>
          </cell>
          <cell r="D133">
            <v>-28666.720000000001</v>
          </cell>
        </row>
        <row r="134">
          <cell r="B134" t="str">
            <v>OUM CHANTHA</v>
          </cell>
          <cell r="C134">
            <v>-4903.12</v>
          </cell>
          <cell r="D134">
            <v>-4903.12</v>
          </cell>
        </row>
        <row r="135">
          <cell r="B135" t="str">
            <v>UNG TARA</v>
          </cell>
          <cell r="C135">
            <v>-33955.26</v>
          </cell>
          <cell r="D135">
            <v>-33955.26</v>
          </cell>
        </row>
        <row r="136">
          <cell r="B136" t="str">
            <v>CHHUN VANRITH</v>
          </cell>
          <cell r="C136">
            <v>-26999.31</v>
          </cell>
          <cell r="D136">
            <v>-26999.31</v>
          </cell>
        </row>
        <row r="137">
          <cell r="B137" t="str">
            <v>KONG CHAYNGUON</v>
          </cell>
          <cell r="C137">
            <v>-134781.6</v>
          </cell>
          <cell r="D137">
            <v>-134781.6</v>
          </cell>
        </row>
        <row r="138">
          <cell r="B138" t="str">
            <v>CHHIM CHAMNA</v>
          </cell>
          <cell r="C138">
            <v>-22402.34</v>
          </cell>
          <cell r="D138">
            <v>-22402.34</v>
          </cell>
        </row>
        <row r="139">
          <cell r="B139" t="str">
            <v>BI SANGHAK</v>
          </cell>
          <cell r="C139">
            <v>-59828.93</v>
          </cell>
          <cell r="D139">
            <v>-59828.93</v>
          </cell>
        </row>
        <row r="140">
          <cell r="B140" t="str">
            <v>UY DY</v>
          </cell>
          <cell r="C140">
            <v>-21584.38</v>
          </cell>
          <cell r="D140">
            <v>-21584.38</v>
          </cell>
        </row>
        <row r="141">
          <cell r="B141" t="str">
            <v>HENG CHETRA</v>
          </cell>
          <cell r="C141">
            <v>-30641.1</v>
          </cell>
          <cell r="D141">
            <v>-30641.1</v>
          </cell>
        </row>
        <row r="142">
          <cell r="B142" t="str">
            <v>BET PHAK</v>
          </cell>
          <cell r="C142">
            <v>-33631.26</v>
          </cell>
          <cell r="D142">
            <v>-33631.26</v>
          </cell>
        </row>
        <row r="143">
          <cell r="B143" t="str">
            <v>EING SOKHA</v>
          </cell>
          <cell r="C143">
            <v>-45488.2</v>
          </cell>
          <cell r="D143">
            <v>-45488.2</v>
          </cell>
        </row>
        <row r="144">
          <cell r="B144" t="str">
            <v>KHEM PICH</v>
          </cell>
          <cell r="C144">
            <v>-47569.49</v>
          </cell>
          <cell r="D144">
            <v>-47569.49</v>
          </cell>
        </row>
        <row r="145">
          <cell r="B145" t="str">
            <v>HUONG SODETH</v>
          </cell>
          <cell r="C145">
            <v>-18199.34</v>
          </cell>
          <cell r="D145">
            <v>-18199.34</v>
          </cell>
        </row>
        <row r="146">
          <cell r="B146" t="str">
            <v>TOUCH PHALLIN</v>
          </cell>
          <cell r="C146">
            <v>-29745.09</v>
          </cell>
          <cell r="D146">
            <v>-29745.09</v>
          </cell>
        </row>
        <row r="147">
          <cell r="B147" t="str">
            <v>SEAM VANSY</v>
          </cell>
          <cell r="C147">
            <v>-36708.269999999997</v>
          </cell>
          <cell r="D147">
            <v>-36708.269999999997</v>
          </cell>
        </row>
        <row r="148">
          <cell r="B148" t="str">
            <v>UN MANIVAN</v>
          </cell>
          <cell r="C148">
            <v>-80012.5</v>
          </cell>
          <cell r="D148">
            <v>-80012.5</v>
          </cell>
        </row>
        <row r="149">
          <cell r="B149" t="str">
            <v>PHIN PHAL</v>
          </cell>
          <cell r="C149">
            <v>-3871.86</v>
          </cell>
          <cell r="D149">
            <v>-3871.86</v>
          </cell>
        </row>
        <row r="150">
          <cell r="B150" t="str">
            <v>KHIM RATANA</v>
          </cell>
          <cell r="C150">
            <v>-22303.98</v>
          </cell>
          <cell r="D150">
            <v>-22303.98</v>
          </cell>
        </row>
        <row r="151">
          <cell r="B151" t="str">
            <v>KOY SOPHEA</v>
          </cell>
          <cell r="C151">
            <v>-86599.43</v>
          </cell>
          <cell r="D151">
            <v>-86599.43</v>
          </cell>
        </row>
        <row r="152">
          <cell r="B152" t="str">
            <v>MEL SOPHANNA</v>
          </cell>
          <cell r="C152">
            <v>-13581.52</v>
          </cell>
          <cell r="D152">
            <v>-13581.52</v>
          </cell>
        </row>
        <row r="153">
          <cell r="B153" t="str">
            <v>CHHUN VIRAK</v>
          </cell>
          <cell r="C153">
            <v>-45438.71</v>
          </cell>
          <cell r="D153">
            <v>-45438.71</v>
          </cell>
        </row>
        <row r="154">
          <cell r="B154" t="str">
            <v>KIM NY</v>
          </cell>
          <cell r="C154">
            <v>-45776.69</v>
          </cell>
          <cell r="D154">
            <v>-45776.69</v>
          </cell>
        </row>
        <row r="155">
          <cell r="B155" t="str">
            <v>LY KE</v>
          </cell>
          <cell r="C155">
            <v>-35677.46</v>
          </cell>
          <cell r="D155">
            <v>-35677.46</v>
          </cell>
        </row>
        <row r="156">
          <cell r="B156" t="str">
            <v>BUNCHHEOUN PHEAKDEY</v>
          </cell>
          <cell r="C156">
            <v>-8754.65</v>
          </cell>
          <cell r="D156">
            <v>-8754.65</v>
          </cell>
        </row>
        <row r="157">
          <cell r="B157" t="str">
            <v>KROEM VUTHY</v>
          </cell>
          <cell r="C157">
            <v>-36882.97</v>
          </cell>
          <cell r="D157">
            <v>-36882.97</v>
          </cell>
        </row>
        <row r="158">
          <cell r="B158" t="str">
            <v xml:space="preserve">SEANG KIMVISAL </v>
          </cell>
          <cell r="C158">
            <v>-108.02</v>
          </cell>
          <cell r="D158">
            <v>-108.02</v>
          </cell>
        </row>
        <row r="159">
          <cell r="B159" t="str">
            <v>HEANG KHEANG</v>
          </cell>
          <cell r="C159">
            <v>-3168.82</v>
          </cell>
          <cell r="D159">
            <v>-3168.82</v>
          </cell>
        </row>
        <row r="160">
          <cell r="B160" t="str">
            <v>LOV SOPHANIT</v>
          </cell>
          <cell r="C160">
            <v>-18329.310000000001</v>
          </cell>
          <cell r="D160">
            <v>-18329.310000000001</v>
          </cell>
        </row>
        <row r="161">
          <cell r="B161" t="str">
            <v>TIENG SENGLY</v>
          </cell>
          <cell r="C161">
            <v>-32646.66</v>
          </cell>
          <cell r="D161">
            <v>-32646.66</v>
          </cell>
        </row>
        <row r="162">
          <cell r="B162" t="str">
            <v>HOK ATHERIDDH</v>
          </cell>
          <cell r="C162">
            <v>-29257.75</v>
          </cell>
          <cell r="D162">
            <v>-29257.75</v>
          </cell>
        </row>
        <row r="163">
          <cell r="B163" t="str">
            <v>SENG VANNA</v>
          </cell>
          <cell r="C163">
            <v>-27529.58</v>
          </cell>
          <cell r="D163">
            <v>-27529.58</v>
          </cell>
        </row>
        <row r="164">
          <cell r="B164" t="str">
            <v>SAY VUTHY</v>
          </cell>
          <cell r="C164">
            <v>-35000.050000000003</v>
          </cell>
          <cell r="D164">
            <v>-35000.050000000003</v>
          </cell>
        </row>
        <row r="165">
          <cell r="B165" t="str">
            <v>VONG RADY</v>
          </cell>
          <cell r="C165">
            <v>-26249.18</v>
          </cell>
          <cell r="D165">
            <v>-26249.18</v>
          </cell>
        </row>
        <row r="166">
          <cell r="B166" t="str">
            <v>HAP SARATH</v>
          </cell>
          <cell r="C166">
            <v>-25314.93</v>
          </cell>
          <cell r="D166">
            <v>-25314.93</v>
          </cell>
        </row>
        <row r="167">
          <cell r="B167" t="str">
            <v>CHEA LONG</v>
          </cell>
          <cell r="C167">
            <v>-13726.66</v>
          </cell>
          <cell r="D167">
            <v>-13726.66</v>
          </cell>
        </row>
        <row r="168">
          <cell r="B168" t="str">
            <v>UK OUDOM</v>
          </cell>
          <cell r="C168">
            <v>-23699.74</v>
          </cell>
          <cell r="D168">
            <v>-23699.74</v>
          </cell>
        </row>
        <row r="169">
          <cell r="B169" t="str">
            <v>SUN SITHAN</v>
          </cell>
          <cell r="C169">
            <v>-9830.69</v>
          </cell>
          <cell r="D169">
            <v>-9830.69</v>
          </cell>
        </row>
        <row r="170">
          <cell r="B170" t="str">
            <v>THET PHANITH</v>
          </cell>
          <cell r="C170">
            <v>-32352.75</v>
          </cell>
          <cell r="D170">
            <v>-32352.75</v>
          </cell>
        </row>
        <row r="171">
          <cell r="B171" t="str">
            <v>YUN YURY</v>
          </cell>
          <cell r="C171">
            <v>-10048.709999999999</v>
          </cell>
          <cell r="D171">
            <v>-10048.709999999999</v>
          </cell>
        </row>
        <row r="172">
          <cell r="B172" t="str">
            <v>LOR SUYHOR</v>
          </cell>
          <cell r="C172">
            <v>-105186.92</v>
          </cell>
          <cell r="D172">
            <v>-105186.92</v>
          </cell>
        </row>
        <row r="173">
          <cell r="B173" t="str">
            <v>PHUN BANDITH</v>
          </cell>
          <cell r="C173">
            <v>-18186.68</v>
          </cell>
          <cell r="D173">
            <v>-18186.68</v>
          </cell>
        </row>
        <row r="174">
          <cell r="B174" t="str">
            <v>MOM SOKHAPHIRUM</v>
          </cell>
          <cell r="C174">
            <v>-24155.82</v>
          </cell>
          <cell r="D174">
            <v>-24155.82</v>
          </cell>
        </row>
        <row r="175">
          <cell r="B175" t="str">
            <v>TANG CHHOEUN</v>
          </cell>
          <cell r="C175">
            <v>-90976.41</v>
          </cell>
          <cell r="D175">
            <v>-90976.41</v>
          </cell>
        </row>
        <row r="176">
          <cell r="B176" t="str">
            <v>SON SOPHORS</v>
          </cell>
          <cell r="C176">
            <v>-31346.14</v>
          </cell>
          <cell r="D176">
            <v>-31346.14</v>
          </cell>
        </row>
        <row r="177">
          <cell r="B177" t="str">
            <v>KONG SAVATH</v>
          </cell>
          <cell r="C177">
            <v>-55559.77</v>
          </cell>
          <cell r="D177">
            <v>-55559.77</v>
          </cell>
        </row>
        <row r="178">
          <cell r="B178" t="str">
            <v>DANH SOVONG</v>
          </cell>
          <cell r="C178">
            <v>-74334.16</v>
          </cell>
          <cell r="D178">
            <v>-74334.16</v>
          </cell>
        </row>
        <row r="179">
          <cell r="B179" t="str">
            <v xml:space="preserve">DANH SOVONG </v>
          </cell>
          <cell r="C179">
            <v>-31233.69</v>
          </cell>
          <cell r="D179">
            <v>-31233.69</v>
          </cell>
        </row>
        <row r="180">
          <cell r="B180" t="str">
            <v>MEN BORAN</v>
          </cell>
          <cell r="C180">
            <v>-22870.22</v>
          </cell>
          <cell r="D180">
            <v>-22870.22</v>
          </cell>
        </row>
        <row r="181">
          <cell r="B181" t="str">
            <v>NONG KARADEN</v>
          </cell>
          <cell r="C181">
            <v>-48238.29</v>
          </cell>
          <cell r="D181">
            <v>-48238.29</v>
          </cell>
        </row>
        <row r="182">
          <cell r="B182" t="str">
            <v>HOK PHAN</v>
          </cell>
          <cell r="C182">
            <v>-53506.37</v>
          </cell>
          <cell r="D182">
            <v>-53506.37</v>
          </cell>
        </row>
        <row r="183">
          <cell r="B183" t="str">
            <v>HOK PHAN</v>
          </cell>
          <cell r="C183">
            <v>-5973.38</v>
          </cell>
          <cell r="D183">
            <v>-5973.38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0010009_20170831_CRB_Output_"/>
      <sheetName val="Sheet1"/>
    </sheetNames>
    <sheetDataSet>
      <sheetData sheetId="0" refreshError="1">
        <row r="1">
          <cell r="D1" t="str">
            <v>EK SOK</v>
          </cell>
        </row>
        <row r="156">
          <cell r="D156" t="str">
            <v>EK SOK</v>
          </cell>
          <cell r="E156">
            <v>-61.54</v>
          </cell>
          <cell r="F156">
            <v>-61.54</v>
          </cell>
        </row>
        <row r="157">
          <cell r="D157" t="str">
            <v>HAK SAKKUNA</v>
          </cell>
          <cell r="E157">
            <v>-2.9</v>
          </cell>
          <cell r="F157">
            <v>-2.9</v>
          </cell>
        </row>
        <row r="158">
          <cell r="D158" t="str">
            <v>KAO CHILEANG</v>
          </cell>
          <cell r="E158">
            <v>-47.2</v>
          </cell>
          <cell r="F158">
            <v>-47.2</v>
          </cell>
        </row>
        <row r="159">
          <cell r="D159" t="str">
            <v>LUN DANE</v>
          </cell>
          <cell r="E159">
            <v>-28.7</v>
          </cell>
          <cell r="F159">
            <v>-28.7</v>
          </cell>
        </row>
        <row r="160">
          <cell r="D160" t="str">
            <v xml:space="preserve">HAK SAKKUNA </v>
          </cell>
          <cell r="E160">
            <v>-29.91</v>
          </cell>
          <cell r="F160">
            <v>-29.91</v>
          </cell>
        </row>
        <row r="161">
          <cell r="D161" t="str">
            <v xml:space="preserve">EK SOK </v>
          </cell>
          <cell r="E161">
            <v>-240.11</v>
          </cell>
          <cell r="F161">
            <v>-240.11</v>
          </cell>
        </row>
        <row r="162">
          <cell r="D162" t="str">
            <v>LENG CHANMONY</v>
          </cell>
          <cell r="E162">
            <v>-3.8</v>
          </cell>
          <cell r="F162">
            <v>-3.8</v>
          </cell>
        </row>
        <row r="163">
          <cell r="D163" t="str">
            <v>CHHOEUN VY</v>
          </cell>
          <cell r="E163">
            <v>-164.06</v>
          </cell>
          <cell r="F163">
            <v>-164.06</v>
          </cell>
        </row>
        <row r="164">
          <cell r="D164" t="str">
            <v>BOU SOMONY</v>
          </cell>
          <cell r="E164">
            <v>-252.6</v>
          </cell>
          <cell r="F164">
            <v>-252.6</v>
          </cell>
        </row>
        <row r="165">
          <cell r="D165" t="str">
            <v>KUM KOREN</v>
          </cell>
          <cell r="E165">
            <v>-575.20000000000005</v>
          </cell>
          <cell r="F165">
            <v>-575.20000000000005</v>
          </cell>
        </row>
        <row r="166">
          <cell r="D166" t="str">
            <v>MAY SOKLIM</v>
          </cell>
          <cell r="E166">
            <v>-209</v>
          </cell>
          <cell r="F166">
            <v>-209</v>
          </cell>
        </row>
        <row r="167">
          <cell r="D167" t="str">
            <v>SOK SAMAIT</v>
          </cell>
          <cell r="E167">
            <v>-180.93</v>
          </cell>
          <cell r="F167">
            <v>-180.93</v>
          </cell>
        </row>
        <row r="168">
          <cell r="D168" t="str">
            <v>PHORK NARIN</v>
          </cell>
          <cell r="E168">
            <v>-163.77000000000001</v>
          </cell>
          <cell r="F168">
            <v>-163.77000000000001</v>
          </cell>
        </row>
        <row r="169">
          <cell r="D169" t="str">
            <v>PHOU SEIT</v>
          </cell>
          <cell r="E169">
            <v>-95.78</v>
          </cell>
          <cell r="F169">
            <v>-95.78</v>
          </cell>
        </row>
        <row r="170">
          <cell r="D170" t="str">
            <v>RUN CHANDARO</v>
          </cell>
          <cell r="E170">
            <v>-142.82</v>
          </cell>
          <cell r="F170">
            <v>-142.82</v>
          </cell>
        </row>
        <row r="171">
          <cell r="D171" t="str">
            <v>PHOUN CHANRA</v>
          </cell>
          <cell r="E171">
            <v>-148.29</v>
          </cell>
          <cell r="F171">
            <v>-148.29</v>
          </cell>
        </row>
        <row r="172">
          <cell r="D172" t="str">
            <v>NUON VANNAK</v>
          </cell>
          <cell r="E172">
            <v>-49.91</v>
          </cell>
          <cell r="F172">
            <v>-49.91</v>
          </cell>
        </row>
        <row r="173">
          <cell r="D173" t="str">
            <v>SOK SOCHETANA</v>
          </cell>
          <cell r="E173">
            <v>-31.94</v>
          </cell>
          <cell r="F173">
            <v>-31.94</v>
          </cell>
        </row>
        <row r="174">
          <cell r="D174" t="str">
            <v>DUCH VANTHAN</v>
          </cell>
          <cell r="E174">
            <v>-615.41999999999996</v>
          </cell>
          <cell r="F174">
            <v>-615.41999999999996</v>
          </cell>
        </row>
        <row r="175">
          <cell r="D175" t="str">
            <v>KAO UN</v>
          </cell>
          <cell r="E175">
            <v>-160.41999999999999</v>
          </cell>
          <cell r="F175">
            <v>-160.41999999999999</v>
          </cell>
        </row>
        <row r="176">
          <cell r="D176" t="str">
            <v>KEATH VIREAK</v>
          </cell>
          <cell r="E176">
            <v>-155.12</v>
          </cell>
          <cell r="F176">
            <v>-155.12</v>
          </cell>
        </row>
        <row r="177">
          <cell r="D177" t="str">
            <v>HOUT SILOT</v>
          </cell>
          <cell r="E177">
            <v>-115.7</v>
          </cell>
          <cell r="F177">
            <v>-115.7</v>
          </cell>
        </row>
        <row r="178">
          <cell r="D178" t="str">
            <v>LONG KEARA</v>
          </cell>
          <cell r="E178">
            <v>-223.54</v>
          </cell>
          <cell r="F178">
            <v>-223.54</v>
          </cell>
        </row>
        <row r="179">
          <cell r="D179" t="str">
            <v>SEANG THEANHONG</v>
          </cell>
          <cell r="E179">
            <v>-363.42</v>
          </cell>
          <cell r="F179">
            <v>-363.42</v>
          </cell>
        </row>
        <row r="180">
          <cell r="D180" t="str">
            <v>CHAN LOEKSEY</v>
          </cell>
          <cell r="E180">
            <v>-27.68</v>
          </cell>
          <cell r="F180">
            <v>-27.68</v>
          </cell>
        </row>
        <row r="181">
          <cell r="D181" t="str">
            <v>MAO POUSUPHY</v>
          </cell>
          <cell r="E181">
            <v>-16.600000000000001</v>
          </cell>
          <cell r="F181">
            <v>-16.600000000000001</v>
          </cell>
        </row>
        <row r="182">
          <cell r="D182" t="str">
            <v>EANG NAVY</v>
          </cell>
          <cell r="E182">
            <v>-22.16</v>
          </cell>
          <cell r="F182">
            <v>-22.16</v>
          </cell>
        </row>
        <row r="183">
          <cell r="D183" t="str">
            <v>KROEM VUTHY</v>
          </cell>
          <cell r="E183">
            <v>-475.37</v>
          </cell>
          <cell r="F183">
            <v>-475.37</v>
          </cell>
        </row>
        <row r="184">
          <cell r="D184" t="str">
            <v>LENG TITHVIBOLSAMBATH</v>
          </cell>
          <cell r="E184">
            <v>-60.38</v>
          </cell>
          <cell r="F184">
            <v>-60.38</v>
          </cell>
        </row>
        <row r="185">
          <cell r="D185" t="str">
            <v>SUON CHANDA</v>
          </cell>
          <cell r="E185">
            <v>-462.95</v>
          </cell>
          <cell r="F185">
            <v>-462.95</v>
          </cell>
        </row>
        <row r="186">
          <cell r="D186" t="str">
            <v>KAO CHANMEY</v>
          </cell>
          <cell r="E186">
            <v>-108.42</v>
          </cell>
          <cell r="F186">
            <v>-108.42</v>
          </cell>
        </row>
        <row r="187">
          <cell r="D187" t="str">
            <v>MENG KIMSRENG</v>
          </cell>
          <cell r="E187">
            <v>-304.55</v>
          </cell>
          <cell r="F187">
            <v>-304.55</v>
          </cell>
        </row>
        <row r="188">
          <cell r="D188" t="str">
            <v>ANG RITHY</v>
          </cell>
          <cell r="E188">
            <v>-180.6</v>
          </cell>
          <cell r="F188">
            <v>-180.6</v>
          </cell>
        </row>
        <row r="189">
          <cell r="D189" t="str">
            <v>SOK SOTHY</v>
          </cell>
          <cell r="E189">
            <v>-351.94</v>
          </cell>
          <cell r="F189">
            <v>-351.94</v>
          </cell>
        </row>
        <row r="190">
          <cell r="D190" t="str">
            <v>BI SANGMENG</v>
          </cell>
          <cell r="E190">
            <v>-105.88</v>
          </cell>
          <cell r="F190">
            <v>-105.88</v>
          </cell>
        </row>
        <row r="191">
          <cell r="D191" t="str">
            <v>YEN SOPHORN</v>
          </cell>
          <cell r="E191">
            <v>-24.69</v>
          </cell>
          <cell r="F191">
            <v>-24.69</v>
          </cell>
        </row>
        <row r="192">
          <cell r="D192" t="str">
            <v>KEA LEANGSRUNN</v>
          </cell>
          <cell r="E192">
            <v>-249.5</v>
          </cell>
          <cell r="F192">
            <v>-249.5</v>
          </cell>
        </row>
        <row r="193">
          <cell r="D193" t="str">
            <v>SEANG KIMVISAL</v>
          </cell>
          <cell r="E193">
            <v>-297.62</v>
          </cell>
          <cell r="F193">
            <v>-297.62</v>
          </cell>
        </row>
        <row r="194">
          <cell r="D194" t="str">
            <v>SUON RATANA</v>
          </cell>
          <cell r="E194">
            <v>-568.33000000000004</v>
          </cell>
          <cell r="F194">
            <v>-568.33000000000004</v>
          </cell>
        </row>
        <row r="195">
          <cell r="D195" t="str">
            <v>NOP CHANRY</v>
          </cell>
          <cell r="E195">
            <v>-84.94</v>
          </cell>
          <cell r="F195">
            <v>-84.94</v>
          </cell>
        </row>
        <row r="196">
          <cell r="D196" t="str">
            <v>CHHIN SOBINTHORN</v>
          </cell>
          <cell r="E196">
            <v>-70.790000000000006</v>
          </cell>
          <cell r="F196">
            <v>-70.790000000000006</v>
          </cell>
        </row>
        <row r="197">
          <cell r="D197" t="str">
            <v>CHHAI SOKSOVAN</v>
          </cell>
          <cell r="E197">
            <v>-86.85</v>
          </cell>
          <cell r="F197">
            <v>-86.85</v>
          </cell>
        </row>
        <row r="198">
          <cell r="D198" t="str">
            <v>DUOCH DARA</v>
          </cell>
          <cell r="E198">
            <v>-560.37</v>
          </cell>
          <cell r="F198">
            <v>-560.37</v>
          </cell>
        </row>
        <row r="199">
          <cell r="D199" t="str">
            <v>OUK KEOBUNTHEANG</v>
          </cell>
          <cell r="E199">
            <v>-356.14</v>
          </cell>
          <cell r="F199">
            <v>-356.14</v>
          </cell>
        </row>
        <row r="200">
          <cell r="D200" t="str">
            <v>SAN SOPHEAK</v>
          </cell>
          <cell r="E200">
            <v>-32.11</v>
          </cell>
          <cell r="F200">
            <v>-32.11</v>
          </cell>
        </row>
        <row r="201">
          <cell r="D201" t="str">
            <v xml:space="preserve">LIM LENICH </v>
          </cell>
          <cell r="E201">
            <v>-855.89</v>
          </cell>
          <cell r="F201">
            <v>-855.89</v>
          </cell>
        </row>
        <row r="202">
          <cell r="D202" t="str">
            <v xml:space="preserve">TITH PANHA </v>
          </cell>
          <cell r="E202">
            <v>-78.8</v>
          </cell>
          <cell r="F202">
            <v>-78.8</v>
          </cell>
        </row>
        <row r="203">
          <cell r="D203" t="str">
            <v>CHHAY SOK CHEA</v>
          </cell>
          <cell r="E203">
            <v>-122.75</v>
          </cell>
          <cell r="F203">
            <v>-122.75</v>
          </cell>
        </row>
        <row r="204">
          <cell r="D204" t="str">
            <v>HENG SENGHORN</v>
          </cell>
          <cell r="E204">
            <v>-130.30000000000001</v>
          </cell>
          <cell r="F204">
            <v>-130.30000000000001</v>
          </cell>
        </row>
        <row r="205">
          <cell r="D205" t="str">
            <v>KIN SOKHOEUN</v>
          </cell>
          <cell r="E205">
            <v>-155.13999999999999</v>
          </cell>
          <cell r="F205">
            <v>-155.13999999999999</v>
          </cell>
        </row>
        <row r="206">
          <cell r="D206" t="str">
            <v>SY MENG</v>
          </cell>
          <cell r="E206">
            <v>-689.94</v>
          </cell>
          <cell r="F206">
            <v>-689.94</v>
          </cell>
        </row>
        <row r="207">
          <cell r="D207" t="str">
            <v>CHAN VANNY</v>
          </cell>
          <cell r="E207">
            <v>-104.44</v>
          </cell>
          <cell r="F207">
            <v>-104.44</v>
          </cell>
        </row>
        <row r="208">
          <cell r="D208" t="str">
            <v>HIET MAKARA</v>
          </cell>
          <cell r="E208">
            <v>-86.2</v>
          </cell>
          <cell r="F208">
            <v>-86.2</v>
          </cell>
        </row>
        <row r="209">
          <cell r="D209" t="str">
            <v>BAN HY</v>
          </cell>
          <cell r="E209">
            <v>-142.44</v>
          </cell>
          <cell r="F209">
            <v>-142.44</v>
          </cell>
        </row>
        <row r="210">
          <cell r="D210" t="str">
            <v>YEUN VIRAK</v>
          </cell>
          <cell r="E210">
            <v>-220.61</v>
          </cell>
          <cell r="F210">
            <v>-220.61</v>
          </cell>
        </row>
        <row r="211">
          <cell r="D211" t="str">
            <v>TIENG SAMAN</v>
          </cell>
          <cell r="E211">
            <v>-48.07</v>
          </cell>
          <cell r="F211">
            <v>-48.07</v>
          </cell>
        </row>
        <row r="212">
          <cell r="D212" t="str">
            <v>HENG SOPHAT</v>
          </cell>
          <cell r="E212">
            <v>-106.28</v>
          </cell>
          <cell r="F212">
            <v>-106.28</v>
          </cell>
        </row>
        <row r="213">
          <cell r="D213" t="str">
            <v>MOM HOEUNG SARY</v>
          </cell>
          <cell r="E213">
            <v>-248.61</v>
          </cell>
          <cell r="F213">
            <v>-248.61</v>
          </cell>
        </row>
        <row r="214">
          <cell r="D214" t="str">
            <v>TEM BORA</v>
          </cell>
          <cell r="E214">
            <v>-39.78</v>
          </cell>
          <cell r="F214">
            <v>-39.78</v>
          </cell>
        </row>
        <row r="215">
          <cell r="D215" t="str">
            <v>KONG VIREAK</v>
          </cell>
          <cell r="E215">
            <v>-186.1</v>
          </cell>
          <cell r="F215">
            <v>-186.1</v>
          </cell>
        </row>
        <row r="216">
          <cell r="D216" t="str">
            <v>CHHOEURN SOTON</v>
          </cell>
          <cell r="E216">
            <v>-82.88</v>
          </cell>
          <cell r="F216">
            <v>-82.88</v>
          </cell>
        </row>
        <row r="217">
          <cell r="D217" t="str">
            <v>TITH PANHA</v>
          </cell>
          <cell r="E217">
            <v>-148.13</v>
          </cell>
          <cell r="F217">
            <v>-148.13</v>
          </cell>
        </row>
        <row r="218">
          <cell r="D218" t="str">
            <v xml:space="preserve">KROEM VUTHY </v>
          </cell>
          <cell r="E218">
            <v>-562.72</v>
          </cell>
          <cell r="F218">
            <v>-562.72</v>
          </cell>
        </row>
        <row r="219">
          <cell r="D219" t="str">
            <v>SENG THEA</v>
          </cell>
          <cell r="E219">
            <v>-35.369999999999997</v>
          </cell>
          <cell r="F219">
            <v>-35.369999999999997</v>
          </cell>
        </row>
        <row r="220">
          <cell r="D220" t="str">
            <v>SAMBATH SATHYA</v>
          </cell>
          <cell r="E220">
            <v>-172.2</v>
          </cell>
          <cell r="F220">
            <v>-172.2</v>
          </cell>
        </row>
        <row r="221">
          <cell r="D221" t="str">
            <v>SUM SONG</v>
          </cell>
          <cell r="E221">
            <v>-260.01</v>
          </cell>
          <cell r="F221">
            <v>-260.01</v>
          </cell>
        </row>
        <row r="222">
          <cell r="D222" t="str">
            <v>SREY PHORS</v>
          </cell>
          <cell r="E222">
            <v>-233.02</v>
          </cell>
          <cell r="F222">
            <v>-233.02</v>
          </cell>
        </row>
        <row r="223">
          <cell r="D223" t="str">
            <v>LY VENGLONG</v>
          </cell>
          <cell r="E223">
            <v>-306.02999999999997</v>
          </cell>
          <cell r="F223">
            <v>-306.02999999999997</v>
          </cell>
        </row>
        <row r="224">
          <cell r="D224" t="str">
            <v>CHEA CHAMROEUN</v>
          </cell>
          <cell r="E224">
            <v>-255.79</v>
          </cell>
          <cell r="F224">
            <v>-255.79</v>
          </cell>
        </row>
        <row r="225">
          <cell r="D225" t="str">
            <v>LIM LENICH</v>
          </cell>
          <cell r="E225">
            <v>-1325.18</v>
          </cell>
          <cell r="F225">
            <v>-1325.18</v>
          </cell>
        </row>
        <row r="226">
          <cell r="D226" t="str">
            <v>MEAS SANETH</v>
          </cell>
          <cell r="E226">
            <v>-163.22</v>
          </cell>
          <cell r="F226">
            <v>-163.22</v>
          </cell>
        </row>
        <row r="227">
          <cell r="D227" t="str">
            <v>SAM PISETH</v>
          </cell>
          <cell r="E227">
            <v>-218.88</v>
          </cell>
          <cell r="F227">
            <v>-218.88</v>
          </cell>
        </row>
        <row r="228">
          <cell r="D228" t="str">
            <v>TEP CHEA</v>
          </cell>
          <cell r="E228">
            <v>-165.21</v>
          </cell>
          <cell r="F228">
            <v>-165.21</v>
          </cell>
        </row>
        <row r="229">
          <cell r="D229" t="str">
            <v>BUTH SOKSOPHEAK</v>
          </cell>
          <cell r="E229">
            <v>-291.14999999999998</v>
          </cell>
          <cell r="F229">
            <v>-291.14999999999998</v>
          </cell>
        </row>
        <row r="230">
          <cell r="D230" t="str">
            <v>KHUN SONA</v>
          </cell>
          <cell r="E230">
            <v>-298.20999999999998</v>
          </cell>
          <cell r="F230">
            <v>-298.20999999999998</v>
          </cell>
        </row>
        <row r="231">
          <cell r="D231" t="str">
            <v>SANN VANNAROTH</v>
          </cell>
          <cell r="E231">
            <v>-74.150000000000006</v>
          </cell>
          <cell r="F231">
            <v>-74.150000000000006</v>
          </cell>
        </row>
        <row r="232">
          <cell r="D232" t="str">
            <v>LENG KUY</v>
          </cell>
          <cell r="E232">
            <v>-49.45</v>
          </cell>
          <cell r="F232">
            <v>-49.45</v>
          </cell>
        </row>
        <row r="233">
          <cell r="D233" t="str">
            <v>TE KEA</v>
          </cell>
          <cell r="E233">
            <v>-123.3</v>
          </cell>
          <cell r="F233">
            <v>-123.3</v>
          </cell>
        </row>
        <row r="234">
          <cell r="D234" t="str">
            <v>ROM CHENDA</v>
          </cell>
          <cell r="E234">
            <v>-21.68</v>
          </cell>
          <cell r="F234">
            <v>-21.68</v>
          </cell>
        </row>
        <row r="235">
          <cell r="D235" t="str">
            <v>BUTH SAMNANG</v>
          </cell>
          <cell r="E235">
            <v>-20.23</v>
          </cell>
          <cell r="F235">
            <v>-20.23</v>
          </cell>
        </row>
        <row r="236">
          <cell r="D236" t="str">
            <v>PHAN BORIN</v>
          </cell>
          <cell r="E236">
            <v>-23.1</v>
          </cell>
          <cell r="F236">
            <v>-23.1</v>
          </cell>
        </row>
        <row r="237">
          <cell r="D237" t="str">
            <v>LY LY ING</v>
          </cell>
          <cell r="E237">
            <v>-38.32</v>
          </cell>
          <cell r="F237">
            <v>-38.32</v>
          </cell>
        </row>
        <row r="238">
          <cell r="D238" t="str">
            <v>POV SOK PHEARI</v>
          </cell>
          <cell r="E238">
            <v>-22.65</v>
          </cell>
          <cell r="F238">
            <v>-22.65</v>
          </cell>
        </row>
        <row r="239">
          <cell r="D239" t="str">
            <v>KOUNG MUYLENG</v>
          </cell>
          <cell r="E239">
            <v>-107.4</v>
          </cell>
          <cell r="F239">
            <v>-107.4</v>
          </cell>
        </row>
        <row r="240">
          <cell r="D240" t="str">
            <v xml:space="preserve">PHAN BORIN </v>
          </cell>
          <cell r="E240">
            <v>-31.68</v>
          </cell>
          <cell r="F240">
            <v>-31.68</v>
          </cell>
        </row>
        <row r="241">
          <cell r="D241" t="str">
            <v>PEN SAROEUN</v>
          </cell>
          <cell r="E241">
            <v>-24.23</v>
          </cell>
          <cell r="F241">
            <v>-24.23</v>
          </cell>
        </row>
        <row r="242">
          <cell r="D242" t="str">
            <v>TITH VICHEKA</v>
          </cell>
          <cell r="E242">
            <v>-14.23</v>
          </cell>
          <cell r="F242">
            <v>-14.23</v>
          </cell>
        </row>
        <row r="243">
          <cell r="D243" t="str">
            <v>SOK SOKUNVEARY</v>
          </cell>
          <cell r="E243">
            <v>-3.89</v>
          </cell>
          <cell r="F243">
            <v>-3.89</v>
          </cell>
        </row>
        <row r="244">
          <cell r="D244" t="str">
            <v>YOUK KIM OEUN</v>
          </cell>
          <cell r="E244">
            <v>-20.43</v>
          </cell>
          <cell r="F244">
            <v>-20.43</v>
          </cell>
        </row>
        <row r="245">
          <cell r="D245" t="str">
            <v xml:space="preserve">PEN SAROEUN </v>
          </cell>
          <cell r="E245">
            <v>-7.99</v>
          </cell>
          <cell r="F245">
            <v>-7.99</v>
          </cell>
        </row>
        <row r="246">
          <cell r="D246" t="str">
            <v>THA CHACRYA</v>
          </cell>
          <cell r="E246">
            <v>-38.9</v>
          </cell>
          <cell r="F246">
            <v>-38.9</v>
          </cell>
        </row>
        <row r="247">
          <cell r="D247" t="str">
            <v>TA BUNRITH</v>
          </cell>
          <cell r="E247">
            <v>-46.65</v>
          </cell>
          <cell r="F247">
            <v>-46.65</v>
          </cell>
        </row>
        <row r="248">
          <cell r="D248" t="str">
            <v>LY ERO</v>
          </cell>
          <cell r="E248">
            <v>-709.58</v>
          </cell>
          <cell r="F248">
            <v>-709.58</v>
          </cell>
        </row>
        <row r="249">
          <cell r="D249" t="str">
            <v>PRUM AUN</v>
          </cell>
          <cell r="E249">
            <v>-77.8</v>
          </cell>
          <cell r="F249">
            <v>-77.8</v>
          </cell>
        </row>
        <row r="250">
          <cell r="D250" t="str">
            <v>YUN CHANDY</v>
          </cell>
          <cell r="E250">
            <v>-71.39</v>
          </cell>
          <cell r="F250">
            <v>-71.39</v>
          </cell>
        </row>
        <row r="251">
          <cell r="D251" t="str">
            <v>OUM CHANTHA</v>
          </cell>
          <cell r="E251">
            <v>-52.59</v>
          </cell>
          <cell r="F251">
            <v>-52.59</v>
          </cell>
        </row>
        <row r="252">
          <cell r="D252" t="str">
            <v>THIM SAN</v>
          </cell>
          <cell r="E252">
            <v>-98.56</v>
          </cell>
          <cell r="F252">
            <v>-98.56</v>
          </cell>
        </row>
        <row r="253">
          <cell r="D253" t="str">
            <v>CHAN EANTAY</v>
          </cell>
          <cell r="E253">
            <v>-189.12</v>
          </cell>
          <cell r="F253">
            <v>-189.12</v>
          </cell>
        </row>
        <row r="254">
          <cell r="D254" t="str">
            <v>UNG TARA</v>
          </cell>
          <cell r="E254">
            <v>-334.66</v>
          </cell>
          <cell r="F254">
            <v>-334.66</v>
          </cell>
        </row>
        <row r="255">
          <cell r="D255" t="str">
            <v>CHHUN VANRITH</v>
          </cell>
          <cell r="E255">
            <v>-265.60000000000002</v>
          </cell>
          <cell r="F255">
            <v>-265.60000000000002</v>
          </cell>
        </row>
        <row r="256">
          <cell r="D256" t="str">
            <v>KONG CHAYNGUON</v>
          </cell>
          <cell r="E256">
            <v>-1289.1300000000001</v>
          </cell>
          <cell r="F256">
            <v>-1289.1300000000001</v>
          </cell>
        </row>
        <row r="257">
          <cell r="D257" t="str">
            <v>CHHIM CHAMNA</v>
          </cell>
          <cell r="E257">
            <v>-61.92</v>
          </cell>
          <cell r="F257">
            <v>-61.92</v>
          </cell>
        </row>
        <row r="258">
          <cell r="D258" t="str">
            <v>BI SANGHAK</v>
          </cell>
          <cell r="E258">
            <v>-535.87</v>
          </cell>
          <cell r="F258">
            <v>-535.87</v>
          </cell>
        </row>
        <row r="259">
          <cell r="D259" t="str">
            <v>UY DY</v>
          </cell>
          <cell r="E259">
            <v>-161.16999999999999</v>
          </cell>
          <cell r="F259">
            <v>-161.16999999999999</v>
          </cell>
        </row>
        <row r="260">
          <cell r="D260" t="str">
            <v>HENG CHETRA</v>
          </cell>
          <cell r="E260">
            <v>-189.37</v>
          </cell>
          <cell r="F260">
            <v>-189.37</v>
          </cell>
        </row>
        <row r="261">
          <cell r="D261" t="str">
            <v>BET PHAK</v>
          </cell>
          <cell r="E261">
            <v>-188.95</v>
          </cell>
          <cell r="F261">
            <v>-188.95</v>
          </cell>
        </row>
        <row r="262">
          <cell r="D262" t="str">
            <v>SOR BUNHAY</v>
          </cell>
          <cell r="E262">
            <v>-399.46</v>
          </cell>
          <cell r="F262">
            <v>-399.46</v>
          </cell>
        </row>
        <row r="263">
          <cell r="D263" t="str">
            <v>EING SOKHA</v>
          </cell>
          <cell r="E263">
            <v>-248.78</v>
          </cell>
          <cell r="F263">
            <v>-248.78</v>
          </cell>
        </row>
        <row r="264">
          <cell r="D264" t="str">
            <v>KHEM PICH</v>
          </cell>
          <cell r="E264">
            <v>-99.78</v>
          </cell>
          <cell r="F264">
            <v>-99.78</v>
          </cell>
        </row>
        <row r="265">
          <cell r="D265" t="str">
            <v>HUONG SODETH</v>
          </cell>
          <cell r="E265">
            <v>-175.81</v>
          </cell>
          <cell r="F265">
            <v>-175.81</v>
          </cell>
        </row>
        <row r="266">
          <cell r="D266" t="str">
            <v>TOUCH PHALLIN</v>
          </cell>
          <cell r="E266">
            <v>-212.63</v>
          </cell>
          <cell r="F266">
            <v>-212.63</v>
          </cell>
        </row>
        <row r="267">
          <cell r="D267" t="str">
            <v>ENG SAKUN</v>
          </cell>
          <cell r="E267">
            <v>-36.24</v>
          </cell>
          <cell r="F267">
            <v>-36.24</v>
          </cell>
        </row>
        <row r="268">
          <cell r="D268" t="str">
            <v>SEAM VANSY</v>
          </cell>
          <cell r="E268">
            <v>-211.03</v>
          </cell>
          <cell r="F268">
            <v>-211.03</v>
          </cell>
        </row>
        <row r="269">
          <cell r="D269" t="str">
            <v>LY KE</v>
          </cell>
          <cell r="E269">
            <v>-9.76</v>
          </cell>
          <cell r="F269">
            <v>-9.76</v>
          </cell>
        </row>
        <row r="270">
          <cell r="D270" t="str">
            <v>UN MANIVAN</v>
          </cell>
          <cell r="E270">
            <v>-674.2</v>
          </cell>
          <cell r="F270">
            <v>-674.2</v>
          </cell>
        </row>
        <row r="271">
          <cell r="D271" t="str">
            <v>PHIN PHAL</v>
          </cell>
          <cell r="E271">
            <v>-65.38</v>
          </cell>
          <cell r="F271">
            <v>-65.38</v>
          </cell>
        </row>
        <row r="272">
          <cell r="D272" t="str">
            <v>KHIM RATANA</v>
          </cell>
          <cell r="E272">
            <v>-127.66</v>
          </cell>
          <cell r="F272">
            <v>-127.66</v>
          </cell>
        </row>
        <row r="273">
          <cell r="D273" t="str">
            <v>KOY SOPHEA</v>
          </cell>
          <cell r="E273">
            <v>-475.26</v>
          </cell>
          <cell r="F273">
            <v>-475.26</v>
          </cell>
        </row>
        <row r="274">
          <cell r="D274" t="str">
            <v>PAY CHHENG HOW</v>
          </cell>
          <cell r="E274">
            <v>-195.9</v>
          </cell>
          <cell r="F274">
            <v>-195.9</v>
          </cell>
        </row>
        <row r="275">
          <cell r="D275" t="str">
            <v>MEL SOPHANNA</v>
          </cell>
          <cell r="E275">
            <v>-117.54</v>
          </cell>
          <cell r="F275">
            <v>-117.54</v>
          </cell>
        </row>
        <row r="276">
          <cell r="D276" t="str">
            <v>CHHUN VIRAK</v>
          </cell>
          <cell r="E276">
            <v>-146.83000000000001</v>
          </cell>
          <cell r="F276">
            <v>-146.83000000000001</v>
          </cell>
        </row>
        <row r="277">
          <cell r="D277" t="str">
            <v>KIM NY</v>
          </cell>
          <cell r="E277">
            <v>-137.63</v>
          </cell>
          <cell r="F277">
            <v>-137.63</v>
          </cell>
        </row>
        <row r="278">
          <cell r="D278" t="str">
            <v>BUNCHHEOUN PHEAKDEY</v>
          </cell>
          <cell r="E278">
            <v>-82.17</v>
          </cell>
          <cell r="F278">
            <v>-82.17</v>
          </cell>
        </row>
        <row r="279">
          <cell r="D279" t="str">
            <v xml:space="preserve">KROEM VUTHY </v>
          </cell>
          <cell r="E279">
            <v>-276.98</v>
          </cell>
          <cell r="F279">
            <v>-276.98</v>
          </cell>
        </row>
        <row r="280">
          <cell r="D280" t="str">
            <v xml:space="preserve">SEANG KIMVISAL </v>
          </cell>
          <cell r="E280">
            <v>-1.29</v>
          </cell>
          <cell r="F280">
            <v>-1.29</v>
          </cell>
        </row>
        <row r="281">
          <cell r="D281" t="str">
            <v>HEANG KHEANG</v>
          </cell>
          <cell r="E281">
            <v>-5.48</v>
          </cell>
          <cell r="F281">
            <v>-5.48</v>
          </cell>
        </row>
        <row r="282">
          <cell r="D282" t="str">
            <v>HORNG BUNNARA</v>
          </cell>
          <cell r="E282">
            <v>-19.28</v>
          </cell>
          <cell r="F282">
            <v>-19.28</v>
          </cell>
        </row>
        <row r="283">
          <cell r="D283" t="str">
            <v>MOM SOKHAPHIRUM</v>
          </cell>
          <cell r="E283">
            <v>-145.83000000000001</v>
          </cell>
          <cell r="F283">
            <v>-145.83000000000001</v>
          </cell>
        </row>
        <row r="284">
          <cell r="D284" t="str">
            <v>LOV SOPHANIT</v>
          </cell>
          <cell r="E284">
            <v>-125</v>
          </cell>
          <cell r="F284">
            <v>-125</v>
          </cell>
        </row>
        <row r="285">
          <cell r="D285" t="str">
            <v>TIENG SENGLY</v>
          </cell>
          <cell r="E285">
            <v>-211.19</v>
          </cell>
          <cell r="F285">
            <v>-211.19</v>
          </cell>
        </row>
        <row r="286">
          <cell r="D286" t="str">
            <v>YUN YURY</v>
          </cell>
          <cell r="E286">
            <v>-17.12</v>
          </cell>
          <cell r="F286">
            <v>-17.12</v>
          </cell>
        </row>
        <row r="287">
          <cell r="D287" t="str">
            <v>HOK ATHERIDDH</v>
          </cell>
          <cell r="E287">
            <v>-44.13</v>
          </cell>
          <cell r="F287">
            <v>-44.13</v>
          </cell>
        </row>
        <row r="288">
          <cell r="D288" t="str">
            <v>SENG VANNA</v>
          </cell>
          <cell r="E288">
            <v>-213.65</v>
          </cell>
          <cell r="F288">
            <v>-213.65</v>
          </cell>
        </row>
        <row r="289">
          <cell r="D289" t="str">
            <v>SAY VUTHY</v>
          </cell>
          <cell r="E289">
            <v>-197.33</v>
          </cell>
          <cell r="F289">
            <v>-197.33</v>
          </cell>
        </row>
        <row r="290">
          <cell r="D290" t="str">
            <v>VONG RADY</v>
          </cell>
          <cell r="E290">
            <v>-216.74</v>
          </cell>
          <cell r="F290">
            <v>-216.74</v>
          </cell>
        </row>
        <row r="291">
          <cell r="D291" t="str">
            <v>TANG CHHOEUN</v>
          </cell>
          <cell r="E291">
            <v>-621.94000000000005</v>
          </cell>
          <cell r="F291">
            <v>-621.94000000000005</v>
          </cell>
        </row>
        <row r="292">
          <cell r="D292" t="str">
            <v>KONG SAVATH</v>
          </cell>
          <cell r="E292">
            <v>-133.68</v>
          </cell>
          <cell r="F292">
            <v>-133.68</v>
          </cell>
        </row>
        <row r="293">
          <cell r="D293" t="str">
            <v>SARETH BORAMY</v>
          </cell>
          <cell r="E293">
            <v>-1128.0999999999999</v>
          </cell>
          <cell r="F293">
            <v>-1128.0999999999999</v>
          </cell>
        </row>
        <row r="294">
          <cell r="D294" t="str">
            <v>HAP SARATH</v>
          </cell>
          <cell r="E294">
            <v>-131.31</v>
          </cell>
          <cell r="F294">
            <v>-131.31</v>
          </cell>
        </row>
        <row r="295">
          <cell r="D295" t="str">
            <v>CHEA LONG</v>
          </cell>
          <cell r="E295">
            <v>-116.63</v>
          </cell>
          <cell r="F295">
            <v>-116.63</v>
          </cell>
        </row>
        <row r="296">
          <cell r="D296" t="str">
            <v>UK OUDOM</v>
          </cell>
          <cell r="E296">
            <v>-279.01</v>
          </cell>
          <cell r="F296">
            <v>-279.01</v>
          </cell>
        </row>
        <row r="297">
          <cell r="D297" t="str">
            <v>SUN SITHAN</v>
          </cell>
          <cell r="E297">
            <v>-89.51</v>
          </cell>
          <cell r="F297">
            <v>-89.51</v>
          </cell>
        </row>
        <row r="298">
          <cell r="D298" t="str">
            <v>THET PHANITH</v>
          </cell>
          <cell r="E298">
            <v>-120.17</v>
          </cell>
          <cell r="F298">
            <v>-120.17</v>
          </cell>
        </row>
        <row r="299">
          <cell r="D299" t="str">
            <v>LOR SUYHOR</v>
          </cell>
          <cell r="E299">
            <v>-242.67</v>
          </cell>
          <cell r="F299">
            <v>-242.67</v>
          </cell>
        </row>
        <row r="300">
          <cell r="D300" t="str">
            <v>PHUN BANDITH</v>
          </cell>
          <cell r="E300">
            <v>-42.07</v>
          </cell>
          <cell r="F300">
            <v>-42.07</v>
          </cell>
        </row>
        <row r="301">
          <cell r="D301" t="str">
            <v>SON SOPHORS</v>
          </cell>
          <cell r="E301">
            <v>-176.29</v>
          </cell>
          <cell r="F301">
            <v>-176.29</v>
          </cell>
        </row>
        <row r="302">
          <cell r="D302" t="str">
            <v>DANH SOVONG</v>
          </cell>
          <cell r="E302">
            <v>-128.19999999999999</v>
          </cell>
          <cell r="F302">
            <v>-128.19999999999999</v>
          </cell>
        </row>
        <row r="303">
          <cell r="D303" t="str">
            <v xml:space="preserve">DANH SOVONG </v>
          </cell>
          <cell r="E303">
            <v>-57.75</v>
          </cell>
          <cell r="F303">
            <v>-57.75</v>
          </cell>
        </row>
        <row r="304">
          <cell r="D304" t="str">
            <v>MEN BORAN</v>
          </cell>
          <cell r="E304">
            <v>-6.26</v>
          </cell>
          <cell r="F304">
            <v>-6.26</v>
          </cell>
        </row>
        <row r="305">
          <cell r="D305" t="str">
            <v>PIN SOK HUN</v>
          </cell>
          <cell r="E305">
            <v>-48.26</v>
          </cell>
          <cell r="F305">
            <v>-48.26</v>
          </cell>
        </row>
        <row r="306">
          <cell r="D306" t="str">
            <v>NONG KARADEN</v>
          </cell>
          <cell r="E306">
            <v>-367.66</v>
          </cell>
          <cell r="F306">
            <v>-367.66</v>
          </cell>
        </row>
        <row r="307">
          <cell r="D307" t="str">
            <v>HOK PHAN</v>
          </cell>
          <cell r="E307">
            <v>-402.84</v>
          </cell>
          <cell r="F307">
            <v>-402.84</v>
          </cell>
        </row>
        <row r="308">
          <cell r="D308" t="str">
            <v>HOK PHAN</v>
          </cell>
          <cell r="E308">
            <v>-1804.43</v>
          </cell>
          <cell r="F308">
            <v>-1804.43</v>
          </cell>
        </row>
        <row r="309">
          <cell r="D309" t="str">
            <v>HOK PHAN</v>
          </cell>
          <cell r="E309">
            <v>-138.04</v>
          </cell>
          <cell r="F309">
            <v>-138.04</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9.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printerSettings" Target="../printerSettings/printerSettings30.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77.bin"/><Relationship Id="rId13" Type="http://schemas.openxmlformats.org/officeDocument/2006/relationships/printerSettings" Target="../printerSettings/printerSettings282.bin"/><Relationship Id="rId18" Type="http://schemas.openxmlformats.org/officeDocument/2006/relationships/printerSettings" Target="../printerSettings/printerSettings287.bin"/><Relationship Id="rId26" Type="http://schemas.openxmlformats.org/officeDocument/2006/relationships/printerSettings" Target="../printerSettings/printerSettings295.bin"/><Relationship Id="rId3" Type="http://schemas.openxmlformats.org/officeDocument/2006/relationships/printerSettings" Target="../printerSettings/printerSettings272.bin"/><Relationship Id="rId21" Type="http://schemas.openxmlformats.org/officeDocument/2006/relationships/printerSettings" Target="../printerSettings/printerSettings290.bin"/><Relationship Id="rId7" Type="http://schemas.openxmlformats.org/officeDocument/2006/relationships/printerSettings" Target="../printerSettings/printerSettings276.bin"/><Relationship Id="rId12" Type="http://schemas.openxmlformats.org/officeDocument/2006/relationships/printerSettings" Target="../printerSettings/printerSettings281.bin"/><Relationship Id="rId17" Type="http://schemas.openxmlformats.org/officeDocument/2006/relationships/printerSettings" Target="../printerSettings/printerSettings286.bin"/><Relationship Id="rId25" Type="http://schemas.openxmlformats.org/officeDocument/2006/relationships/printerSettings" Target="../printerSettings/printerSettings294.bin"/><Relationship Id="rId2" Type="http://schemas.openxmlformats.org/officeDocument/2006/relationships/printerSettings" Target="../printerSettings/printerSettings271.bin"/><Relationship Id="rId16" Type="http://schemas.openxmlformats.org/officeDocument/2006/relationships/printerSettings" Target="../printerSettings/printerSettings285.bin"/><Relationship Id="rId20" Type="http://schemas.openxmlformats.org/officeDocument/2006/relationships/printerSettings" Target="../printerSettings/printerSettings289.bin"/><Relationship Id="rId29" Type="http://schemas.openxmlformats.org/officeDocument/2006/relationships/printerSettings" Target="../printerSettings/printerSettings298.bin"/><Relationship Id="rId1" Type="http://schemas.openxmlformats.org/officeDocument/2006/relationships/printerSettings" Target="../printerSettings/printerSettings270.bin"/><Relationship Id="rId6" Type="http://schemas.openxmlformats.org/officeDocument/2006/relationships/printerSettings" Target="../printerSettings/printerSettings275.bin"/><Relationship Id="rId11" Type="http://schemas.openxmlformats.org/officeDocument/2006/relationships/printerSettings" Target="../printerSettings/printerSettings280.bin"/><Relationship Id="rId24" Type="http://schemas.openxmlformats.org/officeDocument/2006/relationships/printerSettings" Target="../printerSettings/printerSettings293.bin"/><Relationship Id="rId5" Type="http://schemas.openxmlformats.org/officeDocument/2006/relationships/printerSettings" Target="../printerSettings/printerSettings274.bin"/><Relationship Id="rId15" Type="http://schemas.openxmlformats.org/officeDocument/2006/relationships/printerSettings" Target="../printerSettings/printerSettings284.bin"/><Relationship Id="rId23" Type="http://schemas.openxmlformats.org/officeDocument/2006/relationships/printerSettings" Target="../printerSettings/printerSettings292.bin"/><Relationship Id="rId28" Type="http://schemas.openxmlformats.org/officeDocument/2006/relationships/printerSettings" Target="../printerSettings/printerSettings297.bin"/><Relationship Id="rId10" Type="http://schemas.openxmlformats.org/officeDocument/2006/relationships/printerSettings" Target="../printerSettings/printerSettings279.bin"/><Relationship Id="rId19" Type="http://schemas.openxmlformats.org/officeDocument/2006/relationships/printerSettings" Target="../printerSettings/printerSettings288.bin"/><Relationship Id="rId4" Type="http://schemas.openxmlformats.org/officeDocument/2006/relationships/printerSettings" Target="../printerSettings/printerSettings273.bin"/><Relationship Id="rId9" Type="http://schemas.openxmlformats.org/officeDocument/2006/relationships/printerSettings" Target="../printerSettings/printerSettings278.bin"/><Relationship Id="rId14" Type="http://schemas.openxmlformats.org/officeDocument/2006/relationships/printerSettings" Target="../printerSettings/printerSettings283.bin"/><Relationship Id="rId22" Type="http://schemas.openxmlformats.org/officeDocument/2006/relationships/printerSettings" Target="../printerSettings/printerSettings291.bin"/><Relationship Id="rId27" Type="http://schemas.openxmlformats.org/officeDocument/2006/relationships/printerSettings" Target="../printerSettings/printerSettings296.bin"/><Relationship Id="rId30" Type="http://schemas.openxmlformats.org/officeDocument/2006/relationships/printerSettings" Target="../printerSettings/printerSettings299.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307.bin"/><Relationship Id="rId13" Type="http://schemas.openxmlformats.org/officeDocument/2006/relationships/printerSettings" Target="../printerSettings/printerSettings312.bin"/><Relationship Id="rId18" Type="http://schemas.openxmlformats.org/officeDocument/2006/relationships/printerSettings" Target="../printerSettings/printerSettings317.bin"/><Relationship Id="rId26" Type="http://schemas.openxmlformats.org/officeDocument/2006/relationships/printerSettings" Target="../printerSettings/printerSettings325.bin"/><Relationship Id="rId3" Type="http://schemas.openxmlformats.org/officeDocument/2006/relationships/printerSettings" Target="../printerSettings/printerSettings302.bin"/><Relationship Id="rId21" Type="http://schemas.openxmlformats.org/officeDocument/2006/relationships/printerSettings" Target="../printerSettings/printerSettings320.bin"/><Relationship Id="rId7" Type="http://schemas.openxmlformats.org/officeDocument/2006/relationships/printerSettings" Target="../printerSettings/printerSettings306.bin"/><Relationship Id="rId12" Type="http://schemas.openxmlformats.org/officeDocument/2006/relationships/printerSettings" Target="../printerSettings/printerSettings311.bin"/><Relationship Id="rId17" Type="http://schemas.openxmlformats.org/officeDocument/2006/relationships/printerSettings" Target="../printerSettings/printerSettings316.bin"/><Relationship Id="rId25" Type="http://schemas.openxmlformats.org/officeDocument/2006/relationships/printerSettings" Target="../printerSettings/printerSettings324.bin"/><Relationship Id="rId2" Type="http://schemas.openxmlformats.org/officeDocument/2006/relationships/printerSettings" Target="../printerSettings/printerSettings301.bin"/><Relationship Id="rId16" Type="http://schemas.openxmlformats.org/officeDocument/2006/relationships/printerSettings" Target="../printerSettings/printerSettings315.bin"/><Relationship Id="rId20" Type="http://schemas.openxmlformats.org/officeDocument/2006/relationships/printerSettings" Target="../printerSettings/printerSettings319.bin"/><Relationship Id="rId29" Type="http://schemas.openxmlformats.org/officeDocument/2006/relationships/printerSettings" Target="../printerSettings/printerSettings328.bin"/><Relationship Id="rId1" Type="http://schemas.openxmlformats.org/officeDocument/2006/relationships/printerSettings" Target="../printerSettings/printerSettings300.bin"/><Relationship Id="rId6" Type="http://schemas.openxmlformats.org/officeDocument/2006/relationships/printerSettings" Target="../printerSettings/printerSettings305.bin"/><Relationship Id="rId11" Type="http://schemas.openxmlformats.org/officeDocument/2006/relationships/printerSettings" Target="../printerSettings/printerSettings310.bin"/><Relationship Id="rId24" Type="http://schemas.openxmlformats.org/officeDocument/2006/relationships/printerSettings" Target="../printerSettings/printerSettings323.bin"/><Relationship Id="rId5" Type="http://schemas.openxmlformats.org/officeDocument/2006/relationships/printerSettings" Target="../printerSettings/printerSettings304.bin"/><Relationship Id="rId15" Type="http://schemas.openxmlformats.org/officeDocument/2006/relationships/printerSettings" Target="../printerSettings/printerSettings314.bin"/><Relationship Id="rId23" Type="http://schemas.openxmlformats.org/officeDocument/2006/relationships/printerSettings" Target="../printerSettings/printerSettings322.bin"/><Relationship Id="rId28" Type="http://schemas.openxmlformats.org/officeDocument/2006/relationships/printerSettings" Target="../printerSettings/printerSettings327.bin"/><Relationship Id="rId10" Type="http://schemas.openxmlformats.org/officeDocument/2006/relationships/printerSettings" Target="../printerSettings/printerSettings309.bin"/><Relationship Id="rId19" Type="http://schemas.openxmlformats.org/officeDocument/2006/relationships/printerSettings" Target="../printerSettings/printerSettings318.bin"/><Relationship Id="rId4" Type="http://schemas.openxmlformats.org/officeDocument/2006/relationships/printerSettings" Target="../printerSettings/printerSettings303.bin"/><Relationship Id="rId9" Type="http://schemas.openxmlformats.org/officeDocument/2006/relationships/printerSettings" Target="../printerSettings/printerSettings308.bin"/><Relationship Id="rId14" Type="http://schemas.openxmlformats.org/officeDocument/2006/relationships/printerSettings" Target="../printerSettings/printerSettings313.bin"/><Relationship Id="rId22" Type="http://schemas.openxmlformats.org/officeDocument/2006/relationships/printerSettings" Target="../printerSettings/printerSettings321.bin"/><Relationship Id="rId27" Type="http://schemas.openxmlformats.org/officeDocument/2006/relationships/printerSettings" Target="../printerSettings/printerSettings326.bin"/><Relationship Id="rId30" Type="http://schemas.openxmlformats.org/officeDocument/2006/relationships/printerSettings" Target="../printerSettings/printerSettings32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337.bin"/><Relationship Id="rId13" Type="http://schemas.openxmlformats.org/officeDocument/2006/relationships/printerSettings" Target="../printerSettings/printerSettings342.bin"/><Relationship Id="rId18" Type="http://schemas.openxmlformats.org/officeDocument/2006/relationships/printerSettings" Target="../printerSettings/printerSettings347.bin"/><Relationship Id="rId26" Type="http://schemas.openxmlformats.org/officeDocument/2006/relationships/printerSettings" Target="../printerSettings/printerSettings355.bin"/><Relationship Id="rId3" Type="http://schemas.openxmlformats.org/officeDocument/2006/relationships/printerSettings" Target="../printerSettings/printerSettings332.bin"/><Relationship Id="rId21" Type="http://schemas.openxmlformats.org/officeDocument/2006/relationships/printerSettings" Target="../printerSettings/printerSettings350.bin"/><Relationship Id="rId7" Type="http://schemas.openxmlformats.org/officeDocument/2006/relationships/printerSettings" Target="../printerSettings/printerSettings336.bin"/><Relationship Id="rId12" Type="http://schemas.openxmlformats.org/officeDocument/2006/relationships/printerSettings" Target="../printerSettings/printerSettings341.bin"/><Relationship Id="rId17" Type="http://schemas.openxmlformats.org/officeDocument/2006/relationships/printerSettings" Target="../printerSettings/printerSettings346.bin"/><Relationship Id="rId25" Type="http://schemas.openxmlformats.org/officeDocument/2006/relationships/printerSettings" Target="../printerSettings/printerSettings354.bin"/><Relationship Id="rId2" Type="http://schemas.openxmlformats.org/officeDocument/2006/relationships/printerSettings" Target="../printerSettings/printerSettings331.bin"/><Relationship Id="rId16" Type="http://schemas.openxmlformats.org/officeDocument/2006/relationships/printerSettings" Target="../printerSettings/printerSettings345.bin"/><Relationship Id="rId20" Type="http://schemas.openxmlformats.org/officeDocument/2006/relationships/printerSettings" Target="../printerSettings/printerSettings349.bin"/><Relationship Id="rId29" Type="http://schemas.openxmlformats.org/officeDocument/2006/relationships/printerSettings" Target="../printerSettings/printerSettings358.bin"/><Relationship Id="rId1" Type="http://schemas.openxmlformats.org/officeDocument/2006/relationships/printerSettings" Target="../printerSettings/printerSettings330.bin"/><Relationship Id="rId6" Type="http://schemas.openxmlformats.org/officeDocument/2006/relationships/printerSettings" Target="../printerSettings/printerSettings335.bin"/><Relationship Id="rId11" Type="http://schemas.openxmlformats.org/officeDocument/2006/relationships/printerSettings" Target="../printerSettings/printerSettings340.bin"/><Relationship Id="rId24" Type="http://schemas.openxmlformats.org/officeDocument/2006/relationships/printerSettings" Target="../printerSettings/printerSettings353.bin"/><Relationship Id="rId5" Type="http://schemas.openxmlformats.org/officeDocument/2006/relationships/printerSettings" Target="../printerSettings/printerSettings334.bin"/><Relationship Id="rId15" Type="http://schemas.openxmlformats.org/officeDocument/2006/relationships/printerSettings" Target="../printerSettings/printerSettings344.bin"/><Relationship Id="rId23" Type="http://schemas.openxmlformats.org/officeDocument/2006/relationships/printerSettings" Target="../printerSettings/printerSettings352.bin"/><Relationship Id="rId28" Type="http://schemas.openxmlformats.org/officeDocument/2006/relationships/printerSettings" Target="../printerSettings/printerSettings357.bin"/><Relationship Id="rId10" Type="http://schemas.openxmlformats.org/officeDocument/2006/relationships/printerSettings" Target="../printerSettings/printerSettings339.bin"/><Relationship Id="rId19" Type="http://schemas.openxmlformats.org/officeDocument/2006/relationships/printerSettings" Target="../printerSettings/printerSettings348.bin"/><Relationship Id="rId4" Type="http://schemas.openxmlformats.org/officeDocument/2006/relationships/printerSettings" Target="../printerSettings/printerSettings333.bin"/><Relationship Id="rId9" Type="http://schemas.openxmlformats.org/officeDocument/2006/relationships/printerSettings" Target="../printerSettings/printerSettings338.bin"/><Relationship Id="rId14" Type="http://schemas.openxmlformats.org/officeDocument/2006/relationships/printerSettings" Target="../printerSettings/printerSettings343.bin"/><Relationship Id="rId22" Type="http://schemas.openxmlformats.org/officeDocument/2006/relationships/printerSettings" Target="../printerSettings/printerSettings351.bin"/><Relationship Id="rId27" Type="http://schemas.openxmlformats.org/officeDocument/2006/relationships/printerSettings" Target="../printerSettings/printerSettings356.bin"/><Relationship Id="rId30" Type="http://schemas.openxmlformats.org/officeDocument/2006/relationships/printerSettings" Target="../printerSettings/printerSettings35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8.bin"/><Relationship Id="rId13" Type="http://schemas.openxmlformats.org/officeDocument/2006/relationships/printerSettings" Target="../printerSettings/printerSettings43.bin"/><Relationship Id="rId18" Type="http://schemas.openxmlformats.org/officeDocument/2006/relationships/printerSettings" Target="../printerSettings/printerSettings48.bin"/><Relationship Id="rId26" Type="http://schemas.openxmlformats.org/officeDocument/2006/relationships/printerSettings" Target="../printerSettings/printerSettings56.bin"/><Relationship Id="rId3" Type="http://schemas.openxmlformats.org/officeDocument/2006/relationships/printerSettings" Target="../printerSettings/printerSettings33.bin"/><Relationship Id="rId21" Type="http://schemas.openxmlformats.org/officeDocument/2006/relationships/printerSettings" Target="../printerSettings/printerSettings51.bin"/><Relationship Id="rId7" Type="http://schemas.openxmlformats.org/officeDocument/2006/relationships/printerSettings" Target="../printerSettings/printerSettings37.bin"/><Relationship Id="rId12" Type="http://schemas.openxmlformats.org/officeDocument/2006/relationships/printerSettings" Target="../printerSettings/printerSettings42.bin"/><Relationship Id="rId17" Type="http://schemas.openxmlformats.org/officeDocument/2006/relationships/printerSettings" Target="../printerSettings/printerSettings47.bin"/><Relationship Id="rId25" Type="http://schemas.openxmlformats.org/officeDocument/2006/relationships/printerSettings" Target="../printerSettings/printerSettings55.bin"/><Relationship Id="rId2" Type="http://schemas.openxmlformats.org/officeDocument/2006/relationships/printerSettings" Target="../printerSettings/printerSettings32.bin"/><Relationship Id="rId16" Type="http://schemas.openxmlformats.org/officeDocument/2006/relationships/printerSettings" Target="../printerSettings/printerSettings46.bin"/><Relationship Id="rId20" Type="http://schemas.openxmlformats.org/officeDocument/2006/relationships/printerSettings" Target="../printerSettings/printerSettings50.bin"/><Relationship Id="rId29" Type="http://schemas.openxmlformats.org/officeDocument/2006/relationships/printerSettings" Target="../printerSettings/printerSettings59.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11" Type="http://schemas.openxmlformats.org/officeDocument/2006/relationships/printerSettings" Target="../printerSettings/printerSettings41.bin"/><Relationship Id="rId24" Type="http://schemas.openxmlformats.org/officeDocument/2006/relationships/printerSettings" Target="../printerSettings/printerSettings54.bin"/><Relationship Id="rId5" Type="http://schemas.openxmlformats.org/officeDocument/2006/relationships/printerSettings" Target="../printerSettings/printerSettings35.bin"/><Relationship Id="rId15" Type="http://schemas.openxmlformats.org/officeDocument/2006/relationships/printerSettings" Target="../printerSettings/printerSettings45.bin"/><Relationship Id="rId23" Type="http://schemas.openxmlformats.org/officeDocument/2006/relationships/printerSettings" Target="../printerSettings/printerSettings53.bin"/><Relationship Id="rId28" Type="http://schemas.openxmlformats.org/officeDocument/2006/relationships/printerSettings" Target="../printerSettings/printerSettings58.bin"/><Relationship Id="rId10" Type="http://schemas.openxmlformats.org/officeDocument/2006/relationships/printerSettings" Target="../printerSettings/printerSettings40.bin"/><Relationship Id="rId19" Type="http://schemas.openxmlformats.org/officeDocument/2006/relationships/printerSettings" Target="../printerSettings/printerSettings49.bin"/><Relationship Id="rId4" Type="http://schemas.openxmlformats.org/officeDocument/2006/relationships/printerSettings" Target="../printerSettings/printerSettings34.bin"/><Relationship Id="rId9" Type="http://schemas.openxmlformats.org/officeDocument/2006/relationships/printerSettings" Target="../printerSettings/printerSettings39.bin"/><Relationship Id="rId14" Type="http://schemas.openxmlformats.org/officeDocument/2006/relationships/printerSettings" Target="../printerSettings/printerSettings44.bin"/><Relationship Id="rId22" Type="http://schemas.openxmlformats.org/officeDocument/2006/relationships/printerSettings" Target="../printerSettings/printerSettings52.bin"/><Relationship Id="rId27" Type="http://schemas.openxmlformats.org/officeDocument/2006/relationships/printerSettings" Target="../printerSettings/printerSettings57.bin"/><Relationship Id="rId30" Type="http://schemas.openxmlformats.org/officeDocument/2006/relationships/printerSettings" Target="../printerSettings/printerSettings6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68.bin"/><Relationship Id="rId13" Type="http://schemas.openxmlformats.org/officeDocument/2006/relationships/printerSettings" Target="../printerSettings/printerSettings73.bin"/><Relationship Id="rId18" Type="http://schemas.openxmlformats.org/officeDocument/2006/relationships/printerSettings" Target="../printerSettings/printerSettings78.bin"/><Relationship Id="rId26" Type="http://schemas.openxmlformats.org/officeDocument/2006/relationships/printerSettings" Target="../printerSettings/printerSettings86.bin"/><Relationship Id="rId3" Type="http://schemas.openxmlformats.org/officeDocument/2006/relationships/printerSettings" Target="../printerSettings/printerSettings63.bin"/><Relationship Id="rId21" Type="http://schemas.openxmlformats.org/officeDocument/2006/relationships/printerSettings" Target="../printerSettings/printerSettings81.bin"/><Relationship Id="rId7" Type="http://schemas.openxmlformats.org/officeDocument/2006/relationships/printerSettings" Target="../printerSettings/printerSettings67.bin"/><Relationship Id="rId12" Type="http://schemas.openxmlformats.org/officeDocument/2006/relationships/printerSettings" Target="../printerSettings/printerSettings72.bin"/><Relationship Id="rId17" Type="http://schemas.openxmlformats.org/officeDocument/2006/relationships/printerSettings" Target="../printerSettings/printerSettings77.bin"/><Relationship Id="rId25" Type="http://schemas.openxmlformats.org/officeDocument/2006/relationships/printerSettings" Target="../printerSettings/printerSettings85.bin"/><Relationship Id="rId2" Type="http://schemas.openxmlformats.org/officeDocument/2006/relationships/printerSettings" Target="../printerSettings/printerSettings62.bin"/><Relationship Id="rId16" Type="http://schemas.openxmlformats.org/officeDocument/2006/relationships/printerSettings" Target="../printerSettings/printerSettings76.bin"/><Relationship Id="rId20" Type="http://schemas.openxmlformats.org/officeDocument/2006/relationships/printerSettings" Target="../printerSettings/printerSettings80.bin"/><Relationship Id="rId29" Type="http://schemas.openxmlformats.org/officeDocument/2006/relationships/printerSettings" Target="../printerSettings/printerSettings89.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11" Type="http://schemas.openxmlformats.org/officeDocument/2006/relationships/printerSettings" Target="../printerSettings/printerSettings71.bin"/><Relationship Id="rId24" Type="http://schemas.openxmlformats.org/officeDocument/2006/relationships/printerSettings" Target="../printerSettings/printerSettings84.bin"/><Relationship Id="rId5" Type="http://schemas.openxmlformats.org/officeDocument/2006/relationships/printerSettings" Target="../printerSettings/printerSettings65.bin"/><Relationship Id="rId15" Type="http://schemas.openxmlformats.org/officeDocument/2006/relationships/printerSettings" Target="../printerSettings/printerSettings75.bin"/><Relationship Id="rId23" Type="http://schemas.openxmlformats.org/officeDocument/2006/relationships/printerSettings" Target="../printerSettings/printerSettings83.bin"/><Relationship Id="rId28" Type="http://schemas.openxmlformats.org/officeDocument/2006/relationships/printerSettings" Target="../printerSettings/printerSettings88.bin"/><Relationship Id="rId10" Type="http://schemas.openxmlformats.org/officeDocument/2006/relationships/printerSettings" Target="../printerSettings/printerSettings70.bin"/><Relationship Id="rId19" Type="http://schemas.openxmlformats.org/officeDocument/2006/relationships/printerSettings" Target="../printerSettings/printerSettings79.bin"/><Relationship Id="rId31" Type="http://schemas.openxmlformats.org/officeDocument/2006/relationships/drawing" Target="../drawings/drawing1.xml"/><Relationship Id="rId4" Type="http://schemas.openxmlformats.org/officeDocument/2006/relationships/printerSettings" Target="../printerSettings/printerSettings64.bin"/><Relationship Id="rId9" Type="http://schemas.openxmlformats.org/officeDocument/2006/relationships/printerSettings" Target="../printerSettings/printerSettings69.bin"/><Relationship Id="rId14" Type="http://schemas.openxmlformats.org/officeDocument/2006/relationships/printerSettings" Target="../printerSettings/printerSettings74.bin"/><Relationship Id="rId22" Type="http://schemas.openxmlformats.org/officeDocument/2006/relationships/printerSettings" Target="../printerSettings/printerSettings82.bin"/><Relationship Id="rId27" Type="http://schemas.openxmlformats.org/officeDocument/2006/relationships/printerSettings" Target="../printerSettings/printerSettings87.bin"/><Relationship Id="rId30" Type="http://schemas.openxmlformats.org/officeDocument/2006/relationships/printerSettings" Target="../printerSettings/printerSettings9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98.bin"/><Relationship Id="rId13" Type="http://schemas.openxmlformats.org/officeDocument/2006/relationships/printerSettings" Target="../printerSettings/printerSettings103.bin"/><Relationship Id="rId18" Type="http://schemas.openxmlformats.org/officeDocument/2006/relationships/printerSettings" Target="../printerSettings/printerSettings108.bin"/><Relationship Id="rId26" Type="http://schemas.openxmlformats.org/officeDocument/2006/relationships/printerSettings" Target="../printerSettings/printerSettings116.bin"/><Relationship Id="rId3" Type="http://schemas.openxmlformats.org/officeDocument/2006/relationships/printerSettings" Target="../printerSettings/printerSettings93.bin"/><Relationship Id="rId21" Type="http://schemas.openxmlformats.org/officeDocument/2006/relationships/printerSettings" Target="../printerSettings/printerSettings111.bin"/><Relationship Id="rId7" Type="http://schemas.openxmlformats.org/officeDocument/2006/relationships/printerSettings" Target="../printerSettings/printerSettings97.bin"/><Relationship Id="rId12" Type="http://schemas.openxmlformats.org/officeDocument/2006/relationships/printerSettings" Target="../printerSettings/printerSettings102.bin"/><Relationship Id="rId17" Type="http://schemas.openxmlformats.org/officeDocument/2006/relationships/printerSettings" Target="../printerSettings/printerSettings107.bin"/><Relationship Id="rId25" Type="http://schemas.openxmlformats.org/officeDocument/2006/relationships/printerSettings" Target="../printerSettings/printerSettings115.bin"/><Relationship Id="rId2" Type="http://schemas.openxmlformats.org/officeDocument/2006/relationships/printerSettings" Target="../printerSettings/printerSettings92.bin"/><Relationship Id="rId16" Type="http://schemas.openxmlformats.org/officeDocument/2006/relationships/printerSettings" Target="../printerSettings/printerSettings106.bin"/><Relationship Id="rId20" Type="http://schemas.openxmlformats.org/officeDocument/2006/relationships/printerSettings" Target="../printerSettings/printerSettings110.bin"/><Relationship Id="rId29" Type="http://schemas.openxmlformats.org/officeDocument/2006/relationships/printerSettings" Target="../printerSettings/printerSettings119.bin"/><Relationship Id="rId1" Type="http://schemas.openxmlformats.org/officeDocument/2006/relationships/printerSettings" Target="../printerSettings/printerSettings91.bin"/><Relationship Id="rId6" Type="http://schemas.openxmlformats.org/officeDocument/2006/relationships/printerSettings" Target="../printerSettings/printerSettings96.bin"/><Relationship Id="rId11" Type="http://schemas.openxmlformats.org/officeDocument/2006/relationships/printerSettings" Target="../printerSettings/printerSettings101.bin"/><Relationship Id="rId24" Type="http://schemas.openxmlformats.org/officeDocument/2006/relationships/printerSettings" Target="../printerSettings/printerSettings114.bin"/><Relationship Id="rId5" Type="http://schemas.openxmlformats.org/officeDocument/2006/relationships/printerSettings" Target="../printerSettings/printerSettings95.bin"/><Relationship Id="rId15" Type="http://schemas.openxmlformats.org/officeDocument/2006/relationships/printerSettings" Target="../printerSettings/printerSettings105.bin"/><Relationship Id="rId23" Type="http://schemas.openxmlformats.org/officeDocument/2006/relationships/printerSettings" Target="../printerSettings/printerSettings113.bin"/><Relationship Id="rId28" Type="http://schemas.openxmlformats.org/officeDocument/2006/relationships/printerSettings" Target="../printerSettings/printerSettings118.bin"/><Relationship Id="rId10" Type="http://schemas.openxmlformats.org/officeDocument/2006/relationships/printerSettings" Target="../printerSettings/printerSettings100.bin"/><Relationship Id="rId19" Type="http://schemas.openxmlformats.org/officeDocument/2006/relationships/printerSettings" Target="../printerSettings/printerSettings109.bin"/><Relationship Id="rId4" Type="http://schemas.openxmlformats.org/officeDocument/2006/relationships/printerSettings" Target="../printerSettings/printerSettings94.bin"/><Relationship Id="rId9" Type="http://schemas.openxmlformats.org/officeDocument/2006/relationships/printerSettings" Target="../printerSettings/printerSettings99.bin"/><Relationship Id="rId14" Type="http://schemas.openxmlformats.org/officeDocument/2006/relationships/printerSettings" Target="../printerSettings/printerSettings104.bin"/><Relationship Id="rId22" Type="http://schemas.openxmlformats.org/officeDocument/2006/relationships/printerSettings" Target="../printerSettings/printerSettings112.bin"/><Relationship Id="rId27" Type="http://schemas.openxmlformats.org/officeDocument/2006/relationships/printerSettings" Target="../printerSettings/printerSettings117.bin"/><Relationship Id="rId30" Type="http://schemas.openxmlformats.org/officeDocument/2006/relationships/printerSettings" Target="../printerSettings/printerSettings120.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28.bin"/><Relationship Id="rId13" Type="http://schemas.openxmlformats.org/officeDocument/2006/relationships/printerSettings" Target="../printerSettings/printerSettings133.bin"/><Relationship Id="rId18" Type="http://schemas.openxmlformats.org/officeDocument/2006/relationships/printerSettings" Target="../printerSettings/printerSettings138.bin"/><Relationship Id="rId26" Type="http://schemas.openxmlformats.org/officeDocument/2006/relationships/printerSettings" Target="../printerSettings/printerSettings146.bin"/><Relationship Id="rId3" Type="http://schemas.openxmlformats.org/officeDocument/2006/relationships/printerSettings" Target="../printerSettings/printerSettings123.bin"/><Relationship Id="rId21" Type="http://schemas.openxmlformats.org/officeDocument/2006/relationships/printerSettings" Target="../printerSettings/printerSettings141.bin"/><Relationship Id="rId7" Type="http://schemas.openxmlformats.org/officeDocument/2006/relationships/printerSettings" Target="../printerSettings/printerSettings127.bin"/><Relationship Id="rId12" Type="http://schemas.openxmlformats.org/officeDocument/2006/relationships/printerSettings" Target="../printerSettings/printerSettings132.bin"/><Relationship Id="rId17" Type="http://schemas.openxmlformats.org/officeDocument/2006/relationships/printerSettings" Target="../printerSettings/printerSettings137.bin"/><Relationship Id="rId25" Type="http://schemas.openxmlformats.org/officeDocument/2006/relationships/printerSettings" Target="../printerSettings/printerSettings145.bin"/><Relationship Id="rId2" Type="http://schemas.openxmlformats.org/officeDocument/2006/relationships/printerSettings" Target="../printerSettings/printerSettings122.bin"/><Relationship Id="rId16" Type="http://schemas.openxmlformats.org/officeDocument/2006/relationships/printerSettings" Target="../printerSettings/printerSettings136.bin"/><Relationship Id="rId20" Type="http://schemas.openxmlformats.org/officeDocument/2006/relationships/printerSettings" Target="../printerSettings/printerSettings140.bin"/><Relationship Id="rId29" Type="http://schemas.openxmlformats.org/officeDocument/2006/relationships/printerSettings" Target="../printerSettings/printerSettings149.bin"/><Relationship Id="rId1" Type="http://schemas.openxmlformats.org/officeDocument/2006/relationships/printerSettings" Target="../printerSettings/printerSettings121.bin"/><Relationship Id="rId6" Type="http://schemas.openxmlformats.org/officeDocument/2006/relationships/printerSettings" Target="../printerSettings/printerSettings126.bin"/><Relationship Id="rId11" Type="http://schemas.openxmlformats.org/officeDocument/2006/relationships/printerSettings" Target="../printerSettings/printerSettings131.bin"/><Relationship Id="rId24" Type="http://schemas.openxmlformats.org/officeDocument/2006/relationships/printerSettings" Target="../printerSettings/printerSettings144.bin"/><Relationship Id="rId5" Type="http://schemas.openxmlformats.org/officeDocument/2006/relationships/printerSettings" Target="../printerSettings/printerSettings125.bin"/><Relationship Id="rId15" Type="http://schemas.openxmlformats.org/officeDocument/2006/relationships/printerSettings" Target="../printerSettings/printerSettings135.bin"/><Relationship Id="rId23" Type="http://schemas.openxmlformats.org/officeDocument/2006/relationships/printerSettings" Target="../printerSettings/printerSettings143.bin"/><Relationship Id="rId28" Type="http://schemas.openxmlformats.org/officeDocument/2006/relationships/printerSettings" Target="../printerSettings/printerSettings148.bin"/><Relationship Id="rId10" Type="http://schemas.openxmlformats.org/officeDocument/2006/relationships/printerSettings" Target="../printerSettings/printerSettings130.bin"/><Relationship Id="rId19" Type="http://schemas.openxmlformats.org/officeDocument/2006/relationships/printerSettings" Target="../printerSettings/printerSettings139.bin"/><Relationship Id="rId4" Type="http://schemas.openxmlformats.org/officeDocument/2006/relationships/printerSettings" Target="../printerSettings/printerSettings124.bin"/><Relationship Id="rId9" Type="http://schemas.openxmlformats.org/officeDocument/2006/relationships/printerSettings" Target="../printerSettings/printerSettings129.bin"/><Relationship Id="rId14" Type="http://schemas.openxmlformats.org/officeDocument/2006/relationships/printerSettings" Target="../printerSettings/printerSettings134.bin"/><Relationship Id="rId22" Type="http://schemas.openxmlformats.org/officeDocument/2006/relationships/printerSettings" Target="../printerSettings/printerSettings142.bin"/><Relationship Id="rId27" Type="http://schemas.openxmlformats.org/officeDocument/2006/relationships/printerSettings" Target="../printerSettings/printerSettings147.bin"/><Relationship Id="rId30" Type="http://schemas.openxmlformats.org/officeDocument/2006/relationships/printerSettings" Target="../printerSettings/printerSettings150.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58.bin"/><Relationship Id="rId13" Type="http://schemas.openxmlformats.org/officeDocument/2006/relationships/printerSettings" Target="../printerSettings/printerSettings163.bin"/><Relationship Id="rId18" Type="http://schemas.openxmlformats.org/officeDocument/2006/relationships/printerSettings" Target="../printerSettings/printerSettings168.bin"/><Relationship Id="rId26" Type="http://schemas.openxmlformats.org/officeDocument/2006/relationships/printerSettings" Target="../printerSettings/printerSettings176.bin"/><Relationship Id="rId3" Type="http://schemas.openxmlformats.org/officeDocument/2006/relationships/printerSettings" Target="../printerSettings/printerSettings153.bin"/><Relationship Id="rId21" Type="http://schemas.openxmlformats.org/officeDocument/2006/relationships/printerSettings" Target="../printerSettings/printerSettings171.bin"/><Relationship Id="rId7" Type="http://schemas.openxmlformats.org/officeDocument/2006/relationships/printerSettings" Target="../printerSettings/printerSettings157.bin"/><Relationship Id="rId12" Type="http://schemas.openxmlformats.org/officeDocument/2006/relationships/printerSettings" Target="../printerSettings/printerSettings162.bin"/><Relationship Id="rId17" Type="http://schemas.openxmlformats.org/officeDocument/2006/relationships/printerSettings" Target="../printerSettings/printerSettings167.bin"/><Relationship Id="rId25" Type="http://schemas.openxmlformats.org/officeDocument/2006/relationships/printerSettings" Target="../printerSettings/printerSettings175.bin"/><Relationship Id="rId2" Type="http://schemas.openxmlformats.org/officeDocument/2006/relationships/printerSettings" Target="../printerSettings/printerSettings152.bin"/><Relationship Id="rId16" Type="http://schemas.openxmlformats.org/officeDocument/2006/relationships/printerSettings" Target="../printerSettings/printerSettings166.bin"/><Relationship Id="rId20" Type="http://schemas.openxmlformats.org/officeDocument/2006/relationships/printerSettings" Target="../printerSettings/printerSettings170.bin"/><Relationship Id="rId29" Type="http://schemas.openxmlformats.org/officeDocument/2006/relationships/printerSettings" Target="../printerSettings/printerSettings179.bin"/><Relationship Id="rId1" Type="http://schemas.openxmlformats.org/officeDocument/2006/relationships/printerSettings" Target="../printerSettings/printerSettings151.bin"/><Relationship Id="rId6" Type="http://schemas.openxmlformats.org/officeDocument/2006/relationships/printerSettings" Target="../printerSettings/printerSettings156.bin"/><Relationship Id="rId11" Type="http://schemas.openxmlformats.org/officeDocument/2006/relationships/printerSettings" Target="../printerSettings/printerSettings161.bin"/><Relationship Id="rId24" Type="http://schemas.openxmlformats.org/officeDocument/2006/relationships/printerSettings" Target="../printerSettings/printerSettings174.bin"/><Relationship Id="rId5" Type="http://schemas.openxmlformats.org/officeDocument/2006/relationships/printerSettings" Target="../printerSettings/printerSettings155.bin"/><Relationship Id="rId15" Type="http://schemas.openxmlformats.org/officeDocument/2006/relationships/printerSettings" Target="../printerSettings/printerSettings165.bin"/><Relationship Id="rId23" Type="http://schemas.openxmlformats.org/officeDocument/2006/relationships/printerSettings" Target="../printerSettings/printerSettings173.bin"/><Relationship Id="rId28" Type="http://schemas.openxmlformats.org/officeDocument/2006/relationships/printerSettings" Target="../printerSettings/printerSettings178.bin"/><Relationship Id="rId10" Type="http://schemas.openxmlformats.org/officeDocument/2006/relationships/printerSettings" Target="../printerSettings/printerSettings160.bin"/><Relationship Id="rId19" Type="http://schemas.openxmlformats.org/officeDocument/2006/relationships/printerSettings" Target="../printerSettings/printerSettings169.bin"/><Relationship Id="rId4" Type="http://schemas.openxmlformats.org/officeDocument/2006/relationships/printerSettings" Target="../printerSettings/printerSettings154.bin"/><Relationship Id="rId9" Type="http://schemas.openxmlformats.org/officeDocument/2006/relationships/printerSettings" Target="../printerSettings/printerSettings159.bin"/><Relationship Id="rId14" Type="http://schemas.openxmlformats.org/officeDocument/2006/relationships/printerSettings" Target="../printerSettings/printerSettings164.bin"/><Relationship Id="rId22" Type="http://schemas.openxmlformats.org/officeDocument/2006/relationships/printerSettings" Target="../printerSettings/printerSettings172.bin"/><Relationship Id="rId27" Type="http://schemas.openxmlformats.org/officeDocument/2006/relationships/printerSettings" Target="../printerSettings/printerSettings177.bin"/><Relationship Id="rId30" Type="http://schemas.openxmlformats.org/officeDocument/2006/relationships/printerSettings" Target="../printerSettings/printerSettings180.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88.bin"/><Relationship Id="rId13" Type="http://schemas.openxmlformats.org/officeDocument/2006/relationships/printerSettings" Target="../printerSettings/printerSettings193.bin"/><Relationship Id="rId18" Type="http://schemas.openxmlformats.org/officeDocument/2006/relationships/printerSettings" Target="../printerSettings/printerSettings198.bin"/><Relationship Id="rId26" Type="http://schemas.openxmlformats.org/officeDocument/2006/relationships/printerSettings" Target="../printerSettings/printerSettings206.bin"/><Relationship Id="rId3" Type="http://schemas.openxmlformats.org/officeDocument/2006/relationships/printerSettings" Target="../printerSettings/printerSettings183.bin"/><Relationship Id="rId21" Type="http://schemas.openxmlformats.org/officeDocument/2006/relationships/printerSettings" Target="../printerSettings/printerSettings201.bin"/><Relationship Id="rId7" Type="http://schemas.openxmlformats.org/officeDocument/2006/relationships/printerSettings" Target="../printerSettings/printerSettings187.bin"/><Relationship Id="rId12" Type="http://schemas.openxmlformats.org/officeDocument/2006/relationships/printerSettings" Target="../printerSettings/printerSettings192.bin"/><Relationship Id="rId17" Type="http://schemas.openxmlformats.org/officeDocument/2006/relationships/printerSettings" Target="../printerSettings/printerSettings197.bin"/><Relationship Id="rId25" Type="http://schemas.openxmlformats.org/officeDocument/2006/relationships/printerSettings" Target="../printerSettings/printerSettings205.bin"/><Relationship Id="rId2" Type="http://schemas.openxmlformats.org/officeDocument/2006/relationships/printerSettings" Target="../printerSettings/printerSettings182.bin"/><Relationship Id="rId16" Type="http://schemas.openxmlformats.org/officeDocument/2006/relationships/printerSettings" Target="../printerSettings/printerSettings196.bin"/><Relationship Id="rId20" Type="http://schemas.openxmlformats.org/officeDocument/2006/relationships/printerSettings" Target="../printerSettings/printerSettings200.bin"/><Relationship Id="rId29" Type="http://schemas.openxmlformats.org/officeDocument/2006/relationships/printerSettings" Target="../printerSettings/printerSettings209.bin"/><Relationship Id="rId1" Type="http://schemas.openxmlformats.org/officeDocument/2006/relationships/printerSettings" Target="../printerSettings/printerSettings181.bin"/><Relationship Id="rId6" Type="http://schemas.openxmlformats.org/officeDocument/2006/relationships/printerSettings" Target="../printerSettings/printerSettings186.bin"/><Relationship Id="rId11" Type="http://schemas.openxmlformats.org/officeDocument/2006/relationships/printerSettings" Target="../printerSettings/printerSettings191.bin"/><Relationship Id="rId24" Type="http://schemas.openxmlformats.org/officeDocument/2006/relationships/printerSettings" Target="../printerSettings/printerSettings204.bin"/><Relationship Id="rId5" Type="http://schemas.openxmlformats.org/officeDocument/2006/relationships/printerSettings" Target="../printerSettings/printerSettings185.bin"/><Relationship Id="rId15" Type="http://schemas.openxmlformats.org/officeDocument/2006/relationships/printerSettings" Target="../printerSettings/printerSettings195.bin"/><Relationship Id="rId23" Type="http://schemas.openxmlformats.org/officeDocument/2006/relationships/printerSettings" Target="../printerSettings/printerSettings203.bin"/><Relationship Id="rId28" Type="http://schemas.openxmlformats.org/officeDocument/2006/relationships/printerSettings" Target="../printerSettings/printerSettings208.bin"/><Relationship Id="rId10" Type="http://schemas.openxmlformats.org/officeDocument/2006/relationships/printerSettings" Target="../printerSettings/printerSettings190.bin"/><Relationship Id="rId19" Type="http://schemas.openxmlformats.org/officeDocument/2006/relationships/printerSettings" Target="../printerSettings/printerSettings199.bin"/><Relationship Id="rId4" Type="http://schemas.openxmlformats.org/officeDocument/2006/relationships/printerSettings" Target="../printerSettings/printerSettings184.bin"/><Relationship Id="rId9" Type="http://schemas.openxmlformats.org/officeDocument/2006/relationships/printerSettings" Target="../printerSettings/printerSettings189.bin"/><Relationship Id="rId14" Type="http://schemas.openxmlformats.org/officeDocument/2006/relationships/printerSettings" Target="../printerSettings/printerSettings194.bin"/><Relationship Id="rId22" Type="http://schemas.openxmlformats.org/officeDocument/2006/relationships/printerSettings" Target="../printerSettings/printerSettings202.bin"/><Relationship Id="rId27" Type="http://schemas.openxmlformats.org/officeDocument/2006/relationships/printerSettings" Target="../printerSettings/printerSettings207.bin"/><Relationship Id="rId30" Type="http://schemas.openxmlformats.org/officeDocument/2006/relationships/printerSettings" Target="../printerSettings/printerSettings210.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218.bin"/><Relationship Id="rId13" Type="http://schemas.openxmlformats.org/officeDocument/2006/relationships/printerSettings" Target="../printerSettings/printerSettings223.bin"/><Relationship Id="rId18" Type="http://schemas.openxmlformats.org/officeDocument/2006/relationships/printerSettings" Target="../printerSettings/printerSettings228.bin"/><Relationship Id="rId26" Type="http://schemas.openxmlformats.org/officeDocument/2006/relationships/printerSettings" Target="../printerSettings/printerSettings236.bin"/><Relationship Id="rId3" Type="http://schemas.openxmlformats.org/officeDocument/2006/relationships/printerSettings" Target="../printerSettings/printerSettings213.bin"/><Relationship Id="rId21" Type="http://schemas.openxmlformats.org/officeDocument/2006/relationships/printerSettings" Target="../printerSettings/printerSettings231.bin"/><Relationship Id="rId7" Type="http://schemas.openxmlformats.org/officeDocument/2006/relationships/printerSettings" Target="../printerSettings/printerSettings217.bin"/><Relationship Id="rId12" Type="http://schemas.openxmlformats.org/officeDocument/2006/relationships/printerSettings" Target="../printerSettings/printerSettings222.bin"/><Relationship Id="rId17" Type="http://schemas.openxmlformats.org/officeDocument/2006/relationships/printerSettings" Target="../printerSettings/printerSettings227.bin"/><Relationship Id="rId25" Type="http://schemas.openxmlformats.org/officeDocument/2006/relationships/printerSettings" Target="../printerSettings/printerSettings235.bin"/><Relationship Id="rId2" Type="http://schemas.openxmlformats.org/officeDocument/2006/relationships/printerSettings" Target="../printerSettings/printerSettings212.bin"/><Relationship Id="rId16" Type="http://schemas.openxmlformats.org/officeDocument/2006/relationships/printerSettings" Target="../printerSettings/printerSettings226.bin"/><Relationship Id="rId20" Type="http://schemas.openxmlformats.org/officeDocument/2006/relationships/printerSettings" Target="../printerSettings/printerSettings230.bin"/><Relationship Id="rId29" Type="http://schemas.openxmlformats.org/officeDocument/2006/relationships/printerSettings" Target="../printerSettings/printerSettings239.bin"/><Relationship Id="rId1" Type="http://schemas.openxmlformats.org/officeDocument/2006/relationships/printerSettings" Target="../printerSettings/printerSettings211.bin"/><Relationship Id="rId6" Type="http://schemas.openxmlformats.org/officeDocument/2006/relationships/printerSettings" Target="../printerSettings/printerSettings216.bin"/><Relationship Id="rId11" Type="http://schemas.openxmlformats.org/officeDocument/2006/relationships/printerSettings" Target="../printerSettings/printerSettings221.bin"/><Relationship Id="rId24" Type="http://schemas.openxmlformats.org/officeDocument/2006/relationships/printerSettings" Target="../printerSettings/printerSettings234.bin"/><Relationship Id="rId5" Type="http://schemas.openxmlformats.org/officeDocument/2006/relationships/printerSettings" Target="../printerSettings/printerSettings215.bin"/><Relationship Id="rId15" Type="http://schemas.openxmlformats.org/officeDocument/2006/relationships/printerSettings" Target="../printerSettings/printerSettings225.bin"/><Relationship Id="rId23" Type="http://schemas.openxmlformats.org/officeDocument/2006/relationships/printerSettings" Target="../printerSettings/printerSettings233.bin"/><Relationship Id="rId28" Type="http://schemas.openxmlformats.org/officeDocument/2006/relationships/printerSettings" Target="../printerSettings/printerSettings238.bin"/><Relationship Id="rId10" Type="http://schemas.openxmlformats.org/officeDocument/2006/relationships/printerSettings" Target="../printerSettings/printerSettings220.bin"/><Relationship Id="rId19" Type="http://schemas.openxmlformats.org/officeDocument/2006/relationships/printerSettings" Target="../printerSettings/printerSettings229.bin"/><Relationship Id="rId4" Type="http://schemas.openxmlformats.org/officeDocument/2006/relationships/printerSettings" Target="../printerSettings/printerSettings214.bin"/><Relationship Id="rId9" Type="http://schemas.openxmlformats.org/officeDocument/2006/relationships/printerSettings" Target="../printerSettings/printerSettings219.bin"/><Relationship Id="rId14" Type="http://schemas.openxmlformats.org/officeDocument/2006/relationships/printerSettings" Target="../printerSettings/printerSettings224.bin"/><Relationship Id="rId22" Type="http://schemas.openxmlformats.org/officeDocument/2006/relationships/printerSettings" Target="../printerSettings/printerSettings232.bin"/><Relationship Id="rId27" Type="http://schemas.openxmlformats.org/officeDocument/2006/relationships/printerSettings" Target="../printerSettings/printerSettings237.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247.bin"/><Relationship Id="rId13" Type="http://schemas.openxmlformats.org/officeDocument/2006/relationships/printerSettings" Target="../printerSettings/printerSettings252.bin"/><Relationship Id="rId18" Type="http://schemas.openxmlformats.org/officeDocument/2006/relationships/printerSettings" Target="../printerSettings/printerSettings257.bin"/><Relationship Id="rId26" Type="http://schemas.openxmlformats.org/officeDocument/2006/relationships/printerSettings" Target="../printerSettings/printerSettings265.bin"/><Relationship Id="rId3" Type="http://schemas.openxmlformats.org/officeDocument/2006/relationships/printerSettings" Target="../printerSettings/printerSettings242.bin"/><Relationship Id="rId21" Type="http://schemas.openxmlformats.org/officeDocument/2006/relationships/printerSettings" Target="../printerSettings/printerSettings260.bin"/><Relationship Id="rId7" Type="http://schemas.openxmlformats.org/officeDocument/2006/relationships/printerSettings" Target="../printerSettings/printerSettings246.bin"/><Relationship Id="rId12" Type="http://schemas.openxmlformats.org/officeDocument/2006/relationships/printerSettings" Target="../printerSettings/printerSettings251.bin"/><Relationship Id="rId17" Type="http://schemas.openxmlformats.org/officeDocument/2006/relationships/printerSettings" Target="../printerSettings/printerSettings256.bin"/><Relationship Id="rId25" Type="http://schemas.openxmlformats.org/officeDocument/2006/relationships/printerSettings" Target="../printerSettings/printerSettings264.bin"/><Relationship Id="rId2" Type="http://schemas.openxmlformats.org/officeDocument/2006/relationships/printerSettings" Target="../printerSettings/printerSettings241.bin"/><Relationship Id="rId16" Type="http://schemas.openxmlformats.org/officeDocument/2006/relationships/printerSettings" Target="../printerSettings/printerSettings255.bin"/><Relationship Id="rId20" Type="http://schemas.openxmlformats.org/officeDocument/2006/relationships/printerSettings" Target="../printerSettings/printerSettings259.bin"/><Relationship Id="rId29" Type="http://schemas.openxmlformats.org/officeDocument/2006/relationships/printerSettings" Target="../printerSettings/printerSettings268.bin"/><Relationship Id="rId1" Type="http://schemas.openxmlformats.org/officeDocument/2006/relationships/printerSettings" Target="../printerSettings/printerSettings240.bin"/><Relationship Id="rId6" Type="http://schemas.openxmlformats.org/officeDocument/2006/relationships/printerSettings" Target="../printerSettings/printerSettings245.bin"/><Relationship Id="rId11" Type="http://schemas.openxmlformats.org/officeDocument/2006/relationships/printerSettings" Target="../printerSettings/printerSettings250.bin"/><Relationship Id="rId24" Type="http://schemas.openxmlformats.org/officeDocument/2006/relationships/printerSettings" Target="../printerSettings/printerSettings263.bin"/><Relationship Id="rId5" Type="http://schemas.openxmlformats.org/officeDocument/2006/relationships/printerSettings" Target="../printerSettings/printerSettings244.bin"/><Relationship Id="rId15" Type="http://schemas.openxmlformats.org/officeDocument/2006/relationships/printerSettings" Target="../printerSettings/printerSettings254.bin"/><Relationship Id="rId23" Type="http://schemas.openxmlformats.org/officeDocument/2006/relationships/printerSettings" Target="../printerSettings/printerSettings262.bin"/><Relationship Id="rId28" Type="http://schemas.openxmlformats.org/officeDocument/2006/relationships/printerSettings" Target="../printerSettings/printerSettings267.bin"/><Relationship Id="rId10" Type="http://schemas.openxmlformats.org/officeDocument/2006/relationships/printerSettings" Target="../printerSettings/printerSettings249.bin"/><Relationship Id="rId19" Type="http://schemas.openxmlformats.org/officeDocument/2006/relationships/printerSettings" Target="../printerSettings/printerSettings258.bin"/><Relationship Id="rId4" Type="http://schemas.openxmlformats.org/officeDocument/2006/relationships/printerSettings" Target="../printerSettings/printerSettings243.bin"/><Relationship Id="rId9" Type="http://schemas.openxmlformats.org/officeDocument/2006/relationships/printerSettings" Target="../printerSettings/printerSettings248.bin"/><Relationship Id="rId14" Type="http://schemas.openxmlformats.org/officeDocument/2006/relationships/printerSettings" Target="../printerSettings/printerSettings253.bin"/><Relationship Id="rId22" Type="http://schemas.openxmlformats.org/officeDocument/2006/relationships/printerSettings" Target="../printerSettings/printerSettings261.bin"/><Relationship Id="rId27" Type="http://schemas.openxmlformats.org/officeDocument/2006/relationships/printerSettings" Target="../printerSettings/printerSettings266.bin"/><Relationship Id="rId30" Type="http://schemas.openxmlformats.org/officeDocument/2006/relationships/printerSettings" Target="../printerSettings/printerSettings26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6"/>
  <sheetViews>
    <sheetView view="pageBreakPreview" zoomScale="80" zoomScaleNormal="100" zoomScaleSheetLayoutView="80" workbookViewId="0">
      <pane xSplit="1" ySplit="2" topLeftCell="B105" activePane="bottomRight" state="frozen"/>
      <selection pane="topRight" activeCell="B1" sqref="B1"/>
      <selection pane="bottomLeft" activeCell="A3" sqref="A3"/>
      <selection pane="bottomRight" activeCell="E293" sqref="E293"/>
    </sheetView>
  </sheetViews>
  <sheetFormatPr defaultRowHeight="15"/>
  <cols>
    <col min="1" max="1" width="71.44140625" customWidth="1"/>
    <col min="2" max="3" width="12.77734375" customWidth="1"/>
    <col min="4" max="5" width="11.88671875" customWidth="1"/>
    <col min="6" max="6" width="15.5546875" customWidth="1"/>
    <col min="7" max="8" width="12.77734375" customWidth="1"/>
    <col min="9" max="10" width="11.88671875" customWidth="1"/>
    <col min="11" max="11" width="9.109375" bestFit="1" customWidth="1"/>
    <col min="12" max="12" width="11" bestFit="1" customWidth="1"/>
  </cols>
  <sheetData>
    <row r="1" spans="1:14" ht="15.75">
      <c r="A1" s="172" t="s">
        <v>98</v>
      </c>
      <c r="B1" s="198"/>
      <c r="C1" s="173" t="s">
        <v>99</v>
      </c>
      <c r="H1" s="345" t="s">
        <v>100</v>
      </c>
      <c r="I1" s="513" t="s">
        <v>101</v>
      </c>
      <c r="J1" s="175">
        <v>4069</v>
      </c>
    </row>
    <row r="2" spans="1:14" ht="30">
      <c r="A2" s="176" t="s">
        <v>102</v>
      </c>
      <c r="B2" s="199" t="s">
        <v>388</v>
      </c>
      <c r="C2" s="177" t="s">
        <v>162</v>
      </c>
      <c r="D2" s="178" t="s">
        <v>103</v>
      </c>
      <c r="E2" s="178" t="s">
        <v>104</v>
      </c>
      <c r="G2" s="346" t="s">
        <v>388</v>
      </c>
      <c r="H2" s="347" t="s">
        <v>162</v>
      </c>
      <c r="I2" s="348" t="s">
        <v>103</v>
      </c>
      <c r="J2" s="179" t="s">
        <v>104</v>
      </c>
    </row>
    <row r="3" spans="1:14">
      <c r="A3" s="180"/>
      <c r="B3" s="180"/>
      <c r="C3" s="177"/>
      <c r="D3" s="178"/>
      <c r="E3" s="178"/>
      <c r="G3" s="347"/>
      <c r="H3" s="347"/>
      <c r="I3" s="348"/>
      <c r="J3" s="322"/>
    </row>
    <row r="4" spans="1:14" ht="15.75">
      <c r="A4" s="188" t="s">
        <v>105</v>
      </c>
      <c r="B4" s="188"/>
      <c r="C4" s="189"/>
      <c r="D4" s="189"/>
      <c r="E4" s="189"/>
      <c r="G4" s="344">
        <f>ROUND((B4*$J$1)/1000000,2)</f>
        <v>0</v>
      </c>
      <c r="H4" s="344">
        <f>ROUND((C4*$J$1)/1000000,2)</f>
        <v>0</v>
      </c>
      <c r="I4" s="344">
        <f>ROUND((D4*$J$1)/1000000,2)</f>
        <v>0</v>
      </c>
      <c r="J4" s="344">
        <f>ROUND((E4*$J$1)/1000000,2)</f>
        <v>0</v>
      </c>
    </row>
    <row r="5" spans="1:14" ht="15.75">
      <c r="A5" s="186" t="s">
        <v>163</v>
      </c>
      <c r="B5" s="181">
        <f>+SUMIF('New Master-List'!$AH$3:$AH$9995,'By Industries (NBC)'!A5,'New Master-List'!$L$3:$L$9995)</f>
        <v>0</v>
      </c>
      <c r="C5" s="181">
        <f>+SUMIF('New Master-List'!$AH$3:$AH$9995,'By Industries (NBC)'!A5,'New Master-List'!$M$3:$M$9995)+SUMIF('New Master-List'!$AH$3:$AH$9995,'By Industries (NBC)'!A5,'New Master-List'!$N$3:$N$9995)++SUMIF('New Master-List'!$AH$3:$AH$9995,'By Industries (NBC)'!A5,'New Master-List'!$O$3:$O$9995)</f>
        <v>0</v>
      </c>
      <c r="D5" s="181">
        <f>+SUMIF('New Master-List'!$AH$3:$AH$9995,'By Industries (NBC)'!A5,'New Master-List'!$V$3:$V$9995)</f>
        <v>0</v>
      </c>
      <c r="E5" s="181">
        <f>+SUMIF('New Master-List'!$AH$199:$AH$9995,'By Industries (NBC)'!A5,'New Master-List'!$X$199:$X$9995)</f>
        <v>0</v>
      </c>
      <c r="G5" s="344">
        <f t="shared" ref="G5:G57" si="0">ROUND((B5*$J$1)/1000000,2)</f>
        <v>0</v>
      </c>
      <c r="H5" s="344">
        <f t="shared" ref="H5:H57" si="1">ROUND((C5*$J$1)/1000000,2)</f>
        <v>0</v>
      </c>
      <c r="I5" s="344">
        <f t="shared" ref="I5:I68" si="2">ROUND((D5*$J$1)/1000000,2)</f>
        <v>0</v>
      </c>
      <c r="J5" s="344">
        <f t="shared" ref="J5:J68" si="3">ROUND((E5*$J$1)/1000000,2)</f>
        <v>0</v>
      </c>
      <c r="K5" s="185"/>
    </row>
    <row r="6" spans="1:14" ht="15.75">
      <c r="A6" s="186" t="s">
        <v>164</v>
      </c>
      <c r="B6" s="181">
        <f>+SUMIF('New Master-List'!$AH$3:$AH$9995,'By Industries (NBC)'!A6,'New Master-List'!$L$3:$L$9995)</f>
        <v>0</v>
      </c>
      <c r="C6" s="181">
        <f>+SUMIF('New Master-List'!$AH$3:$AH$9995,'By Industries (NBC)'!A6,'New Master-List'!$M$3:$M$9995)+SUMIF('New Master-List'!$AH$3:$AH$9995,'By Industries (NBC)'!A6,'New Master-List'!$N$3:$N$9995)++SUMIF('New Master-List'!$AH$3:$AH$9995,'By Industries (NBC)'!A6,'New Master-List'!$O$3:$O$9995)</f>
        <v>0</v>
      </c>
      <c r="D6" s="181">
        <f>+SUMIF('New Master-List'!$AH$3:$AH$9995,'By Industries (NBC)'!A6,'New Master-List'!$V$3:$V$9995)</f>
        <v>0</v>
      </c>
      <c r="E6" s="181">
        <f>+SUMIF('New Master-List'!$AH$199:$AH$9995,'By Industries (NBC)'!A6,'New Master-List'!$X$199:$X$9995)</f>
        <v>0</v>
      </c>
      <c r="G6" s="344">
        <f t="shared" si="0"/>
        <v>0</v>
      </c>
      <c r="H6" s="344">
        <f t="shared" si="1"/>
        <v>0</v>
      </c>
      <c r="I6" s="344">
        <f t="shared" si="2"/>
        <v>0</v>
      </c>
      <c r="J6" s="344">
        <f t="shared" si="3"/>
        <v>0</v>
      </c>
      <c r="K6" s="185"/>
      <c r="L6" s="185"/>
    </row>
    <row r="7" spans="1:14" ht="15.75">
      <c r="A7" s="186" t="s">
        <v>165</v>
      </c>
      <c r="B7" s="181">
        <f>+SUMIF('New Master-List'!$AH$3:$AH$9995,'By Industries (NBC)'!A7,'New Master-List'!$L$3:$L$9995)</f>
        <v>0</v>
      </c>
      <c r="C7" s="1555">
        <f>+SUMIF('New Master-List'!$AH$3:$AH$9995,'By Industries (NBC)'!A7,'New Master-List'!$M$3:$M$9995)+SUMIF('New Master-List'!$AH$3:$AH$9995,'By Industries (NBC)'!A7,'New Master-List'!$N$3:$N$9995)++SUMIF('New Master-List'!$AH$3:$AH$9995,'By Industries (NBC)'!A7,'New Master-List'!$O$3:$O$9995)</f>
        <v>0</v>
      </c>
      <c r="D7" s="181">
        <f>+SUMIF('New Master-List'!$AH$3:$AH$9995,'By Industries (NBC)'!A7,'New Master-List'!$V$3:$V$9995)</f>
        <v>0</v>
      </c>
      <c r="E7" s="181">
        <f>+SUMIF('New Master-List'!$AH$199:$AH$9995,'By Industries (NBC)'!A7,'New Master-List'!$X$199:$X$9995)</f>
        <v>0</v>
      </c>
      <c r="G7" s="344">
        <f t="shared" si="0"/>
        <v>0</v>
      </c>
      <c r="H7" s="344">
        <f t="shared" si="1"/>
        <v>0</v>
      </c>
      <c r="I7" s="344">
        <f t="shared" si="2"/>
        <v>0</v>
      </c>
      <c r="J7" s="344">
        <f t="shared" si="3"/>
        <v>0</v>
      </c>
      <c r="K7" s="185"/>
      <c r="L7" s="185"/>
    </row>
    <row r="8" spans="1:14" ht="15.75">
      <c r="A8" s="186" t="s">
        <v>166</v>
      </c>
      <c r="B8" s="181">
        <f>+SUMIF('New Master-List'!$AH$3:$AH$9995,'By Industries (NBC)'!A8,'New Master-List'!$L$3:$L$9995)</f>
        <v>0</v>
      </c>
      <c r="C8" s="1555">
        <f>+SUMIF('New Master-List'!$AH$3:$AH$9995,'By Industries (NBC)'!A8,'New Master-List'!$M$3:$M$9995)+SUMIF('New Master-List'!$AH$3:$AH$9995,'By Industries (NBC)'!A8,'New Master-List'!$N$3:$N$9995)++SUMIF('New Master-List'!$AH$3:$AH$9995,'By Industries (NBC)'!A8,'New Master-List'!$O$3:$O$9995)</f>
        <v>0</v>
      </c>
      <c r="D8" s="181">
        <f>+SUMIF('New Master-List'!$AH$3:$AH$9995,'By Industries (NBC)'!A8,'New Master-List'!$V$3:$V$9995)</f>
        <v>0</v>
      </c>
      <c r="E8" s="181">
        <f>+SUMIF('New Master-List'!$AH$199:$AH$9995,'By Industries (NBC)'!A8,'New Master-List'!$X$199:$X$9995)</f>
        <v>0</v>
      </c>
      <c r="G8" s="344">
        <f t="shared" si="0"/>
        <v>0</v>
      </c>
      <c r="H8" s="344">
        <f t="shared" si="1"/>
        <v>0</v>
      </c>
      <c r="I8" s="344">
        <f t="shared" si="2"/>
        <v>0</v>
      </c>
      <c r="J8" s="344">
        <f t="shared" si="3"/>
        <v>0</v>
      </c>
      <c r="K8" s="185"/>
      <c r="L8" s="185"/>
    </row>
    <row r="9" spans="1:14" ht="15.75">
      <c r="A9" s="188" t="s">
        <v>106</v>
      </c>
      <c r="B9" s="181">
        <f>+SUMIF('New Master-List'!$AH$3:$AH$9995,'By Industries (NBC)'!A9,'New Master-List'!$L$3:$L$9995)</f>
        <v>0</v>
      </c>
      <c r="C9" s="1555">
        <f>+SUMIF('New Master-List'!$AH$3:$AH$9995,'By Industries (NBC)'!A9,'New Master-List'!$M$3:$M$9995)+SUMIF('New Master-List'!$AH$3:$AH$9995,'By Industries (NBC)'!A9,'New Master-List'!$N$3:$N$9995)++SUMIF('New Master-List'!$AH$3:$AH$9995,'By Industries (NBC)'!A9,'New Master-List'!$O$3:$O$9995)</f>
        <v>0</v>
      </c>
      <c r="D9" s="181">
        <f>+SUMIF('New Master-List'!$AH$3:$AH$9995,'By Industries (NBC)'!A9,'New Master-List'!$V$3:$V$9995)</f>
        <v>0</v>
      </c>
      <c r="E9" s="181">
        <f>+SUMIF('New Master-List'!$AH$199:$AH$9995,'By Industries (NBC)'!A9,'New Master-List'!$X$199:$X$9995)</f>
        <v>0</v>
      </c>
      <c r="G9" s="344">
        <f t="shared" si="0"/>
        <v>0</v>
      </c>
      <c r="H9" s="344">
        <f t="shared" si="1"/>
        <v>0</v>
      </c>
      <c r="I9" s="344">
        <f t="shared" si="2"/>
        <v>0</v>
      </c>
      <c r="J9" s="344">
        <f t="shared" si="3"/>
        <v>0</v>
      </c>
      <c r="K9" s="174"/>
      <c r="L9" s="174"/>
      <c r="M9" s="174"/>
      <c r="N9" s="174"/>
    </row>
    <row r="10" spans="1:14" ht="15.75">
      <c r="A10" s="186" t="s">
        <v>167</v>
      </c>
      <c r="B10" s="181">
        <f>+SUMIF('New Master-List'!$AH$3:$AH$9995,'By Industries (NBC)'!A10,'New Master-List'!$L$3:$L$9995)</f>
        <v>0</v>
      </c>
      <c r="C10" s="1555">
        <f>+SUMIF('New Master-List'!$AH$3:$AH$9995,'By Industries (NBC)'!A10,'New Master-List'!$M$3:$M$9995)+SUMIF('New Master-List'!$AH$3:$AH$9995,'By Industries (NBC)'!A10,'New Master-List'!$N$3:$N$9995)++SUMIF('New Master-List'!$AH$3:$AH$9995,'By Industries (NBC)'!A10,'New Master-List'!$O$3:$O$9995)</f>
        <v>0</v>
      </c>
      <c r="D10" s="181">
        <f>+SUMIF('New Master-List'!$AH$3:$AH$9995,'By Industries (NBC)'!A10,'New Master-List'!$V$3:$V$9995)</f>
        <v>0</v>
      </c>
      <c r="E10" s="181">
        <f>+SUMIF('New Master-List'!$AH$199:$AH$9995,'By Industries (NBC)'!A10,'New Master-List'!$X$199:$X$9995)</f>
        <v>0</v>
      </c>
      <c r="G10" s="344">
        <f t="shared" si="0"/>
        <v>0</v>
      </c>
      <c r="H10" s="344">
        <f t="shared" si="1"/>
        <v>0</v>
      </c>
      <c r="I10" s="344">
        <f t="shared" si="2"/>
        <v>0</v>
      </c>
      <c r="J10" s="344">
        <f t="shared" si="3"/>
        <v>0</v>
      </c>
    </row>
    <row r="11" spans="1:14" ht="15.75">
      <c r="A11" s="186" t="s">
        <v>168</v>
      </c>
      <c r="B11" s="181">
        <f>+SUMIF('New Master-List'!$AH$3:$AH$9995,'By Industries (NBC)'!A11,'New Master-List'!$L$3:$L$9995)</f>
        <v>0</v>
      </c>
      <c r="C11" s="1555">
        <f>+SUMIF('New Master-List'!$AH$3:$AH$9995,'By Industries (NBC)'!A11,'New Master-List'!$M$3:$M$9995)+SUMIF('New Master-List'!$AH$3:$AH$9995,'By Industries (NBC)'!A11,'New Master-List'!$N$3:$N$9995)++SUMIF('New Master-List'!$AH$3:$AH$9995,'By Industries (NBC)'!A11,'New Master-List'!$O$3:$O$9995)</f>
        <v>0</v>
      </c>
      <c r="D11" s="181">
        <f>+SUMIF('New Master-List'!$AH$3:$AH$9995,'By Industries (NBC)'!A11,'New Master-List'!$V$3:$V$9995)</f>
        <v>0</v>
      </c>
      <c r="E11" s="181">
        <f>+SUMIF('New Master-List'!$AH$199:$AH$9995,'By Industries (NBC)'!A11,'New Master-List'!$X$199:$X$9995)</f>
        <v>0</v>
      </c>
      <c r="G11" s="344">
        <f t="shared" si="0"/>
        <v>0</v>
      </c>
      <c r="H11" s="344">
        <f t="shared" si="1"/>
        <v>0</v>
      </c>
      <c r="I11" s="344">
        <f t="shared" si="2"/>
        <v>0</v>
      </c>
      <c r="J11" s="344">
        <f t="shared" si="3"/>
        <v>0</v>
      </c>
      <c r="L11" s="185"/>
    </row>
    <row r="12" spans="1:14" ht="15.75">
      <c r="A12" s="186" t="s">
        <v>169</v>
      </c>
      <c r="B12" s="181">
        <f>+SUMIF('New Master-List'!$AH$3:$AH$9995,'By Industries (NBC)'!A12,'New Master-List'!$L$3:$L$9995)</f>
        <v>0</v>
      </c>
      <c r="C12" s="1555">
        <f>+SUMIF('New Master-List'!$AH$3:$AH$9995,'By Industries (NBC)'!A12,'New Master-List'!$M$3:$M$9995)+SUMIF('New Master-List'!$AH$3:$AH$9995,'By Industries (NBC)'!A12,'New Master-List'!$N$3:$N$9995)++SUMIF('New Master-List'!$AH$3:$AH$9995,'By Industries (NBC)'!A12,'New Master-List'!$O$3:$O$9995)</f>
        <v>0</v>
      </c>
      <c r="D12" s="181">
        <f>+SUMIF('New Master-List'!$AH$3:$AH$9995,'By Industries (NBC)'!A12,'New Master-List'!$V$3:$V$9995)</f>
        <v>0</v>
      </c>
      <c r="E12" s="181">
        <f>+SUMIF('New Master-List'!$AH$199:$AH$9995,'By Industries (NBC)'!A12,'New Master-List'!$X$199:$X$9995)</f>
        <v>0</v>
      </c>
      <c r="G12" s="344">
        <f t="shared" si="0"/>
        <v>0</v>
      </c>
      <c r="H12" s="344">
        <f t="shared" si="1"/>
        <v>0</v>
      </c>
      <c r="I12" s="344">
        <f t="shared" si="2"/>
        <v>0</v>
      </c>
      <c r="J12" s="344">
        <f t="shared" si="3"/>
        <v>0</v>
      </c>
      <c r="L12" s="185"/>
    </row>
    <row r="13" spans="1:14" ht="15.75">
      <c r="A13" s="186" t="s">
        <v>170</v>
      </c>
      <c r="B13" s="181">
        <f>+SUMIF('New Master-List'!$AH$3:$AH$9995,'By Industries (NBC)'!A13,'New Master-List'!$L$3:$L$9995)</f>
        <v>0</v>
      </c>
      <c r="C13" s="1555">
        <f>+SUMIF('New Master-List'!$AH$3:$AH$9995,'By Industries (NBC)'!A13,'New Master-List'!$M$3:$M$9995)+SUMIF('New Master-List'!$AH$3:$AH$9995,'By Industries (NBC)'!A13,'New Master-List'!$N$3:$N$9995)++SUMIF('New Master-List'!$AH$3:$AH$9995,'By Industries (NBC)'!A13,'New Master-List'!$O$3:$O$9995)</f>
        <v>0</v>
      </c>
      <c r="D13" s="181">
        <f>+SUMIF('New Master-List'!$AH$3:$AH$9995,'By Industries (NBC)'!A13,'New Master-List'!$V$3:$V$9995)</f>
        <v>0</v>
      </c>
      <c r="E13" s="181">
        <f>+SUMIF('New Master-List'!$AH$199:$AH$9995,'By Industries (NBC)'!A13,'New Master-List'!$X$199:$X$9995)</f>
        <v>0</v>
      </c>
      <c r="G13" s="344">
        <f t="shared" si="0"/>
        <v>0</v>
      </c>
      <c r="H13" s="344">
        <f t="shared" si="1"/>
        <v>0</v>
      </c>
      <c r="I13" s="344">
        <f t="shared" si="2"/>
        <v>0</v>
      </c>
      <c r="J13" s="344">
        <f t="shared" si="3"/>
        <v>0</v>
      </c>
      <c r="L13" s="185"/>
    </row>
    <row r="14" spans="1:14" ht="15.75">
      <c r="A14" s="188" t="s">
        <v>107</v>
      </c>
      <c r="B14" s="181">
        <f>+SUMIF('New Master-List'!$AH$3:$AH$9995,'By Industries (NBC)'!A14,'New Master-List'!$L$3:$L$9995)</f>
        <v>0</v>
      </c>
      <c r="C14" s="1555">
        <f>+SUMIF('New Master-List'!$AH$3:$AH$9995,'By Industries (NBC)'!A14,'New Master-List'!$M$3:$M$9995)+SUMIF('New Master-List'!$AH$3:$AH$9995,'By Industries (NBC)'!A14,'New Master-List'!$N$3:$N$9995)++SUMIF('New Master-List'!$AH$3:$AH$9995,'By Industries (NBC)'!A14,'New Master-List'!$O$3:$O$9995)</f>
        <v>0</v>
      </c>
      <c r="D14" s="181">
        <f>+SUMIF('New Master-List'!$AH$3:$AH$9995,'By Industries (NBC)'!A14,'New Master-List'!$V$3:$V$9995)</f>
        <v>0</v>
      </c>
      <c r="E14" s="181">
        <f>+SUMIF('New Master-List'!$AH$199:$AH$9995,'By Industries (NBC)'!A14,'New Master-List'!$X$199:$X$9995)</f>
        <v>0</v>
      </c>
      <c r="G14" s="344">
        <f t="shared" si="0"/>
        <v>0</v>
      </c>
      <c r="H14" s="344">
        <f t="shared" si="1"/>
        <v>0</v>
      </c>
      <c r="I14" s="344">
        <f t="shared" si="2"/>
        <v>0</v>
      </c>
      <c r="J14" s="344">
        <f t="shared" si="3"/>
        <v>0</v>
      </c>
      <c r="K14" s="174"/>
      <c r="L14" s="174"/>
      <c r="M14" s="174"/>
      <c r="N14" s="174"/>
    </row>
    <row r="15" spans="1:14" ht="15.75">
      <c r="A15" s="186" t="s">
        <v>171</v>
      </c>
      <c r="B15" s="181">
        <f>+SUMIF('New Master-List'!$AH$3:$AH$9995,'By Industries (NBC)'!A15,'New Master-List'!$L$3:$L$9995)</f>
        <v>0</v>
      </c>
      <c r="C15" s="1555">
        <f>+SUMIF('New Master-List'!$AH$3:$AH$9995,'By Industries (NBC)'!A15,'New Master-List'!$M$3:$M$9995)+SUMIF('New Master-List'!$AH$3:$AH$9995,'By Industries (NBC)'!A15,'New Master-List'!$N$3:$N$9995)++SUMIF('New Master-List'!$AH$3:$AH$9995,'By Industries (NBC)'!A15,'New Master-List'!$O$3:$O$9995)</f>
        <v>0</v>
      </c>
      <c r="D15" s="181">
        <f>+SUMIF('New Master-List'!$AH$3:$AH$9995,'By Industries (NBC)'!A15,'New Master-List'!$V$3:$V$9995)</f>
        <v>0</v>
      </c>
      <c r="E15" s="181">
        <f>+SUMIF('New Master-List'!$AH$199:$AH$9995,'By Industries (NBC)'!A15,'New Master-List'!$X$199:$X$9995)</f>
        <v>0</v>
      </c>
      <c r="G15" s="344">
        <f t="shared" si="0"/>
        <v>0</v>
      </c>
      <c r="H15" s="344">
        <f t="shared" si="1"/>
        <v>0</v>
      </c>
      <c r="I15" s="344">
        <f t="shared" si="2"/>
        <v>0</v>
      </c>
      <c r="J15" s="344">
        <f t="shared" si="3"/>
        <v>0</v>
      </c>
      <c r="K15" s="174"/>
      <c r="L15" s="174"/>
      <c r="M15" s="174"/>
      <c r="N15" s="174"/>
    </row>
    <row r="16" spans="1:14" ht="15.75">
      <c r="A16" s="186" t="s">
        <v>172</v>
      </c>
      <c r="B16" s="181">
        <f>+SUMIF('New Master-List'!$AH$3:$AH$9995,'By Industries (NBC)'!A16,'New Master-List'!$L$3:$L$9995)</f>
        <v>0</v>
      </c>
      <c r="C16" s="1555">
        <f>+SUMIF('New Master-List'!$AH$3:$AH$9995,'By Industries (NBC)'!A16,'New Master-List'!$M$3:$M$9995)+SUMIF('New Master-List'!$AH$3:$AH$9995,'By Industries (NBC)'!A16,'New Master-List'!$N$3:$N$9995)++SUMIF('New Master-List'!$AH$3:$AH$9995,'By Industries (NBC)'!A16,'New Master-List'!$O$3:$O$9995)</f>
        <v>0</v>
      </c>
      <c r="D16" s="181">
        <f>+SUMIF('New Master-List'!$AH$3:$AH$9995,'By Industries (NBC)'!A16,'New Master-List'!$V$3:$V$9995)</f>
        <v>0</v>
      </c>
      <c r="E16" s="181">
        <f>+SUMIF('New Master-List'!$AH$199:$AH$9995,'By Industries (NBC)'!A16,'New Master-List'!$X$199:$X$9995)</f>
        <v>0</v>
      </c>
      <c r="G16" s="344">
        <f t="shared" si="0"/>
        <v>0</v>
      </c>
      <c r="H16" s="344">
        <f t="shared" si="1"/>
        <v>0</v>
      </c>
      <c r="I16" s="344">
        <f t="shared" si="2"/>
        <v>0</v>
      </c>
      <c r="J16" s="344">
        <f t="shared" si="3"/>
        <v>0</v>
      </c>
      <c r="K16" s="174"/>
      <c r="L16" s="174"/>
      <c r="M16" s="174"/>
      <c r="N16" s="174"/>
    </row>
    <row r="17" spans="1:14" ht="15.75">
      <c r="A17" s="186" t="s">
        <v>173</v>
      </c>
      <c r="B17" s="181">
        <f>+SUMIF('New Master-List'!$AH$3:$AH$9995,'By Industries (NBC)'!A17,'New Master-List'!$L$3:$L$9995)</f>
        <v>0</v>
      </c>
      <c r="C17" s="1555">
        <f>+SUMIF('New Master-List'!$AH$3:$AH$9995,'By Industries (NBC)'!A17,'New Master-List'!$M$3:$M$9995)+SUMIF('New Master-List'!$AH$3:$AH$9995,'By Industries (NBC)'!A17,'New Master-List'!$N$3:$N$9995)++SUMIF('New Master-List'!$AH$3:$AH$9995,'By Industries (NBC)'!A17,'New Master-List'!$O$3:$O$9995)</f>
        <v>0</v>
      </c>
      <c r="D17" s="181">
        <f>+SUMIF('New Master-List'!$AH$3:$AH$9995,'By Industries (NBC)'!A17,'New Master-List'!$V$3:$V$9995)</f>
        <v>0</v>
      </c>
      <c r="E17" s="181">
        <f>+SUMIF('New Master-List'!$AH$199:$AH$9995,'By Industries (NBC)'!A17,'New Master-List'!$X$199:$X$9995)</f>
        <v>0</v>
      </c>
      <c r="G17" s="344">
        <f t="shared" si="0"/>
        <v>0</v>
      </c>
      <c r="H17" s="344">
        <f t="shared" si="1"/>
        <v>0</v>
      </c>
      <c r="I17" s="344">
        <f t="shared" si="2"/>
        <v>0</v>
      </c>
      <c r="J17" s="344">
        <f t="shared" si="3"/>
        <v>0</v>
      </c>
      <c r="K17" s="174"/>
      <c r="L17" s="174"/>
      <c r="M17" s="174"/>
      <c r="N17" s="174"/>
    </row>
    <row r="18" spans="1:14" ht="15.75">
      <c r="A18" s="186" t="s">
        <v>174</v>
      </c>
      <c r="B18" s="181">
        <f>+SUMIF('New Master-List'!$AH$3:$AH$9995,'By Industries (NBC)'!A18,'New Master-List'!$L$3:$L$9995)</f>
        <v>0</v>
      </c>
      <c r="C18" s="1555">
        <f>+SUMIF('New Master-List'!$AH$3:$AH$9995,'By Industries (NBC)'!A18,'New Master-List'!$M$3:$M$9995)+SUMIF('New Master-List'!$AH$3:$AH$9995,'By Industries (NBC)'!A18,'New Master-List'!$N$3:$N$9995)++SUMIF('New Master-List'!$AH$3:$AH$9995,'By Industries (NBC)'!A18,'New Master-List'!$O$3:$O$9995)</f>
        <v>0</v>
      </c>
      <c r="D18" s="181">
        <f>+SUMIF('New Master-List'!$AH$3:$AH$9995,'By Industries (NBC)'!A18,'New Master-List'!$V$3:$V$9995)</f>
        <v>0</v>
      </c>
      <c r="E18" s="181">
        <f>+SUMIF('New Master-List'!$AH$199:$AH$9995,'By Industries (NBC)'!A18,'New Master-List'!$X$199:$X$9995)</f>
        <v>0</v>
      </c>
      <c r="G18" s="344">
        <f t="shared" si="0"/>
        <v>0</v>
      </c>
      <c r="H18" s="344">
        <f t="shared" si="1"/>
        <v>0</v>
      </c>
      <c r="I18" s="344">
        <f t="shared" si="2"/>
        <v>0</v>
      </c>
      <c r="J18" s="344">
        <f t="shared" si="3"/>
        <v>0</v>
      </c>
      <c r="K18" s="174"/>
      <c r="L18" s="174"/>
      <c r="M18" s="174"/>
      <c r="N18" s="174"/>
    </row>
    <row r="19" spans="1:14" ht="15.75">
      <c r="A19" s="188" t="s">
        <v>108</v>
      </c>
      <c r="B19" s="181">
        <f>+SUMIF('New Master-List'!$AH$3:$AH$9995,'By Industries (NBC)'!A19,'New Master-List'!$L$3:$L$9995)</f>
        <v>0</v>
      </c>
      <c r="C19" s="1555">
        <f>+SUMIF('New Master-List'!$AH$3:$AH$9995,'By Industries (NBC)'!A19,'New Master-List'!$M$3:$M$9995)+SUMIF('New Master-List'!$AH$3:$AH$9995,'By Industries (NBC)'!A19,'New Master-List'!$N$3:$N$9995)++SUMIF('New Master-List'!$AH$3:$AH$9995,'By Industries (NBC)'!A19,'New Master-List'!$O$3:$O$9995)</f>
        <v>0</v>
      </c>
      <c r="D19" s="181">
        <f>+SUMIF('New Master-List'!$AH$3:$AH$9995,'By Industries (NBC)'!A19,'New Master-List'!$V$3:$V$9995)</f>
        <v>0</v>
      </c>
      <c r="E19" s="181">
        <f>+SUMIF('New Master-List'!$AH$199:$AH$9995,'By Industries (NBC)'!A19,'New Master-List'!$X$199:$X$9995)</f>
        <v>0</v>
      </c>
      <c r="G19" s="344">
        <f t="shared" si="0"/>
        <v>0</v>
      </c>
      <c r="H19" s="344">
        <f t="shared" si="1"/>
        <v>0</v>
      </c>
      <c r="I19" s="344">
        <f t="shared" si="2"/>
        <v>0</v>
      </c>
      <c r="J19" s="344">
        <f t="shared" si="3"/>
        <v>0</v>
      </c>
      <c r="K19" s="174"/>
      <c r="L19" s="174"/>
      <c r="M19" s="174"/>
      <c r="N19" s="174"/>
    </row>
    <row r="20" spans="1:14" ht="15.75">
      <c r="A20" s="186" t="s">
        <v>175</v>
      </c>
      <c r="B20" s="181">
        <f>+SUMIF('New Master-List'!$AH$3:$AH$9995,'By Industries (NBC)'!A20,'New Master-List'!$L$3:$L$9995)</f>
        <v>0</v>
      </c>
      <c r="C20" s="1555">
        <f>+SUMIF('New Master-List'!$AH$3:$AH$9995,'By Industries (NBC)'!A20,'New Master-List'!$M$3:$M$9995)+SUMIF('New Master-List'!$AH$3:$AH$9995,'By Industries (NBC)'!A20,'New Master-List'!$N$3:$N$9995)++SUMIF('New Master-List'!$AH$3:$AH$9995,'By Industries (NBC)'!A20,'New Master-List'!$O$3:$O$9995)</f>
        <v>0</v>
      </c>
      <c r="D20" s="181">
        <f>+SUMIF('New Master-List'!$AH$3:$AH$9995,'By Industries (NBC)'!A20,'New Master-List'!$V$3:$V$9995)</f>
        <v>0</v>
      </c>
      <c r="E20" s="181">
        <f>+SUMIF('New Master-List'!$AH$199:$AH$9995,'By Industries (NBC)'!A20,'New Master-List'!$X$199:$X$9995)</f>
        <v>0</v>
      </c>
      <c r="G20" s="344">
        <f t="shared" si="0"/>
        <v>0</v>
      </c>
      <c r="H20" s="344">
        <f t="shared" si="1"/>
        <v>0</v>
      </c>
      <c r="I20" s="344">
        <f t="shared" si="2"/>
        <v>0</v>
      </c>
      <c r="J20" s="344">
        <f t="shared" si="3"/>
        <v>0</v>
      </c>
    </row>
    <row r="21" spans="1:14" ht="15.75">
      <c r="A21" s="186" t="s">
        <v>176</v>
      </c>
      <c r="B21" s="181">
        <f>+SUMIF('New Master-List'!$AH$3:$AH$9995,'By Industries (NBC)'!A21,'New Master-List'!$L$3:$L$9995)</f>
        <v>0</v>
      </c>
      <c r="C21" s="1555">
        <f>+SUMIF('New Master-List'!$AH$3:$AH$9995,'By Industries (NBC)'!A21,'New Master-List'!$M$3:$M$9995)+SUMIF('New Master-List'!$AH$3:$AH$9995,'By Industries (NBC)'!A21,'New Master-List'!$N$3:$N$9995)++SUMIF('New Master-List'!$AH$3:$AH$9995,'By Industries (NBC)'!A21,'New Master-List'!$O$3:$O$9995)</f>
        <v>0</v>
      </c>
      <c r="D21" s="181">
        <f>+SUMIF('New Master-List'!$AH$3:$AH$9995,'By Industries (NBC)'!A21,'New Master-List'!$V$3:$V$9995)</f>
        <v>0</v>
      </c>
      <c r="E21" s="181">
        <f>+SUMIF('New Master-List'!$AH$199:$AH$9995,'By Industries (NBC)'!A21,'New Master-List'!$X$199:$X$9995)</f>
        <v>0</v>
      </c>
      <c r="G21" s="344">
        <f t="shared" si="0"/>
        <v>0</v>
      </c>
      <c r="H21" s="344">
        <f t="shared" si="1"/>
        <v>0</v>
      </c>
      <c r="I21" s="344">
        <f t="shared" si="2"/>
        <v>0</v>
      </c>
      <c r="J21" s="344">
        <f t="shared" si="3"/>
        <v>0</v>
      </c>
    </row>
    <row r="22" spans="1:14" ht="15.75">
      <c r="A22" s="186" t="s">
        <v>177</v>
      </c>
      <c r="B22" s="181">
        <f>+SUMIF('New Master-List'!$AH$3:$AH$9995,'By Industries (NBC)'!A22,'New Master-List'!$L$3:$L$9995)</f>
        <v>0</v>
      </c>
      <c r="C22" s="1555">
        <f>+SUMIF('New Master-List'!$AH$3:$AH$9995,'By Industries (NBC)'!A22,'New Master-List'!$M$3:$M$9995)+SUMIF('New Master-List'!$AH$3:$AH$9995,'By Industries (NBC)'!A22,'New Master-List'!$N$3:$N$9995)++SUMIF('New Master-List'!$AH$3:$AH$9995,'By Industries (NBC)'!A22,'New Master-List'!$O$3:$O$9995)</f>
        <v>0</v>
      </c>
      <c r="D22" s="181">
        <f>+SUMIF('New Master-List'!$AH$3:$AH$9995,'By Industries (NBC)'!A22,'New Master-List'!$V$3:$V$9995)</f>
        <v>0</v>
      </c>
      <c r="E22" s="181">
        <f>+SUMIF('New Master-List'!$AH$199:$AH$9995,'By Industries (NBC)'!A22,'New Master-List'!$X$199:$X$9995)</f>
        <v>0</v>
      </c>
      <c r="G22" s="344">
        <f t="shared" si="0"/>
        <v>0</v>
      </c>
      <c r="H22" s="344">
        <f t="shared" si="1"/>
        <v>0</v>
      </c>
      <c r="I22" s="344">
        <f t="shared" si="2"/>
        <v>0</v>
      </c>
      <c r="J22" s="344">
        <f t="shared" si="3"/>
        <v>0</v>
      </c>
    </row>
    <row r="23" spans="1:14" ht="15.75">
      <c r="A23" s="186" t="s">
        <v>178</v>
      </c>
      <c r="B23" s="181">
        <f>+SUMIF('New Master-List'!$AH$3:$AH$9995,'By Industries (NBC)'!A23,'New Master-List'!$L$3:$L$9995)</f>
        <v>0</v>
      </c>
      <c r="C23" s="1555">
        <f>+SUMIF('New Master-List'!$AH$3:$AH$9995,'By Industries (NBC)'!A23,'New Master-List'!$M$3:$M$9995)+SUMIF('New Master-List'!$AH$3:$AH$9995,'By Industries (NBC)'!A23,'New Master-List'!$N$3:$N$9995)++SUMIF('New Master-List'!$AH$3:$AH$9995,'By Industries (NBC)'!A23,'New Master-List'!$O$3:$O$9995)</f>
        <v>0</v>
      </c>
      <c r="D23" s="181">
        <f>+SUMIF('New Master-List'!$AH$3:$AH$9995,'By Industries (NBC)'!A23,'New Master-List'!$V$3:$V$9995)</f>
        <v>0</v>
      </c>
      <c r="E23" s="181">
        <f>+SUMIF('New Master-List'!$AH$199:$AH$9995,'By Industries (NBC)'!A23,'New Master-List'!$X$199:$X$9995)</f>
        <v>0</v>
      </c>
      <c r="G23" s="344">
        <f t="shared" si="0"/>
        <v>0</v>
      </c>
      <c r="H23" s="344">
        <f t="shared" si="1"/>
        <v>0</v>
      </c>
      <c r="I23" s="344">
        <f t="shared" si="2"/>
        <v>0</v>
      </c>
      <c r="J23" s="344">
        <f t="shared" si="3"/>
        <v>0</v>
      </c>
    </row>
    <row r="24" spans="1:14" ht="15.75">
      <c r="A24" s="188" t="s">
        <v>109</v>
      </c>
      <c r="B24" s="181">
        <f>+SUMIF('New Master-List'!$AH$3:$AH$9995,'By Industries (NBC)'!A24,'New Master-List'!$L$3:$L$9995)</f>
        <v>0</v>
      </c>
      <c r="C24" s="1555">
        <f>+SUMIF('New Master-List'!$AH$3:$AH$9995,'By Industries (NBC)'!A24,'New Master-List'!$M$3:$M$9995)+SUMIF('New Master-List'!$AH$3:$AH$9995,'By Industries (NBC)'!A24,'New Master-List'!$N$3:$N$9995)++SUMIF('New Master-List'!$AH$3:$AH$9995,'By Industries (NBC)'!A24,'New Master-List'!$O$3:$O$9995)</f>
        <v>0</v>
      </c>
      <c r="D24" s="181">
        <f>+SUMIF('New Master-List'!$AH$3:$AH$9995,'By Industries (NBC)'!A24,'New Master-List'!$V$3:$V$9995)</f>
        <v>0</v>
      </c>
      <c r="E24" s="181">
        <f>+SUMIF('New Master-List'!$AH$199:$AH$9995,'By Industries (NBC)'!A24,'New Master-List'!$X$199:$X$9995)</f>
        <v>0</v>
      </c>
      <c r="G24" s="344">
        <f t="shared" si="0"/>
        <v>0</v>
      </c>
      <c r="H24" s="344">
        <f t="shared" si="1"/>
        <v>0</v>
      </c>
      <c r="I24" s="344">
        <f t="shared" si="2"/>
        <v>0</v>
      </c>
      <c r="J24" s="344">
        <f t="shared" si="3"/>
        <v>0</v>
      </c>
      <c r="K24" s="174"/>
      <c r="L24" s="174"/>
      <c r="M24" s="174"/>
      <c r="N24" s="174"/>
    </row>
    <row r="25" spans="1:14" ht="15.75">
      <c r="A25" s="186" t="s">
        <v>179</v>
      </c>
      <c r="B25" s="181">
        <f>+SUMIF('New Master-List'!$AH$3:$AH$9995,'By Industries (NBC)'!A25,'New Master-List'!$L$3:$L$9995)</f>
        <v>0</v>
      </c>
      <c r="C25" s="1555">
        <f>+SUMIF('New Master-List'!$AH$3:$AH$9995,'By Industries (NBC)'!A25,'New Master-List'!$M$3:$M$9995)+SUMIF('New Master-List'!$AH$3:$AH$9995,'By Industries (NBC)'!A25,'New Master-List'!$N$3:$N$9995)++SUMIF('New Master-List'!$AH$3:$AH$9995,'By Industries (NBC)'!A25,'New Master-List'!$O$3:$O$9995)</f>
        <v>0</v>
      </c>
      <c r="D25" s="181">
        <f>+SUMIF('New Master-List'!$AH$3:$AH$9995,'By Industries (NBC)'!A25,'New Master-List'!$V$3:$V$9995)</f>
        <v>0</v>
      </c>
      <c r="E25" s="181">
        <f>+SUMIF('New Master-List'!$AH$199:$AH$9995,'By Industries (NBC)'!A25,'New Master-List'!$X$199:$X$9995)</f>
        <v>0</v>
      </c>
      <c r="G25" s="344">
        <f t="shared" si="0"/>
        <v>0</v>
      </c>
      <c r="H25" s="344">
        <f t="shared" si="1"/>
        <v>0</v>
      </c>
      <c r="I25" s="344">
        <f t="shared" si="2"/>
        <v>0</v>
      </c>
      <c r="J25" s="344">
        <f t="shared" si="3"/>
        <v>0</v>
      </c>
    </row>
    <row r="26" spans="1:14" ht="15.75">
      <c r="A26" s="186" t="s">
        <v>180</v>
      </c>
      <c r="B26" s="181">
        <f>+SUMIF('New Master-List'!$AH$3:$AH$9995,'By Industries (NBC)'!A26,'New Master-List'!$L$3:$L$9995)</f>
        <v>0</v>
      </c>
      <c r="C26" s="1555">
        <f>+SUMIF('New Master-List'!$AH$3:$AH$9995,'By Industries (NBC)'!A26,'New Master-List'!$M$3:$M$9995)+SUMIF('New Master-List'!$AH$3:$AH$9995,'By Industries (NBC)'!A26,'New Master-List'!$N$3:$N$9995)++SUMIF('New Master-List'!$AH$3:$AH$9995,'By Industries (NBC)'!A26,'New Master-List'!$O$3:$O$9995)</f>
        <v>0</v>
      </c>
      <c r="D26" s="181">
        <f>+SUMIF('New Master-List'!$AH$3:$AH$9995,'By Industries (NBC)'!A26,'New Master-List'!$V$3:$V$9995)</f>
        <v>0</v>
      </c>
      <c r="E26" s="181">
        <f>+SUMIF('New Master-List'!$AH$199:$AH$9995,'By Industries (NBC)'!A26,'New Master-List'!$X$199:$X$9995)</f>
        <v>0</v>
      </c>
      <c r="G26" s="344">
        <f t="shared" si="0"/>
        <v>0</v>
      </c>
      <c r="H26" s="344">
        <f>ROUND((C26*$J$1)/1000000,2)</f>
        <v>0</v>
      </c>
      <c r="I26" s="344">
        <f t="shared" si="2"/>
        <v>0</v>
      </c>
      <c r="J26" s="344">
        <f t="shared" si="3"/>
        <v>0</v>
      </c>
    </row>
    <row r="27" spans="1:14" ht="15.75">
      <c r="A27" s="186" t="s">
        <v>181</v>
      </c>
      <c r="B27" s="181">
        <f>+SUMIF('New Master-List'!$AH$3:$AH$9995,'By Industries (NBC)'!A27,'New Master-List'!$L$3:$L$9995)</f>
        <v>0</v>
      </c>
      <c r="C27" s="1555">
        <f>+SUMIF('New Master-List'!$AH$3:$AH$9995,'By Industries (NBC)'!A27,'New Master-List'!$M$3:$M$9995)+SUMIF('New Master-List'!$AH$3:$AH$9995,'By Industries (NBC)'!A27,'New Master-List'!$N$3:$N$9995)++SUMIF('New Master-List'!$AH$3:$AH$9995,'By Industries (NBC)'!A27,'New Master-List'!$O$3:$O$9995)</f>
        <v>0</v>
      </c>
      <c r="D27" s="181">
        <f>+SUMIF('New Master-List'!$AH$3:$AH$9995,'By Industries (NBC)'!A27,'New Master-List'!$V$3:$V$9995)</f>
        <v>0</v>
      </c>
      <c r="E27" s="181">
        <f>+SUMIF('New Master-List'!$AH$199:$AH$9995,'By Industries (NBC)'!A27,'New Master-List'!$X$199:$X$9995)</f>
        <v>0</v>
      </c>
      <c r="G27" s="344">
        <f t="shared" si="0"/>
        <v>0</v>
      </c>
      <c r="H27" s="344">
        <f t="shared" si="1"/>
        <v>0</v>
      </c>
      <c r="I27" s="344">
        <f t="shared" si="2"/>
        <v>0</v>
      </c>
      <c r="J27" s="344">
        <f t="shared" si="3"/>
        <v>0</v>
      </c>
    </row>
    <row r="28" spans="1:14" ht="15.75">
      <c r="A28" s="186" t="s">
        <v>182</v>
      </c>
      <c r="B28" s="181">
        <f>+SUMIF('New Master-List'!$AH$3:$AH$9995,'By Industries (NBC)'!A28,'New Master-List'!$L$3:$L$9995)</f>
        <v>0</v>
      </c>
      <c r="C28" s="1555">
        <f>+SUMIF('New Master-List'!$AH$3:$AH$9995,'By Industries (NBC)'!A28,'New Master-List'!$M$3:$M$9995)+SUMIF('New Master-List'!$AH$3:$AH$9995,'By Industries (NBC)'!A28,'New Master-List'!$N$3:$N$9995)++SUMIF('New Master-List'!$AH$3:$AH$9995,'By Industries (NBC)'!A28,'New Master-List'!$O$3:$O$9995)</f>
        <v>0</v>
      </c>
      <c r="D28" s="181">
        <f>+SUMIF('New Master-List'!$AH$3:$AH$9995,'By Industries (NBC)'!A28,'New Master-List'!$V$3:$V$9995)</f>
        <v>0</v>
      </c>
      <c r="E28" s="181">
        <f>+SUMIF('New Master-List'!$AH$199:$AH$9995,'By Industries (NBC)'!A28,'New Master-List'!$X$199:$X$9995)</f>
        <v>0</v>
      </c>
      <c r="G28" s="344">
        <f t="shared" si="0"/>
        <v>0</v>
      </c>
      <c r="H28" s="344">
        <f t="shared" si="1"/>
        <v>0</v>
      </c>
      <c r="I28" s="344">
        <f t="shared" si="2"/>
        <v>0</v>
      </c>
      <c r="J28" s="344">
        <f t="shared" si="3"/>
        <v>0</v>
      </c>
    </row>
    <row r="29" spans="1:14" ht="15.75">
      <c r="A29" s="188" t="s">
        <v>110</v>
      </c>
      <c r="B29" s="181">
        <f>+SUMIF('New Master-List'!$AH$3:$AH$9995,'By Industries (NBC)'!A29,'New Master-List'!$L$3:$L$9995)</f>
        <v>0</v>
      </c>
      <c r="C29" s="1555">
        <f>+SUMIF('New Master-List'!$AH$3:$AH$9995,'By Industries (NBC)'!A29,'New Master-List'!$M$3:$M$9995)+SUMIF('New Master-List'!$AH$3:$AH$9995,'By Industries (NBC)'!A29,'New Master-List'!$N$3:$N$9995)++SUMIF('New Master-List'!$AH$3:$AH$9995,'By Industries (NBC)'!A29,'New Master-List'!$O$3:$O$9995)</f>
        <v>0</v>
      </c>
      <c r="D29" s="181">
        <f>+SUMIF('New Master-List'!$AH$3:$AH$9995,'By Industries (NBC)'!A29,'New Master-List'!$V$3:$V$9995)</f>
        <v>0</v>
      </c>
      <c r="E29" s="181">
        <f>+SUMIF('New Master-List'!$AH$199:$AH$9995,'By Industries (NBC)'!A29,'New Master-List'!$X$199:$X$9995)</f>
        <v>0</v>
      </c>
      <c r="G29" s="344">
        <f t="shared" si="0"/>
        <v>0</v>
      </c>
      <c r="H29" s="344">
        <f t="shared" si="1"/>
        <v>0</v>
      </c>
      <c r="I29" s="344">
        <f t="shared" si="2"/>
        <v>0</v>
      </c>
      <c r="J29" s="344">
        <f t="shared" si="3"/>
        <v>0</v>
      </c>
      <c r="K29" s="174"/>
      <c r="L29" s="174"/>
      <c r="M29" s="174"/>
      <c r="N29" s="174"/>
    </row>
    <row r="30" spans="1:14" ht="15.75">
      <c r="A30" s="186" t="s">
        <v>183</v>
      </c>
      <c r="B30" s="181">
        <f>+SUMIF('New Master-List'!$AH$3:$AH$9995,'By Industries (NBC)'!A30,'New Master-List'!$L$3:$L$9995)</f>
        <v>0</v>
      </c>
      <c r="C30" s="1555">
        <f>+SUMIF('New Master-List'!$AH$3:$AH$9995,'By Industries (NBC)'!A30,'New Master-List'!$M$3:$M$9995)+SUMIF('New Master-List'!$AH$3:$AH$9995,'By Industries (NBC)'!A30,'New Master-List'!$N$3:$N$9995)++SUMIF('New Master-List'!$AH$3:$AH$9995,'By Industries (NBC)'!A30,'New Master-List'!$O$3:$O$9995)</f>
        <v>0</v>
      </c>
      <c r="D30" s="181">
        <f>+SUMIF('New Master-List'!$AH$3:$AH$9995,'By Industries (NBC)'!A30,'New Master-List'!$V$3:$V$9995)</f>
        <v>0</v>
      </c>
      <c r="E30" s="181">
        <f>+SUMIF('New Master-List'!$AH$199:$AH$9995,'By Industries (NBC)'!A30,'New Master-List'!$X$199:$X$9995)</f>
        <v>0</v>
      </c>
      <c r="G30" s="344">
        <f t="shared" si="0"/>
        <v>0</v>
      </c>
      <c r="H30" s="344">
        <f t="shared" si="1"/>
        <v>0</v>
      </c>
      <c r="I30" s="344">
        <f t="shared" si="2"/>
        <v>0</v>
      </c>
      <c r="J30" s="344">
        <f t="shared" si="3"/>
        <v>0</v>
      </c>
    </row>
    <row r="31" spans="1:14" ht="15.75">
      <c r="A31" s="186" t="s">
        <v>184</v>
      </c>
      <c r="B31" s="181">
        <f>+SUMIF('New Master-List'!$AH$3:$AH$9995,'By Industries (NBC)'!A31,'New Master-List'!$L$3:$L$9995)</f>
        <v>0</v>
      </c>
      <c r="C31" s="1555">
        <f>+SUMIF('New Master-List'!$AH$3:$AH$9995,'By Industries (NBC)'!A31,'New Master-List'!$M$3:$M$9995)+SUMIF('New Master-List'!$AH$3:$AH$9995,'By Industries (NBC)'!A31,'New Master-List'!$N$3:$N$9995)++SUMIF('New Master-List'!$AH$3:$AH$9995,'By Industries (NBC)'!A31,'New Master-List'!$O$3:$O$9995)</f>
        <v>0</v>
      </c>
      <c r="D31" s="181">
        <f>+SUMIF('New Master-List'!$AH$3:$AH$9995,'By Industries (NBC)'!A31,'New Master-List'!$V$3:$V$9995)</f>
        <v>0</v>
      </c>
      <c r="E31" s="181">
        <f>+SUMIF('New Master-List'!$AH$199:$AH$9995,'By Industries (NBC)'!A31,'New Master-List'!$X$199:$X$9995)</f>
        <v>0</v>
      </c>
      <c r="G31" s="344">
        <f t="shared" si="0"/>
        <v>0</v>
      </c>
      <c r="H31" s="344">
        <f t="shared" si="1"/>
        <v>0</v>
      </c>
      <c r="I31" s="344">
        <f t="shared" si="2"/>
        <v>0</v>
      </c>
      <c r="J31" s="344">
        <f t="shared" si="3"/>
        <v>0</v>
      </c>
    </row>
    <row r="32" spans="1:14" ht="15.75">
      <c r="A32" s="186" t="s">
        <v>185</v>
      </c>
      <c r="B32" s="181">
        <f>+SUMIF('New Master-List'!$AH$3:$AH$9995,'By Industries (NBC)'!A32,'New Master-List'!$L$3:$L$9995)</f>
        <v>0</v>
      </c>
      <c r="C32" s="1555">
        <f>+SUMIF('New Master-List'!$AH$3:$AH$9995,'By Industries (NBC)'!A32,'New Master-List'!$M$3:$M$9995)+SUMIF('New Master-List'!$AH$3:$AH$9995,'By Industries (NBC)'!A32,'New Master-List'!$N$3:$N$9995)++SUMIF('New Master-List'!$AH$3:$AH$9995,'By Industries (NBC)'!A32,'New Master-List'!$O$3:$O$9995)</f>
        <v>0</v>
      </c>
      <c r="D32" s="181">
        <f>+SUMIF('New Master-List'!$AH$3:$AH$9995,'By Industries (NBC)'!A32,'New Master-List'!$V$3:$V$9995)</f>
        <v>0</v>
      </c>
      <c r="E32" s="181">
        <f>+SUMIF('New Master-List'!$AH$199:$AH$9995,'By Industries (NBC)'!A32,'New Master-List'!$X$199:$X$9995)</f>
        <v>0</v>
      </c>
      <c r="G32" s="344">
        <f t="shared" si="0"/>
        <v>0</v>
      </c>
      <c r="H32" s="344">
        <f t="shared" si="1"/>
        <v>0</v>
      </c>
      <c r="I32" s="344">
        <f t="shared" si="2"/>
        <v>0</v>
      </c>
      <c r="J32" s="344">
        <f t="shared" si="3"/>
        <v>0</v>
      </c>
    </row>
    <row r="33" spans="1:14" ht="15.75">
      <c r="A33" s="186" t="s">
        <v>186</v>
      </c>
      <c r="B33" s="181">
        <f>+SUMIF('New Master-List'!$AH$3:$AH$9995,'By Industries (NBC)'!A33,'New Master-List'!$L$3:$L$9995)</f>
        <v>0</v>
      </c>
      <c r="C33" s="1555">
        <f>+SUMIF('New Master-List'!$AH$3:$AH$9995,'By Industries (NBC)'!A33,'New Master-List'!$M$3:$M$9995)+SUMIF('New Master-List'!$AH$3:$AH$9995,'By Industries (NBC)'!A33,'New Master-List'!$N$3:$N$9995)++SUMIF('New Master-List'!$AH$3:$AH$9995,'By Industries (NBC)'!A33,'New Master-List'!$O$3:$O$9995)</f>
        <v>0</v>
      </c>
      <c r="D33" s="181">
        <f>+SUMIF('New Master-List'!$AH$3:$AH$9995,'By Industries (NBC)'!A33,'New Master-List'!$V$3:$V$9995)</f>
        <v>0</v>
      </c>
      <c r="E33" s="181">
        <f>+SUMIF('New Master-List'!$AH$199:$AH$9995,'By Industries (NBC)'!A33,'New Master-List'!$X$199:$X$9995)</f>
        <v>0</v>
      </c>
      <c r="G33" s="344">
        <f t="shared" si="0"/>
        <v>0</v>
      </c>
      <c r="H33" s="344">
        <f t="shared" si="1"/>
        <v>0</v>
      </c>
      <c r="I33" s="344">
        <f t="shared" si="2"/>
        <v>0</v>
      </c>
      <c r="J33" s="344">
        <f t="shared" si="3"/>
        <v>0</v>
      </c>
    </row>
    <row r="34" spans="1:14" ht="15.75">
      <c r="A34" s="188" t="s">
        <v>111</v>
      </c>
      <c r="B34" s="181">
        <f>+SUMIF('New Master-List'!$AH$3:$AH$9995,'By Industries (NBC)'!A34,'New Master-List'!$L$3:$L$9995)</f>
        <v>0</v>
      </c>
      <c r="C34" s="1555">
        <f>+SUMIF('New Master-List'!$AH$3:$AH$9995,'By Industries (NBC)'!A34,'New Master-List'!$M$3:$M$9995)+SUMIF('New Master-List'!$AH$3:$AH$9995,'By Industries (NBC)'!A34,'New Master-List'!$N$3:$N$9995)++SUMIF('New Master-List'!$AH$3:$AH$9995,'By Industries (NBC)'!A34,'New Master-List'!$O$3:$O$9995)</f>
        <v>0</v>
      </c>
      <c r="D34" s="181">
        <f>+SUMIF('New Master-List'!$AH$3:$AH$9995,'By Industries (NBC)'!A34,'New Master-List'!$V$3:$V$9995)</f>
        <v>0</v>
      </c>
      <c r="E34" s="181">
        <f>+SUMIF('New Master-List'!$AH$199:$AH$9995,'By Industries (NBC)'!A34,'New Master-List'!$X$199:$X$9995)</f>
        <v>0</v>
      </c>
      <c r="G34" s="344">
        <f t="shared" si="0"/>
        <v>0</v>
      </c>
      <c r="H34" s="344">
        <f t="shared" si="1"/>
        <v>0</v>
      </c>
      <c r="I34" s="344">
        <f t="shared" si="2"/>
        <v>0</v>
      </c>
      <c r="J34" s="344">
        <f t="shared" si="3"/>
        <v>0</v>
      </c>
      <c r="K34" s="174"/>
      <c r="L34" s="174"/>
      <c r="M34" s="174"/>
      <c r="N34" s="174"/>
    </row>
    <row r="35" spans="1:14" ht="15.75">
      <c r="A35" s="186" t="s">
        <v>187</v>
      </c>
      <c r="B35" s="181">
        <f>+SUMIF('New Master-List'!$AH$3:$AH$9995,'By Industries (NBC)'!A35,'New Master-List'!$L$3:$L$9995)</f>
        <v>0</v>
      </c>
      <c r="C35" s="1555">
        <f>+SUMIF('New Master-List'!$AH$3:$AH$9995,'By Industries (NBC)'!A35,'New Master-List'!$M$3:$M$9995)+SUMIF('New Master-List'!$AH$3:$AH$9995,'By Industries (NBC)'!A35,'New Master-List'!$N$3:$N$9995)++SUMIF('New Master-List'!$AH$3:$AH$9995,'By Industries (NBC)'!A35,'New Master-List'!$O$3:$O$9995)</f>
        <v>0</v>
      </c>
      <c r="D35" s="181">
        <f>+SUMIF('New Master-List'!$AH$3:$AH$9995,'By Industries (NBC)'!A35,'New Master-List'!$V$3:$V$9995)</f>
        <v>0</v>
      </c>
      <c r="E35" s="181">
        <f>+SUMIF('New Master-List'!$AH$199:$AH$9995,'By Industries (NBC)'!A35,'New Master-List'!$X$199:$X$9995)</f>
        <v>0</v>
      </c>
      <c r="G35" s="344">
        <f t="shared" si="0"/>
        <v>0</v>
      </c>
      <c r="H35" s="344">
        <f t="shared" si="1"/>
        <v>0</v>
      </c>
      <c r="I35" s="344">
        <f t="shared" si="2"/>
        <v>0</v>
      </c>
      <c r="J35" s="344">
        <f t="shared" si="3"/>
        <v>0</v>
      </c>
    </row>
    <row r="36" spans="1:14" ht="15.75">
      <c r="A36" s="186" t="s">
        <v>188</v>
      </c>
      <c r="B36" s="181">
        <f>+SUMIF('New Master-List'!$AH$3:$AH$9995,'By Industries (NBC)'!A36,'New Master-List'!$L$3:$L$9995)</f>
        <v>0</v>
      </c>
      <c r="C36" s="1555">
        <f>+SUMIF('New Master-List'!$AH$3:$AH$9995,'By Industries (NBC)'!A36,'New Master-List'!$M$3:$M$9995)+SUMIF('New Master-List'!$AH$3:$AH$9995,'By Industries (NBC)'!A36,'New Master-List'!$N$3:$N$9995)++SUMIF('New Master-List'!$AH$3:$AH$9995,'By Industries (NBC)'!A36,'New Master-List'!$O$3:$O$9995)</f>
        <v>0</v>
      </c>
      <c r="D36" s="181">
        <f>+SUMIF('New Master-List'!$AH$3:$AH$9995,'By Industries (NBC)'!A36,'New Master-List'!$V$3:$V$9995)</f>
        <v>0</v>
      </c>
      <c r="E36" s="181">
        <f>+SUMIF('New Master-List'!$AH$199:$AH$9995,'By Industries (NBC)'!A36,'New Master-List'!$X$199:$X$9995)</f>
        <v>0</v>
      </c>
      <c r="G36" s="344">
        <f t="shared" si="0"/>
        <v>0</v>
      </c>
      <c r="H36" s="344">
        <f t="shared" si="1"/>
        <v>0</v>
      </c>
      <c r="I36" s="344">
        <f t="shared" si="2"/>
        <v>0</v>
      </c>
      <c r="J36" s="344">
        <f t="shared" si="3"/>
        <v>0</v>
      </c>
    </row>
    <row r="37" spans="1:14" ht="15.75">
      <c r="A37" s="186" t="s">
        <v>189</v>
      </c>
      <c r="B37" s="181">
        <f>+SUMIF('New Master-List'!$AH$3:$AH$9995,'By Industries (NBC)'!A37,'New Master-List'!$L$3:$L$9995)</f>
        <v>0</v>
      </c>
      <c r="C37" s="1555">
        <f>+SUMIF('New Master-List'!$AH$3:$AH$9995,'By Industries (NBC)'!A37,'New Master-List'!$M$3:$M$9995)+SUMIF('New Master-List'!$AH$3:$AH$9995,'By Industries (NBC)'!A37,'New Master-List'!$N$3:$N$9995)++SUMIF('New Master-List'!$AH$3:$AH$9995,'By Industries (NBC)'!A37,'New Master-List'!$O$3:$O$9995)</f>
        <v>0</v>
      </c>
      <c r="D37" s="181">
        <f>+SUMIF('New Master-List'!$AH$3:$AH$9995,'By Industries (NBC)'!A37,'New Master-List'!$V$3:$V$9995)</f>
        <v>0</v>
      </c>
      <c r="E37" s="181">
        <f>+SUMIF('New Master-List'!$AH$199:$AH$9995,'By Industries (NBC)'!A37,'New Master-List'!$X$199:$X$9995)</f>
        <v>0</v>
      </c>
      <c r="G37" s="344">
        <f t="shared" si="0"/>
        <v>0</v>
      </c>
      <c r="H37" s="344">
        <f t="shared" si="1"/>
        <v>0</v>
      </c>
      <c r="I37" s="344">
        <f t="shared" si="2"/>
        <v>0</v>
      </c>
      <c r="J37" s="344">
        <f t="shared" si="3"/>
        <v>0</v>
      </c>
    </row>
    <row r="38" spans="1:14" ht="15.75">
      <c r="A38" s="186" t="s">
        <v>190</v>
      </c>
      <c r="B38" s="181">
        <f>+SUMIF('New Master-List'!$AH$3:$AH$9995,'By Industries (NBC)'!A38,'New Master-List'!$L$3:$L$9995)</f>
        <v>0</v>
      </c>
      <c r="C38" s="1555">
        <f>+SUMIF('New Master-List'!$AH$3:$AH$9995,'By Industries (NBC)'!A38,'New Master-List'!$M$3:$M$9995)+SUMIF('New Master-List'!$AH$3:$AH$9995,'By Industries (NBC)'!A38,'New Master-List'!$N$3:$N$9995)++SUMIF('New Master-List'!$AH$3:$AH$9995,'By Industries (NBC)'!A38,'New Master-List'!$O$3:$O$9995)</f>
        <v>0</v>
      </c>
      <c r="D38" s="181">
        <f>+SUMIF('New Master-List'!$AH$3:$AH$9995,'By Industries (NBC)'!A38,'New Master-List'!$V$3:$V$9995)</f>
        <v>0</v>
      </c>
      <c r="E38" s="181">
        <f>+SUMIF('New Master-List'!$AH$199:$AH$9995,'By Industries (NBC)'!A38,'New Master-List'!$X$199:$X$9995)</f>
        <v>0</v>
      </c>
      <c r="G38" s="344">
        <f t="shared" si="0"/>
        <v>0</v>
      </c>
      <c r="H38" s="344">
        <f t="shared" si="1"/>
        <v>0</v>
      </c>
      <c r="I38" s="344">
        <f t="shared" si="2"/>
        <v>0</v>
      </c>
      <c r="J38" s="344">
        <f t="shared" si="3"/>
        <v>0</v>
      </c>
    </row>
    <row r="39" spans="1:14" ht="15.75">
      <c r="A39" s="188" t="s">
        <v>112</v>
      </c>
      <c r="B39" s="181">
        <f>+SUMIF('New Master-List'!$AH$3:$AH$9995,'By Industries (NBC)'!A39,'New Master-List'!$L$3:$L$9995)</f>
        <v>0</v>
      </c>
      <c r="C39" s="1555">
        <f>+SUMIF('New Master-List'!$AH$3:$AH$9995,'By Industries (NBC)'!A39,'New Master-List'!$M$3:$M$9995)+SUMIF('New Master-List'!$AH$3:$AH$9995,'By Industries (NBC)'!A39,'New Master-List'!$N$3:$N$9995)++SUMIF('New Master-List'!$AH$3:$AH$9995,'By Industries (NBC)'!A39,'New Master-List'!$O$3:$O$9995)</f>
        <v>0</v>
      </c>
      <c r="D39" s="181">
        <f>+SUMIF('New Master-List'!$AH$3:$AH$9995,'By Industries (NBC)'!A39,'New Master-List'!$V$3:$V$9995)</f>
        <v>0</v>
      </c>
      <c r="E39" s="181">
        <f>+SUMIF('New Master-List'!$AH$199:$AH$9995,'By Industries (NBC)'!A39,'New Master-List'!$X$199:$X$9995)</f>
        <v>0</v>
      </c>
      <c r="G39" s="344">
        <f t="shared" si="0"/>
        <v>0</v>
      </c>
      <c r="H39" s="344">
        <f t="shared" si="1"/>
        <v>0</v>
      </c>
      <c r="I39" s="344">
        <f t="shared" si="2"/>
        <v>0</v>
      </c>
      <c r="J39" s="344">
        <f t="shared" si="3"/>
        <v>0</v>
      </c>
      <c r="K39" s="174"/>
      <c r="L39" s="174"/>
      <c r="M39" s="174"/>
      <c r="N39" s="174"/>
    </row>
    <row r="40" spans="1:14" ht="15.75">
      <c r="A40" s="186" t="s">
        <v>191</v>
      </c>
      <c r="B40" s="181">
        <f>+SUMIF('New Master-List'!$AH$3:$AH$9995,'By Industries (NBC)'!A40,'New Master-List'!$L$3:$L$9995)</f>
        <v>0</v>
      </c>
      <c r="C40" s="1555">
        <f>+SUMIF('New Master-List'!$AH$3:$AH$9995,'By Industries (NBC)'!A40,'New Master-List'!$M$3:$M$9995)+SUMIF('New Master-List'!$AH$3:$AH$9995,'By Industries (NBC)'!A40,'New Master-List'!$N$3:$N$9995)++SUMIF('New Master-List'!$AH$3:$AH$9995,'By Industries (NBC)'!A40,'New Master-List'!$O$3:$O$9995)</f>
        <v>0</v>
      </c>
      <c r="D40" s="181">
        <f>+SUMIF('New Master-List'!$AH$3:$AH$9995,'By Industries (NBC)'!A40,'New Master-List'!$V$3:$V$9995)</f>
        <v>0</v>
      </c>
      <c r="E40" s="181">
        <f>+SUMIF('New Master-List'!$AH$199:$AH$9995,'By Industries (NBC)'!A40,'New Master-List'!$X$199:$X$9995)</f>
        <v>0</v>
      </c>
      <c r="G40" s="344">
        <f t="shared" si="0"/>
        <v>0</v>
      </c>
      <c r="H40" s="344">
        <f t="shared" si="1"/>
        <v>0</v>
      </c>
      <c r="I40" s="344">
        <f t="shared" si="2"/>
        <v>0</v>
      </c>
      <c r="J40" s="344">
        <f t="shared" si="3"/>
        <v>0</v>
      </c>
    </row>
    <row r="41" spans="1:14" ht="15.75">
      <c r="A41" s="186" t="s">
        <v>192</v>
      </c>
      <c r="B41" s="181">
        <f>+SUMIF('New Master-List'!$AH$3:$AH$9995,'By Industries (NBC)'!A41,'New Master-List'!$L$3:$L$9995)</f>
        <v>0</v>
      </c>
      <c r="C41" s="1555">
        <f>+SUMIF('New Master-List'!$AH$3:$AH$9995,'By Industries (NBC)'!A41,'New Master-List'!$M$3:$M$9995)+SUMIF('New Master-List'!$AH$3:$AH$9995,'By Industries (NBC)'!A41,'New Master-List'!$N$3:$N$9995)++SUMIF('New Master-List'!$AH$3:$AH$9995,'By Industries (NBC)'!A41,'New Master-List'!$O$3:$O$9995)</f>
        <v>0</v>
      </c>
      <c r="D41" s="181">
        <f>+SUMIF('New Master-List'!$AH$3:$AH$9995,'By Industries (NBC)'!A41,'New Master-List'!$V$3:$V$9995)</f>
        <v>0</v>
      </c>
      <c r="E41" s="181">
        <f>+SUMIF('New Master-List'!$AH$199:$AH$9995,'By Industries (NBC)'!A41,'New Master-List'!$X$199:$X$9995)</f>
        <v>0</v>
      </c>
      <c r="G41" s="344">
        <f t="shared" si="0"/>
        <v>0</v>
      </c>
      <c r="H41" s="344">
        <f t="shared" si="1"/>
        <v>0</v>
      </c>
      <c r="I41" s="344">
        <f t="shared" si="2"/>
        <v>0</v>
      </c>
      <c r="J41" s="344">
        <f t="shared" si="3"/>
        <v>0</v>
      </c>
    </row>
    <row r="42" spans="1:14" ht="15.75">
      <c r="A42" s="186" t="s">
        <v>193</v>
      </c>
      <c r="B42" s="181">
        <f>+SUMIF('New Master-List'!$AH$3:$AH$9995,'By Industries (NBC)'!A42,'New Master-List'!$L$3:$L$9995)</f>
        <v>0</v>
      </c>
      <c r="C42" s="1555">
        <f>+SUMIF('New Master-List'!$AH$3:$AH$9995,'By Industries (NBC)'!A42,'New Master-List'!$M$3:$M$9995)+SUMIF('New Master-List'!$AH$3:$AH$9995,'By Industries (NBC)'!A42,'New Master-List'!$N$3:$N$9995)++SUMIF('New Master-List'!$AH$3:$AH$9995,'By Industries (NBC)'!A42,'New Master-List'!$O$3:$O$9995)</f>
        <v>0</v>
      </c>
      <c r="D42" s="181">
        <f>+SUMIF('New Master-List'!$AH$3:$AH$9995,'By Industries (NBC)'!A42,'New Master-List'!$V$3:$V$9995)</f>
        <v>0</v>
      </c>
      <c r="E42" s="181">
        <f>+SUMIF('New Master-List'!$AH$199:$AH$9995,'By Industries (NBC)'!A42,'New Master-List'!$X$199:$X$9995)</f>
        <v>0</v>
      </c>
      <c r="G42" s="344">
        <f t="shared" si="0"/>
        <v>0</v>
      </c>
      <c r="H42" s="344">
        <f t="shared" si="1"/>
        <v>0</v>
      </c>
      <c r="I42" s="344">
        <f t="shared" si="2"/>
        <v>0</v>
      </c>
      <c r="J42" s="344">
        <f t="shared" si="3"/>
        <v>0</v>
      </c>
    </row>
    <row r="43" spans="1:14" ht="15.75">
      <c r="A43" s="186" t="s">
        <v>194</v>
      </c>
      <c r="B43" s="181">
        <f>+SUMIF('New Master-List'!$AH$3:$AH$9995,'By Industries (NBC)'!A43,'New Master-List'!$L$3:$L$9995)</f>
        <v>0</v>
      </c>
      <c r="C43" s="1555">
        <f>+SUMIF('New Master-List'!$AH$3:$AH$9995,'By Industries (NBC)'!A43,'New Master-List'!$M$3:$M$9995)+SUMIF('New Master-List'!$AH$3:$AH$9995,'By Industries (NBC)'!A43,'New Master-List'!$N$3:$N$9995)++SUMIF('New Master-List'!$AH$3:$AH$9995,'By Industries (NBC)'!A43,'New Master-List'!$O$3:$O$9995)</f>
        <v>0</v>
      </c>
      <c r="D43" s="181">
        <f>+SUMIF('New Master-List'!$AH$3:$AH$9995,'By Industries (NBC)'!A43,'New Master-List'!$V$3:$V$9995)</f>
        <v>0</v>
      </c>
      <c r="E43" s="181">
        <f>+SUMIF('New Master-List'!$AH$199:$AH$9995,'By Industries (NBC)'!A43,'New Master-List'!$X$199:$X$9995)</f>
        <v>0</v>
      </c>
      <c r="G43" s="344">
        <f t="shared" si="0"/>
        <v>0</v>
      </c>
      <c r="H43" s="344">
        <f t="shared" si="1"/>
        <v>0</v>
      </c>
      <c r="I43" s="344">
        <f t="shared" si="2"/>
        <v>0</v>
      </c>
      <c r="J43" s="344">
        <f t="shared" si="3"/>
        <v>0</v>
      </c>
    </row>
    <row r="44" spans="1:14" ht="15.75">
      <c r="A44" s="188" t="s">
        <v>113</v>
      </c>
      <c r="B44" s="181">
        <f>+SUMIF('New Master-List'!$AH$3:$AH$9995,'By Industries (NBC)'!A44,'New Master-List'!$L$3:$L$9995)</f>
        <v>0</v>
      </c>
      <c r="C44" s="1555">
        <f>+SUMIF('New Master-List'!$AH$3:$AH$9995,'By Industries (NBC)'!A44,'New Master-List'!$M$3:$M$9995)+SUMIF('New Master-List'!$AH$3:$AH$9995,'By Industries (NBC)'!A44,'New Master-List'!$N$3:$N$9995)++SUMIF('New Master-List'!$AH$3:$AH$9995,'By Industries (NBC)'!A44,'New Master-List'!$O$3:$O$9995)</f>
        <v>0</v>
      </c>
      <c r="D44" s="181">
        <f>+SUMIF('New Master-List'!$AH$3:$AH$9995,'By Industries (NBC)'!A44,'New Master-List'!$V$3:$V$9995)</f>
        <v>0</v>
      </c>
      <c r="E44" s="181">
        <f>+SUMIF('New Master-List'!$AH$199:$AH$9995,'By Industries (NBC)'!A44,'New Master-List'!$X$199:$X$9995)</f>
        <v>0</v>
      </c>
      <c r="G44" s="344">
        <f t="shared" si="0"/>
        <v>0</v>
      </c>
      <c r="H44" s="344">
        <f t="shared" si="1"/>
        <v>0</v>
      </c>
      <c r="I44" s="344">
        <f t="shared" si="2"/>
        <v>0</v>
      </c>
      <c r="J44" s="344">
        <f t="shared" si="3"/>
        <v>0</v>
      </c>
      <c r="K44" s="174"/>
      <c r="L44" s="174"/>
      <c r="M44" s="174"/>
      <c r="N44" s="174"/>
    </row>
    <row r="45" spans="1:14" ht="15.75">
      <c r="A45" s="186" t="s">
        <v>195</v>
      </c>
      <c r="B45" s="181">
        <f>+SUMIF('New Master-List'!$AH$3:$AH$9995,'By Industries (NBC)'!A45,'New Master-List'!$L$3:$L$9995)</f>
        <v>0</v>
      </c>
      <c r="C45" s="1555">
        <f>+SUMIF('New Master-List'!$AH$3:$AH$9995,'By Industries (NBC)'!A45,'New Master-List'!$M$3:$M$9995)+SUMIF('New Master-List'!$AH$3:$AH$9995,'By Industries (NBC)'!A45,'New Master-List'!$N$3:$N$9995)++SUMIF('New Master-List'!$AH$3:$AH$9995,'By Industries (NBC)'!A45,'New Master-List'!$O$3:$O$9995)</f>
        <v>0</v>
      </c>
      <c r="D45" s="181">
        <f>+SUMIF('New Master-List'!$AH$3:$AH$9995,'By Industries (NBC)'!A45,'New Master-List'!$V$3:$V$9995)</f>
        <v>0</v>
      </c>
      <c r="E45" s="181">
        <f>+SUMIF('New Master-List'!$AH$199:$AH$9995,'By Industries (NBC)'!A45,'New Master-List'!$X$199:$X$9995)</f>
        <v>0</v>
      </c>
      <c r="G45" s="344">
        <f t="shared" si="0"/>
        <v>0</v>
      </c>
      <c r="H45" s="344">
        <f t="shared" si="1"/>
        <v>0</v>
      </c>
      <c r="I45" s="344">
        <f t="shared" si="2"/>
        <v>0</v>
      </c>
      <c r="J45" s="344">
        <f t="shared" si="3"/>
        <v>0</v>
      </c>
    </row>
    <row r="46" spans="1:14" ht="15.75">
      <c r="A46" s="186" t="s">
        <v>196</v>
      </c>
      <c r="B46" s="181">
        <f>+SUMIF('New Master-List'!$AH$3:$AH$9995,'By Industries (NBC)'!A46,'New Master-List'!$L$3:$L$9995)</f>
        <v>0</v>
      </c>
      <c r="C46" s="1555">
        <f>+SUMIF('New Master-List'!$AH$3:$AH$9995,'By Industries (NBC)'!A46,'New Master-List'!$M$3:$M$9995)+SUMIF('New Master-List'!$AH$3:$AH$9995,'By Industries (NBC)'!A46,'New Master-List'!$N$3:$N$9995)++SUMIF('New Master-List'!$AH$3:$AH$9995,'By Industries (NBC)'!A46,'New Master-List'!$O$3:$O$9995)</f>
        <v>0</v>
      </c>
      <c r="D46" s="181">
        <f>+SUMIF('New Master-List'!$AH$3:$AH$9995,'By Industries (NBC)'!A46,'New Master-List'!$V$3:$V$9995)</f>
        <v>0</v>
      </c>
      <c r="E46" s="181">
        <f>+SUMIF('New Master-List'!$AH$199:$AH$9995,'By Industries (NBC)'!A46,'New Master-List'!$X$199:$X$9995)</f>
        <v>0</v>
      </c>
      <c r="G46" s="344">
        <f t="shared" si="0"/>
        <v>0</v>
      </c>
      <c r="H46" s="344">
        <f t="shared" si="1"/>
        <v>0</v>
      </c>
      <c r="I46" s="344">
        <f t="shared" si="2"/>
        <v>0</v>
      </c>
      <c r="J46" s="344">
        <f t="shared" si="3"/>
        <v>0</v>
      </c>
    </row>
    <row r="47" spans="1:14" ht="15.75">
      <c r="A47" s="186" t="s">
        <v>197</v>
      </c>
      <c r="B47" s="181">
        <f>+SUMIF('New Master-List'!$AH$3:$AH$9995,'By Industries (NBC)'!A47,'New Master-List'!$L$3:$L$9995)</f>
        <v>0</v>
      </c>
      <c r="C47" s="1555">
        <f>+SUMIF('New Master-List'!$AH$3:$AH$9995,'By Industries (NBC)'!A47,'New Master-List'!$M$3:$M$9995)+SUMIF('New Master-List'!$AH$3:$AH$9995,'By Industries (NBC)'!A47,'New Master-List'!$N$3:$N$9995)++SUMIF('New Master-List'!$AH$3:$AH$9995,'By Industries (NBC)'!A47,'New Master-List'!$O$3:$O$9995)</f>
        <v>0</v>
      </c>
      <c r="D47" s="181">
        <f>+SUMIF('New Master-List'!$AH$3:$AH$9995,'By Industries (NBC)'!A47,'New Master-List'!$V$3:$V$9995)</f>
        <v>0</v>
      </c>
      <c r="E47" s="181">
        <f>+SUMIF('New Master-List'!$AH$199:$AH$9995,'By Industries (NBC)'!A47,'New Master-List'!$X$199:$X$9995)</f>
        <v>0</v>
      </c>
      <c r="G47" s="344">
        <f t="shared" si="0"/>
        <v>0</v>
      </c>
      <c r="H47" s="344">
        <f t="shared" si="1"/>
        <v>0</v>
      </c>
      <c r="I47" s="344">
        <f t="shared" si="2"/>
        <v>0</v>
      </c>
      <c r="J47" s="344">
        <f t="shared" si="3"/>
        <v>0</v>
      </c>
    </row>
    <row r="48" spans="1:14" ht="15.75">
      <c r="A48" s="186" t="s">
        <v>198</v>
      </c>
      <c r="B48" s="181">
        <f>+SUMIF('New Master-List'!$AH$3:$AH$9995,'By Industries (NBC)'!A48,'New Master-List'!$L$3:$L$9995)</f>
        <v>0</v>
      </c>
      <c r="C48" s="1555">
        <f>+SUMIF('New Master-List'!$AH$3:$AH$9995,'By Industries (NBC)'!A48,'New Master-List'!$M$3:$M$9995)+SUMIF('New Master-List'!$AH$3:$AH$9995,'By Industries (NBC)'!A48,'New Master-List'!$N$3:$N$9995)++SUMIF('New Master-List'!$AH$3:$AH$9995,'By Industries (NBC)'!A48,'New Master-List'!$O$3:$O$9995)</f>
        <v>0</v>
      </c>
      <c r="D48" s="181">
        <f>+SUMIF('New Master-List'!$AH$3:$AH$9995,'By Industries (NBC)'!A48,'New Master-List'!$V$3:$V$9995)</f>
        <v>0</v>
      </c>
      <c r="E48" s="181">
        <f>+SUMIF('New Master-List'!$AH$199:$AH$9995,'By Industries (NBC)'!A48,'New Master-List'!$X$199:$X$9995)</f>
        <v>0</v>
      </c>
      <c r="G48" s="344">
        <f t="shared" si="0"/>
        <v>0</v>
      </c>
      <c r="H48" s="344">
        <f t="shared" si="1"/>
        <v>0</v>
      </c>
      <c r="I48" s="344">
        <f t="shared" si="2"/>
        <v>0</v>
      </c>
      <c r="J48" s="344">
        <f t="shared" si="3"/>
        <v>0</v>
      </c>
    </row>
    <row r="49" spans="1:14" ht="15.75">
      <c r="A49" s="190" t="s">
        <v>114</v>
      </c>
      <c r="B49" s="181">
        <f>+SUMIF('New Master-List'!$AH$3:$AH$9995,'By Industries (NBC)'!A49,'New Master-List'!$L$3:$L$9995)</f>
        <v>0</v>
      </c>
      <c r="C49" s="1555">
        <f>+SUMIF('New Master-List'!$AH$3:$AH$9995,'By Industries (NBC)'!A49,'New Master-List'!$M$3:$M$9995)+SUMIF('New Master-List'!$AH$3:$AH$9995,'By Industries (NBC)'!A49,'New Master-List'!$N$3:$N$9995)++SUMIF('New Master-List'!$AH$3:$AH$9995,'By Industries (NBC)'!A49,'New Master-List'!$O$3:$O$9995)</f>
        <v>0</v>
      </c>
      <c r="D49" s="181">
        <f>+SUMIF('New Master-List'!$AH$3:$AH$9995,'By Industries (NBC)'!A49,'New Master-List'!$V$3:$V$9995)</f>
        <v>0</v>
      </c>
      <c r="E49" s="181">
        <f>+SUMIF('New Master-List'!$AH$199:$AH$9995,'By Industries (NBC)'!A49,'New Master-List'!$X$199:$X$9995)</f>
        <v>0</v>
      </c>
      <c r="G49" s="344">
        <f t="shared" si="0"/>
        <v>0</v>
      </c>
      <c r="H49" s="344">
        <f t="shared" si="1"/>
        <v>0</v>
      </c>
      <c r="I49" s="344">
        <f t="shared" si="2"/>
        <v>0</v>
      </c>
      <c r="J49" s="344">
        <f t="shared" si="3"/>
        <v>0</v>
      </c>
      <c r="K49" s="174"/>
      <c r="L49" s="174"/>
      <c r="M49" s="174"/>
      <c r="N49" s="174"/>
    </row>
    <row r="50" spans="1:14" ht="15.75">
      <c r="A50" s="187" t="s">
        <v>199</v>
      </c>
      <c r="B50" s="181">
        <f>+SUMIF('New Master-List'!$AH$3:$AH$9995,'By Industries (NBC)'!A50,'New Master-List'!$L$3:$L$9995)</f>
        <v>0</v>
      </c>
      <c r="C50" s="1555">
        <f>+SUMIF('New Master-List'!$AH$3:$AH$9995,'By Industries (NBC)'!A50,'New Master-List'!$M$3:$M$9995)+SUMIF('New Master-List'!$AH$3:$AH$9995,'By Industries (NBC)'!A50,'New Master-List'!$N$3:$N$9995)++SUMIF('New Master-List'!$AH$3:$AH$9995,'By Industries (NBC)'!A50,'New Master-List'!$O$3:$O$9995)</f>
        <v>0</v>
      </c>
      <c r="D50" s="181">
        <f>+SUMIF('New Master-List'!$AH$3:$AH$9995,'By Industries (NBC)'!A50,'New Master-List'!$V$3:$V$9995)</f>
        <v>0</v>
      </c>
      <c r="E50" s="181">
        <f>+SUMIF('New Master-List'!$AH$199:$AH$9995,'By Industries (NBC)'!A50,'New Master-List'!$X$199:$X$9995)</f>
        <v>0</v>
      </c>
      <c r="G50" s="344">
        <f t="shared" si="0"/>
        <v>0</v>
      </c>
      <c r="H50" s="344">
        <f t="shared" si="1"/>
        <v>0</v>
      </c>
      <c r="I50" s="344">
        <f t="shared" si="2"/>
        <v>0</v>
      </c>
      <c r="J50" s="344">
        <f t="shared" si="3"/>
        <v>0</v>
      </c>
    </row>
    <row r="51" spans="1:14" ht="15.75">
      <c r="A51" s="187" t="s">
        <v>200</v>
      </c>
      <c r="B51" s="181">
        <f>+SUMIF('New Master-List'!$AH$3:$AH$9995,'By Industries (NBC)'!A51,'New Master-List'!$L$3:$L$9995)</f>
        <v>0</v>
      </c>
      <c r="C51" s="1555">
        <f>+SUMIF('New Master-List'!$AH$3:$AH$9995,'By Industries (NBC)'!A51,'New Master-List'!$M$3:$M$9995)+SUMIF('New Master-List'!$AH$3:$AH$9995,'By Industries (NBC)'!A51,'New Master-List'!$N$3:$N$9995)++SUMIF('New Master-List'!$AH$3:$AH$9995,'By Industries (NBC)'!A51,'New Master-List'!$O$3:$O$9995)</f>
        <v>0</v>
      </c>
      <c r="D51" s="181">
        <f>+SUMIF('New Master-List'!$AH$3:$AH$9995,'By Industries (NBC)'!A51,'New Master-List'!$V$3:$V$9995)</f>
        <v>0</v>
      </c>
      <c r="E51" s="181">
        <f>+SUMIF('New Master-List'!$AH$199:$AH$9995,'By Industries (NBC)'!A51,'New Master-List'!$X$199:$X$9995)</f>
        <v>0</v>
      </c>
      <c r="G51" s="344">
        <f t="shared" si="0"/>
        <v>0</v>
      </c>
      <c r="H51" s="344">
        <f t="shared" si="1"/>
        <v>0</v>
      </c>
      <c r="I51" s="344">
        <f t="shared" si="2"/>
        <v>0</v>
      </c>
      <c r="J51" s="344">
        <f t="shared" si="3"/>
        <v>0</v>
      </c>
    </row>
    <row r="52" spans="1:14" ht="15.75">
      <c r="A52" s="187" t="s">
        <v>201</v>
      </c>
      <c r="B52" s="181">
        <f>+SUMIF('New Master-List'!$AH$3:$AH$9995,'By Industries (NBC)'!A52,'New Master-List'!$L$3:$L$9995)</f>
        <v>0</v>
      </c>
      <c r="C52" s="1555">
        <f>+SUMIF('New Master-List'!$AH$3:$AH$9995,'By Industries (NBC)'!A52,'New Master-List'!$M$3:$M$9995)+SUMIF('New Master-List'!$AH$3:$AH$9995,'By Industries (NBC)'!A52,'New Master-List'!$N$3:$N$9995)++SUMIF('New Master-List'!$AH$3:$AH$9995,'By Industries (NBC)'!A52,'New Master-List'!$O$3:$O$9995)</f>
        <v>0</v>
      </c>
      <c r="D52" s="181">
        <f>+SUMIF('New Master-List'!$AH$3:$AH$9995,'By Industries (NBC)'!A52,'New Master-List'!$V$3:$V$9995)</f>
        <v>0</v>
      </c>
      <c r="E52" s="181">
        <f>+SUMIF('New Master-List'!$AH$199:$AH$9995,'By Industries (NBC)'!A52,'New Master-List'!$X$199:$X$9995)</f>
        <v>0</v>
      </c>
      <c r="G52" s="344">
        <f t="shared" si="0"/>
        <v>0</v>
      </c>
      <c r="H52" s="344">
        <f t="shared" si="1"/>
        <v>0</v>
      </c>
      <c r="I52" s="344">
        <f t="shared" si="2"/>
        <v>0</v>
      </c>
      <c r="J52" s="344">
        <f t="shared" si="3"/>
        <v>0</v>
      </c>
    </row>
    <row r="53" spans="1:14" ht="15.75">
      <c r="A53" s="187" t="s">
        <v>202</v>
      </c>
      <c r="B53" s="181">
        <f>+SUMIF('New Master-List'!$AH$3:$AH$9995,'By Industries (NBC)'!A53,'New Master-List'!$L$3:$L$9995)</f>
        <v>0</v>
      </c>
      <c r="C53" s="1555">
        <f>+SUMIF('New Master-List'!$AH$3:$AH$9995,'By Industries (NBC)'!A53,'New Master-List'!$M$3:$M$9995)+SUMIF('New Master-List'!$AH$3:$AH$9995,'By Industries (NBC)'!A53,'New Master-List'!$N$3:$N$9995)++SUMIF('New Master-List'!$AH$3:$AH$9995,'By Industries (NBC)'!A53,'New Master-List'!$O$3:$O$9995)</f>
        <v>0</v>
      </c>
      <c r="D53" s="181">
        <f>+SUMIF('New Master-List'!$AH$3:$AH$9995,'By Industries (NBC)'!A53,'New Master-List'!$V$3:$V$9995)</f>
        <v>0</v>
      </c>
      <c r="E53" s="181">
        <f>+SUMIF('New Master-List'!$AH$199:$AH$9995,'By Industries (NBC)'!A53,'New Master-List'!$X$199:$X$9995)</f>
        <v>0</v>
      </c>
      <c r="G53" s="344">
        <f t="shared" si="0"/>
        <v>0</v>
      </c>
      <c r="H53" s="344">
        <f t="shared" si="1"/>
        <v>0</v>
      </c>
      <c r="I53" s="344">
        <f t="shared" si="2"/>
        <v>0</v>
      </c>
      <c r="J53" s="344">
        <f t="shared" si="3"/>
        <v>0</v>
      </c>
    </row>
    <row r="54" spans="1:14" ht="15.75">
      <c r="A54" s="188" t="s">
        <v>115</v>
      </c>
      <c r="B54" s="181">
        <f>+SUMIF('New Master-List'!$AH$3:$AH$9995,'By Industries (NBC)'!A54,'New Master-List'!$L$3:$L$9995)</f>
        <v>0</v>
      </c>
      <c r="C54" s="1555">
        <f>+SUMIF('New Master-List'!$AH$3:$AH$9995,'By Industries (NBC)'!A54,'New Master-List'!$M$3:$M$9995)+SUMIF('New Master-List'!$AH$3:$AH$9995,'By Industries (NBC)'!A54,'New Master-List'!$N$3:$N$9995)++SUMIF('New Master-List'!$AH$3:$AH$9995,'By Industries (NBC)'!A54,'New Master-List'!$O$3:$O$9995)</f>
        <v>0</v>
      </c>
      <c r="D54" s="181">
        <f>+SUMIF('New Master-List'!$AH$3:$AH$9995,'By Industries (NBC)'!A54,'New Master-List'!$V$3:$V$9995)</f>
        <v>0</v>
      </c>
      <c r="E54" s="181">
        <f>+SUMIF('New Master-List'!$AH$199:$AH$9995,'By Industries (NBC)'!A54,'New Master-List'!$X$199:$X$9995)</f>
        <v>0</v>
      </c>
      <c r="G54" s="344">
        <f t="shared" si="0"/>
        <v>0</v>
      </c>
      <c r="H54" s="344">
        <f t="shared" si="1"/>
        <v>0</v>
      </c>
      <c r="I54" s="344">
        <f t="shared" si="2"/>
        <v>0</v>
      </c>
      <c r="J54" s="344">
        <f t="shared" si="3"/>
        <v>0</v>
      </c>
      <c r="K54" s="174"/>
      <c r="L54" s="174"/>
      <c r="M54" s="174"/>
      <c r="N54" s="174"/>
    </row>
    <row r="55" spans="1:14" ht="15.75">
      <c r="A55" s="186" t="s">
        <v>203</v>
      </c>
      <c r="B55" s="181">
        <f>+SUMIF('New Master-List'!$AH$3:$AH$9995,'By Industries (NBC)'!A55,'New Master-List'!$L$3:$L$9995)</f>
        <v>0</v>
      </c>
      <c r="C55" s="1555">
        <f>+SUMIF('New Master-List'!$AH$3:$AH$9995,'By Industries (NBC)'!A55,'New Master-List'!$M$3:$M$9995)+SUMIF('New Master-List'!$AH$3:$AH$9995,'By Industries (NBC)'!A55,'New Master-List'!$N$3:$N$9995)++SUMIF('New Master-List'!$AH$3:$AH$9995,'By Industries (NBC)'!A55,'New Master-List'!$O$3:$O$9995)</f>
        <v>0</v>
      </c>
      <c r="D55" s="181">
        <f>+SUMIF('New Master-List'!$AH$3:$AH$9995,'By Industries (NBC)'!A55,'New Master-List'!$V$3:$V$9995)</f>
        <v>0</v>
      </c>
      <c r="E55" s="181">
        <f>+SUMIF('New Master-List'!$AH$199:$AH$9995,'By Industries (NBC)'!A55,'New Master-List'!$X$199:$X$9995)</f>
        <v>0</v>
      </c>
      <c r="G55" s="344">
        <f t="shared" si="0"/>
        <v>0</v>
      </c>
      <c r="H55" s="344">
        <f t="shared" si="1"/>
        <v>0</v>
      </c>
      <c r="I55" s="344">
        <f t="shared" si="2"/>
        <v>0</v>
      </c>
      <c r="J55" s="344">
        <f t="shared" si="3"/>
        <v>0</v>
      </c>
    </row>
    <row r="56" spans="1:14" ht="15.75">
      <c r="A56" s="186" t="s">
        <v>204</v>
      </c>
      <c r="B56" s="181">
        <f>+SUMIF('New Master-List'!$AH$3:$AH$9995,'By Industries (NBC)'!A56,'New Master-List'!$L$3:$L$9995)</f>
        <v>0</v>
      </c>
      <c r="C56" s="1555">
        <f>+SUMIF('New Master-List'!$AH$3:$AH$9995,'By Industries (NBC)'!A56,'New Master-List'!$M$3:$M$9995)+SUMIF('New Master-List'!$AH$3:$AH$9995,'By Industries (NBC)'!A56,'New Master-List'!$N$3:$N$9995)++SUMIF('New Master-List'!$AH$3:$AH$9995,'By Industries (NBC)'!A56,'New Master-List'!$O$3:$O$9995)</f>
        <v>0</v>
      </c>
      <c r="D56" s="181">
        <f>+SUMIF('New Master-List'!$AH$3:$AH$9995,'By Industries (NBC)'!A56,'New Master-List'!$V$3:$V$9995)</f>
        <v>0</v>
      </c>
      <c r="E56" s="181">
        <f>+SUMIF('New Master-List'!$AH$199:$AH$9995,'By Industries (NBC)'!A56,'New Master-List'!$X$199:$X$9995)</f>
        <v>0</v>
      </c>
      <c r="G56" s="344">
        <f t="shared" si="0"/>
        <v>0</v>
      </c>
      <c r="H56" s="344">
        <f t="shared" si="1"/>
        <v>0</v>
      </c>
      <c r="I56" s="344">
        <f t="shared" si="2"/>
        <v>0</v>
      </c>
      <c r="J56" s="344">
        <f t="shared" si="3"/>
        <v>0</v>
      </c>
    </row>
    <row r="57" spans="1:14" ht="15.75">
      <c r="A57" s="186" t="s">
        <v>205</v>
      </c>
      <c r="B57" s="181">
        <f>+SUMIF('New Master-List'!$AH$3:$AH$9995,'By Industries (NBC)'!A57,'New Master-List'!$L$3:$L$9995)</f>
        <v>0</v>
      </c>
      <c r="C57" s="1555">
        <f>+SUMIF('New Master-List'!$AH$3:$AH$9995,'By Industries (NBC)'!A57,'New Master-List'!$M$3:$M$9995)+SUMIF('New Master-List'!$AH$3:$AH$9995,'By Industries (NBC)'!A57,'New Master-List'!$N$3:$N$9995)++SUMIF('New Master-List'!$AH$3:$AH$9995,'By Industries (NBC)'!A57,'New Master-List'!$O$3:$O$9995)</f>
        <v>0</v>
      </c>
      <c r="D57" s="181">
        <f>+SUMIF('New Master-List'!$AH$3:$AH$9995,'By Industries (NBC)'!A57,'New Master-List'!$V$3:$V$9995)</f>
        <v>0</v>
      </c>
      <c r="E57" s="181">
        <f>+SUMIF('New Master-List'!$AH$199:$AH$9995,'By Industries (NBC)'!A57,'New Master-List'!$X$199:$X$9995)</f>
        <v>0</v>
      </c>
      <c r="G57" s="344">
        <f t="shared" si="0"/>
        <v>0</v>
      </c>
      <c r="H57" s="344">
        <f t="shared" si="1"/>
        <v>0</v>
      </c>
      <c r="I57" s="344">
        <f t="shared" si="2"/>
        <v>0</v>
      </c>
      <c r="J57" s="344">
        <f t="shared" si="3"/>
        <v>0</v>
      </c>
    </row>
    <row r="58" spans="1:14" ht="15.75">
      <c r="A58" s="186" t="s">
        <v>206</v>
      </c>
      <c r="B58" s="181">
        <f>+SUMIF('New Master-List'!$AH$3:$AH$9995,'By Industries (NBC)'!A58,'New Master-List'!$L$3:$L$9995)</f>
        <v>0</v>
      </c>
      <c r="C58" s="1555">
        <f>+SUMIF('New Master-List'!$AH$3:$AH$9995,'By Industries (NBC)'!A58,'New Master-List'!$M$3:$M$9995)+SUMIF('New Master-List'!$AH$3:$AH$9995,'By Industries (NBC)'!A58,'New Master-List'!$N$3:$N$9995)++SUMIF('New Master-List'!$AH$3:$AH$9995,'By Industries (NBC)'!A58,'New Master-List'!$O$3:$O$9995)</f>
        <v>0</v>
      </c>
      <c r="D58" s="181">
        <f>+SUMIF('New Master-List'!$AH$3:$AH$9995,'By Industries (NBC)'!A58,'New Master-List'!$V$3:$V$9995)</f>
        <v>0</v>
      </c>
      <c r="E58" s="181">
        <f>+SUMIF('New Master-List'!$AH$199:$AH$9995,'By Industries (NBC)'!A58,'New Master-List'!$X$199:$X$9995)</f>
        <v>0</v>
      </c>
      <c r="G58" s="344">
        <f t="shared" ref="G58:G121" si="4">ROUND((B58*$J$1)/1000000,2)</f>
        <v>0</v>
      </c>
      <c r="H58" s="344">
        <f t="shared" ref="H58:H121" si="5">ROUND((C58*$J$1)/1000000,2)</f>
        <v>0</v>
      </c>
      <c r="I58" s="344">
        <f t="shared" si="2"/>
        <v>0</v>
      </c>
      <c r="J58" s="344">
        <f t="shared" si="3"/>
        <v>0</v>
      </c>
    </row>
    <row r="59" spans="1:14" ht="15.75">
      <c r="A59" s="188" t="s">
        <v>116</v>
      </c>
      <c r="B59" s="181">
        <f>+SUMIF('New Master-List'!$AH$3:$AH$9995,'By Industries (NBC)'!A59,'New Master-List'!$L$3:$L$9995)</f>
        <v>0</v>
      </c>
      <c r="C59" s="1555">
        <f>+SUMIF('New Master-List'!$AH$3:$AH$9995,'By Industries (NBC)'!A59,'New Master-List'!$M$3:$M$9995)+SUMIF('New Master-List'!$AH$3:$AH$9995,'By Industries (NBC)'!A59,'New Master-List'!$N$3:$N$9995)++SUMIF('New Master-List'!$AH$3:$AH$9995,'By Industries (NBC)'!A59,'New Master-List'!$O$3:$O$9995)</f>
        <v>0</v>
      </c>
      <c r="D59" s="181">
        <f>+SUMIF('New Master-List'!$AH$3:$AH$9995,'By Industries (NBC)'!A59,'New Master-List'!$V$3:$V$9995)</f>
        <v>0</v>
      </c>
      <c r="E59" s="181">
        <f>+SUMIF('New Master-List'!$AH$199:$AH$9995,'By Industries (NBC)'!A59,'New Master-List'!$X$199:$X$9995)</f>
        <v>0</v>
      </c>
      <c r="G59" s="344">
        <f t="shared" si="4"/>
        <v>0</v>
      </c>
      <c r="H59" s="344">
        <f t="shared" si="5"/>
        <v>0</v>
      </c>
      <c r="I59" s="344">
        <f t="shared" si="2"/>
        <v>0</v>
      </c>
      <c r="J59" s="344">
        <f t="shared" si="3"/>
        <v>0</v>
      </c>
      <c r="K59" s="174"/>
      <c r="L59" s="174"/>
      <c r="M59" s="174"/>
      <c r="N59" s="174"/>
    </row>
    <row r="60" spans="1:14" ht="15.75">
      <c r="A60" s="186" t="s">
        <v>207</v>
      </c>
      <c r="B60" s="181">
        <f>+SUMIF('New Master-List'!$AH$3:$AH$9995,'By Industries (NBC)'!A60,'New Master-List'!$L$3:$L$9995)</f>
        <v>0</v>
      </c>
      <c r="C60" s="1555">
        <f>+SUMIF('New Master-List'!$AH$3:$AH$9995,'By Industries (NBC)'!A60,'New Master-List'!$M$3:$M$9995)+SUMIF('New Master-List'!$AH$3:$AH$9995,'By Industries (NBC)'!A60,'New Master-List'!$N$3:$N$9995)++SUMIF('New Master-List'!$AH$3:$AH$9995,'By Industries (NBC)'!A60,'New Master-List'!$O$3:$O$9995)</f>
        <v>0</v>
      </c>
      <c r="D60" s="181">
        <f>+SUMIF('New Master-List'!$AH$3:$AH$9995,'By Industries (NBC)'!A60,'New Master-List'!$V$3:$V$9995)</f>
        <v>0</v>
      </c>
      <c r="E60" s="181">
        <f>+SUMIF('New Master-List'!$AH$199:$AH$9995,'By Industries (NBC)'!A60,'New Master-List'!$X$199:$X$9995)</f>
        <v>0</v>
      </c>
      <c r="G60" s="344">
        <f t="shared" si="4"/>
        <v>0</v>
      </c>
      <c r="H60" s="344">
        <f t="shared" si="5"/>
        <v>0</v>
      </c>
      <c r="I60" s="344">
        <f t="shared" si="2"/>
        <v>0</v>
      </c>
      <c r="J60" s="344">
        <f t="shared" si="3"/>
        <v>0</v>
      </c>
    </row>
    <row r="61" spans="1:14" ht="15.75">
      <c r="A61" s="186" t="s">
        <v>208</v>
      </c>
      <c r="B61" s="181">
        <f>+SUMIF('New Master-List'!$AH$3:$AH$9995,'By Industries (NBC)'!A61,'New Master-List'!$L$3:$L$9995)</f>
        <v>0</v>
      </c>
      <c r="C61" s="1555">
        <f>+SUMIF('New Master-List'!$AH$3:$AH$9995,'By Industries (NBC)'!A61,'New Master-List'!$M$3:$M$9995)+SUMIF('New Master-List'!$AH$3:$AH$9995,'By Industries (NBC)'!A61,'New Master-List'!$N$3:$N$9995)++SUMIF('New Master-List'!$AH$3:$AH$9995,'By Industries (NBC)'!A61,'New Master-List'!$O$3:$O$9995)</f>
        <v>0</v>
      </c>
      <c r="D61" s="181">
        <f>+SUMIF('New Master-List'!$AH$3:$AH$9995,'By Industries (NBC)'!A61,'New Master-List'!$V$3:$V$9995)</f>
        <v>0</v>
      </c>
      <c r="E61" s="181">
        <f>+SUMIF('New Master-List'!$AH$199:$AH$9995,'By Industries (NBC)'!A61,'New Master-List'!$X$199:$X$9995)</f>
        <v>0</v>
      </c>
      <c r="G61" s="344">
        <f t="shared" si="4"/>
        <v>0</v>
      </c>
      <c r="H61" s="344">
        <f t="shared" si="5"/>
        <v>0</v>
      </c>
      <c r="I61" s="344">
        <f t="shared" si="2"/>
        <v>0</v>
      </c>
      <c r="J61" s="344">
        <f t="shared" si="3"/>
        <v>0</v>
      </c>
    </row>
    <row r="62" spans="1:14" ht="15.75">
      <c r="A62" s="186" t="s">
        <v>209</v>
      </c>
      <c r="B62" s="181">
        <f>+SUMIF('New Master-List'!$AH$3:$AH$9995,'By Industries (NBC)'!A62,'New Master-List'!$L$3:$L$9995)</f>
        <v>0</v>
      </c>
      <c r="C62" s="1555">
        <f>+SUMIF('New Master-List'!$AH$3:$AH$9995,'By Industries (NBC)'!A62,'New Master-List'!$M$3:$M$9995)+SUMIF('New Master-List'!$AH$3:$AH$9995,'By Industries (NBC)'!A62,'New Master-List'!$N$3:$N$9995)++SUMIF('New Master-List'!$AH$3:$AH$9995,'By Industries (NBC)'!A62,'New Master-List'!$O$3:$O$9995)</f>
        <v>0</v>
      </c>
      <c r="D62" s="181">
        <f>+SUMIF('New Master-List'!$AH$3:$AH$9995,'By Industries (NBC)'!A62,'New Master-List'!$V$3:$V$9995)</f>
        <v>0</v>
      </c>
      <c r="E62" s="181">
        <f>+SUMIF('New Master-List'!$AH$199:$AH$9995,'By Industries (NBC)'!A62,'New Master-List'!$X$199:$X$9995)</f>
        <v>0</v>
      </c>
      <c r="G62" s="344">
        <f t="shared" si="4"/>
        <v>0</v>
      </c>
      <c r="H62" s="344">
        <f t="shared" si="5"/>
        <v>0</v>
      </c>
      <c r="I62" s="344">
        <f t="shared" si="2"/>
        <v>0</v>
      </c>
      <c r="J62" s="344">
        <f t="shared" si="3"/>
        <v>0</v>
      </c>
    </row>
    <row r="63" spans="1:14" ht="15.75">
      <c r="A63" s="186" t="s">
        <v>210</v>
      </c>
      <c r="B63" s="181">
        <f>+SUMIF('New Master-List'!$AH$3:$AH$9995,'By Industries (NBC)'!A63,'New Master-List'!$L$3:$L$9995)</f>
        <v>0</v>
      </c>
      <c r="C63" s="1555">
        <f>+SUMIF('New Master-List'!$AH$3:$AH$9995,'By Industries (NBC)'!A63,'New Master-List'!$M$3:$M$9995)+SUMIF('New Master-List'!$AH$3:$AH$9995,'By Industries (NBC)'!A63,'New Master-List'!$N$3:$N$9995)++SUMIF('New Master-List'!$AH$3:$AH$9995,'By Industries (NBC)'!A63,'New Master-List'!$O$3:$O$9995)</f>
        <v>0</v>
      </c>
      <c r="D63" s="181">
        <f>+SUMIF('New Master-List'!$AH$3:$AH$9995,'By Industries (NBC)'!A63,'New Master-List'!$V$3:$V$9995)</f>
        <v>0</v>
      </c>
      <c r="E63" s="181">
        <f>+SUMIF('New Master-List'!$AH$199:$AH$9995,'By Industries (NBC)'!A63,'New Master-List'!$X$199:$X$9995)</f>
        <v>0</v>
      </c>
      <c r="G63" s="344">
        <f t="shared" si="4"/>
        <v>0</v>
      </c>
      <c r="H63" s="344">
        <f t="shared" si="5"/>
        <v>0</v>
      </c>
      <c r="I63" s="344">
        <f t="shared" si="2"/>
        <v>0</v>
      </c>
      <c r="J63" s="344">
        <f t="shared" si="3"/>
        <v>0</v>
      </c>
    </row>
    <row r="64" spans="1:14" ht="15.75">
      <c r="A64" s="188" t="s">
        <v>117</v>
      </c>
      <c r="B64" s="181">
        <f>+SUMIF('New Master-List'!$AH$3:$AH$9995,'By Industries (NBC)'!A64,'New Master-List'!$L$3:$L$9995)</f>
        <v>0</v>
      </c>
      <c r="C64" s="1555">
        <f>+SUMIF('New Master-List'!$AH$3:$AH$9995,'By Industries (NBC)'!A64,'New Master-List'!$M$3:$M$9995)+SUMIF('New Master-List'!$AH$3:$AH$9995,'By Industries (NBC)'!A64,'New Master-List'!$N$3:$N$9995)++SUMIF('New Master-List'!$AH$3:$AH$9995,'By Industries (NBC)'!A64,'New Master-List'!$O$3:$O$9995)</f>
        <v>0</v>
      </c>
      <c r="D64" s="181">
        <f>+SUMIF('New Master-List'!$AH$3:$AH$9995,'By Industries (NBC)'!A64,'New Master-List'!$V$3:$V$9995)</f>
        <v>0</v>
      </c>
      <c r="E64" s="181">
        <f>+SUMIF('New Master-List'!$AH$199:$AH$9995,'By Industries (NBC)'!A64,'New Master-List'!$X$199:$X$9995)</f>
        <v>0</v>
      </c>
      <c r="G64" s="344">
        <f t="shared" si="4"/>
        <v>0</v>
      </c>
      <c r="H64" s="344">
        <f t="shared" si="5"/>
        <v>0</v>
      </c>
      <c r="I64" s="344">
        <f t="shared" si="2"/>
        <v>0</v>
      </c>
      <c r="J64" s="344">
        <f t="shared" si="3"/>
        <v>0</v>
      </c>
      <c r="K64" s="174"/>
      <c r="L64" s="174"/>
      <c r="M64" s="174"/>
      <c r="N64" s="174"/>
    </row>
    <row r="65" spans="1:14" ht="15.75">
      <c r="A65" s="186" t="s">
        <v>211</v>
      </c>
      <c r="B65" s="181">
        <f>+SUMIF('New Master-List'!$AH$3:$AH$9995,'By Industries (NBC)'!A65,'New Master-List'!$L$3:$L$9995)</f>
        <v>0</v>
      </c>
      <c r="C65" s="1555">
        <f>+SUMIF('New Master-List'!$AH$3:$AH$9995,'By Industries (NBC)'!A65,'New Master-List'!$M$3:$M$9995)+SUMIF('New Master-List'!$AH$3:$AH$9995,'By Industries (NBC)'!A65,'New Master-List'!$N$3:$N$9995)++SUMIF('New Master-List'!$AH$3:$AH$9995,'By Industries (NBC)'!A65,'New Master-List'!$O$3:$O$9995)</f>
        <v>0</v>
      </c>
      <c r="D65" s="181">
        <f>+SUMIF('New Master-List'!$AH$3:$AH$9995,'By Industries (NBC)'!A65,'New Master-List'!$V$3:$V$9995)</f>
        <v>0</v>
      </c>
      <c r="E65" s="181">
        <f>+SUMIF('New Master-List'!$AH$199:$AH$9995,'By Industries (NBC)'!A65,'New Master-List'!$X$199:$X$9995)</f>
        <v>0</v>
      </c>
      <c r="G65" s="344">
        <f t="shared" si="4"/>
        <v>0</v>
      </c>
      <c r="H65" s="344">
        <f t="shared" si="5"/>
        <v>0</v>
      </c>
      <c r="I65" s="344">
        <f t="shared" si="2"/>
        <v>0</v>
      </c>
      <c r="J65" s="344">
        <f t="shared" si="3"/>
        <v>0</v>
      </c>
    </row>
    <row r="66" spans="1:14" ht="15.75">
      <c r="A66" s="186" t="s">
        <v>212</v>
      </c>
      <c r="B66" s="181">
        <f>+SUMIF('New Master-List'!$AH$3:$AH$9995,'By Industries (NBC)'!A66,'New Master-List'!$L$3:$L$9995)</f>
        <v>0</v>
      </c>
      <c r="C66" s="1555">
        <f>+SUMIF('New Master-List'!$AH$3:$AH$9995,'By Industries (NBC)'!A66,'New Master-List'!$M$3:$M$9995)+SUMIF('New Master-List'!$AH$3:$AH$9995,'By Industries (NBC)'!A66,'New Master-List'!$N$3:$N$9995)++SUMIF('New Master-List'!$AH$3:$AH$9995,'By Industries (NBC)'!A66,'New Master-List'!$O$3:$O$9995)</f>
        <v>0</v>
      </c>
      <c r="D66" s="181">
        <f>+SUMIF('New Master-List'!$AH$3:$AH$9995,'By Industries (NBC)'!A66,'New Master-List'!$V$3:$V$9995)</f>
        <v>0</v>
      </c>
      <c r="E66" s="181">
        <f>+SUMIF('New Master-List'!$AH$199:$AH$9995,'By Industries (NBC)'!A66,'New Master-List'!$X$199:$X$9995)</f>
        <v>0</v>
      </c>
      <c r="G66" s="344">
        <f t="shared" si="4"/>
        <v>0</v>
      </c>
      <c r="H66" s="344">
        <f t="shared" si="5"/>
        <v>0</v>
      </c>
      <c r="I66" s="344">
        <f t="shared" si="2"/>
        <v>0</v>
      </c>
      <c r="J66" s="344">
        <f t="shared" si="3"/>
        <v>0</v>
      </c>
    </row>
    <row r="67" spans="1:14" ht="15.75">
      <c r="A67" s="186" t="s">
        <v>213</v>
      </c>
      <c r="B67" s="181">
        <f>+SUMIF('New Master-List'!$AH$3:$AH$9995,'By Industries (NBC)'!A67,'New Master-List'!$L$3:$L$9995)</f>
        <v>0</v>
      </c>
      <c r="C67" s="1555">
        <f>+SUMIF('New Master-List'!$AH$3:$AH$9995,'By Industries (NBC)'!A67,'New Master-List'!$M$3:$M$9995)+SUMIF('New Master-List'!$AH$3:$AH$9995,'By Industries (NBC)'!A67,'New Master-List'!$N$3:$N$9995)++SUMIF('New Master-List'!$AH$3:$AH$9995,'By Industries (NBC)'!A67,'New Master-List'!$O$3:$O$9995)</f>
        <v>0</v>
      </c>
      <c r="D67" s="181">
        <f>+SUMIF('New Master-List'!$AH$3:$AH$9995,'By Industries (NBC)'!A67,'New Master-List'!$V$3:$V$9995)</f>
        <v>0</v>
      </c>
      <c r="E67" s="181">
        <f>+SUMIF('New Master-List'!$AH$199:$AH$9995,'By Industries (NBC)'!A67,'New Master-List'!$X$199:$X$9995)</f>
        <v>0</v>
      </c>
      <c r="G67" s="344">
        <f t="shared" si="4"/>
        <v>0</v>
      </c>
      <c r="H67" s="344">
        <f t="shared" si="5"/>
        <v>0</v>
      </c>
      <c r="I67" s="344">
        <f t="shared" si="2"/>
        <v>0</v>
      </c>
      <c r="J67" s="344">
        <f t="shared" si="3"/>
        <v>0</v>
      </c>
    </row>
    <row r="68" spans="1:14" ht="15.75">
      <c r="A68" s="186" t="s">
        <v>214</v>
      </c>
      <c r="B68" s="181">
        <f>+SUMIF('New Master-List'!$AH$3:$AH$9995,'By Industries (NBC)'!A68,'New Master-List'!$L$3:$L$9995)</f>
        <v>121000</v>
      </c>
      <c r="C68" s="1555">
        <f>+SUMIF('New Master-List'!$AH$3:$AH$9995,'By Industries (NBC)'!A68,'New Master-List'!$M$3:$M$9995)+SUMIF('New Master-List'!$AH$3:$AH$9995,'By Industries (NBC)'!A68,'New Master-List'!$N$3:$N$9995)++SUMIF('New Master-List'!$AH$3:$AH$9995,'By Industries (NBC)'!A68,'New Master-List'!$O$3:$O$9995)</f>
        <v>105567.85</v>
      </c>
      <c r="D68" s="181">
        <f>+SUMIF('New Master-List'!$AH$3:$AH$9995,'By Industries (NBC)'!A68,'New Master-List'!$V$3:$V$9995)</f>
        <v>185.95</v>
      </c>
      <c r="E68" s="181">
        <f>+SUMIF('New Master-List'!$AH$199:$AH$9995,'By Industries (NBC)'!A68,'New Master-List'!$X$199:$X$9995)</f>
        <v>0</v>
      </c>
      <c r="G68" s="344">
        <f t="shared" si="4"/>
        <v>492.35</v>
      </c>
      <c r="H68" s="344">
        <f t="shared" si="5"/>
        <v>429.56</v>
      </c>
      <c r="I68" s="344">
        <f t="shared" si="2"/>
        <v>0.76</v>
      </c>
      <c r="J68" s="344">
        <f t="shared" si="3"/>
        <v>0</v>
      </c>
    </row>
    <row r="69" spans="1:14" ht="15.75">
      <c r="A69" s="188" t="s">
        <v>118</v>
      </c>
      <c r="B69" s="181">
        <f>+SUMIF('New Master-List'!$AH$3:$AH$9995,'By Industries (NBC)'!A69,'New Master-List'!$L$3:$L$9995)</f>
        <v>0</v>
      </c>
      <c r="C69" s="1555">
        <f>+SUMIF('New Master-List'!$AH$3:$AH$9995,'By Industries (NBC)'!A69,'New Master-List'!$M$3:$M$9995)+SUMIF('New Master-List'!$AH$3:$AH$9995,'By Industries (NBC)'!A69,'New Master-List'!$N$3:$N$9995)++SUMIF('New Master-List'!$AH$3:$AH$9995,'By Industries (NBC)'!A69,'New Master-List'!$O$3:$O$9995)</f>
        <v>0</v>
      </c>
      <c r="D69" s="181">
        <f>+SUMIF('New Master-List'!$AH$3:$AH$9995,'By Industries (NBC)'!A69,'New Master-List'!$V$3:$V$9995)</f>
        <v>0</v>
      </c>
      <c r="E69" s="181">
        <f>+SUMIF('New Master-List'!$AH$199:$AH$9995,'By Industries (NBC)'!A69,'New Master-List'!$X$199:$X$9995)</f>
        <v>0</v>
      </c>
      <c r="G69" s="344">
        <f t="shared" si="4"/>
        <v>0</v>
      </c>
      <c r="H69" s="344">
        <f t="shared" si="5"/>
        <v>0</v>
      </c>
      <c r="I69" s="344">
        <f t="shared" ref="I69:I132" si="6">ROUND((D69*$J$1)/1000000,2)</f>
        <v>0</v>
      </c>
      <c r="J69" s="344">
        <f t="shared" ref="J69:J132" si="7">ROUND((E69*$J$1)/1000000,2)</f>
        <v>0</v>
      </c>
      <c r="K69" s="174"/>
      <c r="L69" s="174"/>
      <c r="M69" s="174"/>
      <c r="N69" s="174"/>
    </row>
    <row r="70" spans="1:14" ht="15.75">
      <c r="A70" s="186" t="s">
        <v>215</v>
      </c>
      <c r="B70" s="181">
        <f>+SUMIF('New Master-List'!$AH$3:$AH$9995,'By Industries (NBC)'!A70,'New Master-List'!$L$3:$L$9995)</f>
        <v>0</v>
      </c>
      <c r="C70" s="1555">
        <f>+SUMIF('New Master-List'!$AH$3:$AH$9995,'By Industries (NBC)'!A70,'New Master-List'!$M$3:$M$9995)+SUMIF('New Master-List'!$AH$3:$AH$9995,'By Industries (NBC)'!A70,'New Master-List'!$N$3:$N$9995)++SUMIF('New Master-List'!$AH$3:$AH$9995,'By Industries (NBC)'!A70,'New Master-List'!$O$3:$O$9995)</f>
        <v>0</v>
      </c>
      <c r="D70" s="181">
        <f>+SUMIF('New Master-List'!$AH$3:$AH$9995,'By Industries (NBC)'!A70,'New Master-List'!$V$3:$V$9995)</f>
        <v>0</v>
      </c>
      <c r="E70" s="181">
        <f>+SUMIF('New Master-List'!$AH$199:$AH$9995,'By Industries (NBC)'!A70,'New Master-List'!$X$199:$X$9995)</f>
        <v>0</v>
      </c>
      <c r="G70" s="344">
        <f t="shared" si="4"/>
        <v>0</v>
      </c>
      <c r="H70" s="344">
        <f t="shared" si="5"/>
        <v>0</v>
      </c>
      <c r="I70" s="344">
        <f t="shared" si="6"/>
        <v>0</v>
      </c>
      <c r="J70" s="344">
        <f t="shared" si="7"/>
        <v>0</v>
      </c>
    </row>
    <row r="71" spans="1:14" ht="15.75">
      <c r="A71" s="186" t="s">
        <v>216</v>
      </c>
      <c r="B71" s="181">
        <f>+SUMIF('New Master-List'!$AH$3:$AH$9995,'By Industries (NBC)'!A71,'New Master-List'!$L$3:$L$9995)</f>
        <v>0</v>
      </c>
      <c r="C71" s="1555">
        <f>+SUMIF('New Master-List'!$AH$3:$AH$9995,'By Industries (NBC)'!A71,'New Master-List'!$M$3:$M$9995)+SUMIF('New Master-List'!$AH$3:$AH$9995,'By Industries (NBC)'!A71,'New Master-List'!$N$3:$N$9995)++SUMIF('New Master-List'!$AH$3:$AH$9995,'By Industries (NBC)'!A71,'New Master-List'!$O$3:$O$9995)</f>
        <v>0</v>
      </c>
      <c r="D71" s="181">
        <f>+SUMIF('New Master-List'!$AH$3:$AH$9995,'By Industries (NBC)'!A71,'New Master-List'!$V$3:$V$9995)</f>
        <v>0</v>
      </c>
      <c r="E71" s="181">
        <f>+SUMIF('New Master-List'!$AH$199:$AH$9995,'By Industries (NBC)'!A71,'New Master-List'!$X$199:$X$9995)</f>
        <v>0</v>
      </c>
      <c r="G71" s="344">
        <f t="shared" si="4"/>
        <v>0</v>
      </c>
      <c r="H71" s="344">
        <f t="shared" si="5"/>
        <v>0</v>
      </c>
      <c r="I71" s="344">
        <f t="shared" si="6"/>
        <v>0</v>
      </c>
      <c r="J71" s="344">
        <f t="shared" si="7"/>
        <v>0</v>
      </c>
    </row>
    <row r="72" spans="1:14" ht="15.75">
      <c r="A72" s="186" t="s">
        <v>217</v>
      </c>
      <c r="B72" s="181">
        <f>+SUMIF('New Master-List'!$AH$3:$AH$9995,'By Industries (NBC)'!A72,'New Master-List'!$L$3:$L$9995)</f>
        <v>0</v>
      </c>
      <c r="C72" s="1555">
        <f>+SUMIF('New Master-List'!$AH$3:$AH$9995,'By Industries (NBC)'!A72,'New Master-List'!$M$3:$M$9995)+SUMIF('New Master-List'!$AH$3:$AH$9995,'By Industries (NBC)'!A72,'New Master-List'!$N$3:$N$9995)++SUMIF('New Master-List'!$AH$3:$AH$9995,'By Industries (NBC)'!A72,'New Master-List'!$O$3:$O$9995)</f>
        <v>0</v>
      </c>
      <c r="D72" s="181">
        <f>+SUMIF('New Master-List'!$AH$3:$AH$9995,'By Industries (NBC)'!A72,'New Master-List'!$V$3:$V$9995)</f>
        <v>0</v>
      </c>
      <c r="E72" s="181">
        <f>+SUMIF('New Master-List'!$AH$199:$AH$9995,'By Industries (NBC)'!A72,'New Master-List'!$X$199:$X$9995)</f>
        <v>0</v>
      </c>
      <c r="G72" s="344">
        <f t="shared" si="4"/>
        <v>0</v>
      </c>
      <c r="H72" s="344">
        <f t="shared" si="5"/>
        <v>0</v>
      </c>
      <c r="I72" s="344">
        <f t="shared" si="6"/>
        <v>0</v>
      </c>
      <c r="J72" s="344">
        <f t="shared" si="7"/>
        <v>0</v>
      </c>
    </row>
    <row r="73" spans="1:14" ht="15.75">
      <c r="A73" s="186" t="s">
        <v>218</v>
      </c>
      <c r="B73" s="181">
        <f>+SUMIF('New Master-List'!$AH$3:$AH$9995,'By Industries (NBC)'!A73,'New Master-List'!$L$3:$L$9995)</f>
        <v>0</v>
      </c>
      <c r="C73" s="1555">
        <f>+SUMIF('New Master-List'!$AH$3:$AH$9995,'By Industries (NBC)'!A73,'New Master-List'!$M$3:$M$9995)+SUMIF('New Master-List'!$AH$3:$AH$9995,'By Industries (NBC)'!A73,'New Master-List'!$N$3:$N$9995)++SUMIF('New Master-List'!$AH$3:$AH$9995,'By Industries (NBC)'!A73,'New Master-List'!$O$3:$O$9995)</f>
        <v>0</v>
      </c>
      <c r="D73" s="181">
        <f>+SUMIF('New Master-List'!$AH$3:$AH$9995,'By Industries (NBC)'!A73,'New Master-List'!$V$3:$V$9995)</f>
        <v>0</v>
      </c>
      <c r="E73" s="181">
        <f>+SUMIF('New Master-List'!$AH$199:$AH$9995,'By Industries (NBC)'!A73,'New Master-List'!$X$199:$X$9995)</f>
        <v>0</v>
      </c>
      <c r="G73" s="344">
        <f t="shared" si="4"/>
        <v>0</v>
      </c>
      <c r="H73" s="344">
        <f t="shared" si="5"/>
        <v>0</v>
      </c>
      <c r="I73" s="344">
        <f t="shared" si="6"/>
        <v>0</v>
      </c>
      <c r="J73" s="344">
        <f t="shared" si="7"/>
        <v>0</v>
      </c>
    </row>
    <row r="74" spans="1:14" ht="15.75">
      <c r="A74" s="188" t="s">
        <v>119</v>
      </c>
      <c r="B74" s="181">
        <f>+SUMIF('New Master-List'!$AH$3:$AH$9995,'By Industries (NBC)'!A74,'New Master-List'!$L$3:$L$9995)</f>
        <v>0</v>
      </c>
      <c r="C74" s="1555">
        <f>+SUMIF('New Master-List'!$AH$3:$AH$9995,'By Industries (NBC)'!A74,'New Master-List'!$M$3:$M$9995)+SUMIF('New Master-List'!$AH$3:$AH$9995,'By Industries (NBC)'!A74,'New Master-List'!$N$3:$N$9995)++SUMIF('New Master-List'!$AH$3:$AH$9995,'By Industries (NBC)'!A74,'New Master-List'!$O$3:$O$9995)</f>
        <v>0</v>
      </c>
      <c r="D74" s="181">
        <f>+SUMIF('New Master-List'!$AH$3:$AH$9995,'By Industries (NBC)'!A74,'New Master-List'!$V$3:$V$9995)</f>
        <v>0</v>
      </c>
      <c r="E74" s="181">
        <f>+SUMIF('New Master-List'!$AH$199:$AH$9995,'By Industries (NBC)'!A74,'New Master-List'!$X$199:$X$9995)</f>
        <v>0</v>
      </c>
      <c r="G74" s="344">
        <f t="shared" si="4"/>
        <v>0</v>
      </c>
      <c r="H74" s="344">
        <f t="shared" si="5"/>
        <v>0</v>
      </c>
      <c r="I74" s="344">
        <f t="shared" si="6"/>
        <v>0</v>
      </c>
      <c r="J74" s="344">
        <f t="shared" si="7"/>
        <v>0</v>
      </c>
      <c r="K74" s="174"/>
      <c r="L74" s="174"/>
      <c r="M74" s="174"/>
      <c r="N74" s="174"/>
    </row>
    <row r="75" spans="1:14" ht="15.75">
      <c r="A75" s="186" t="s">
        <v>219</v>
      </c>
      <c r="B75" s="181">
        <f>+SUMIF('New Master-List'!$AH$3:$AH$9995,'By Industries (NBC)'!A75,'New Master-List'!$L$3:$L$9995)</f>
        <v>0</v>
      </c>
      <c r="C75" s="1555">
        <f>+SUMIF('New Master-List'!$AH$3:$AH$9995,'By Industries (NBC)'!A75,'New Master-List'!$M$3:$M$9995)+SUMIF('New Master-List'!$AH$3:$AH$9995,'By Industries (NBC)'!A75,'New Master-List'!$N$3:$N$9995)++SUMIF('New Master-List'!$AH$3:$AH$9995,'By Industries (NBC)'!A75,'New Master-List'!$O$3:$O$9995)</f>
        <v>0</v>
      </c>
      <c r="D75" s="181">
        <f>+SUMIF('New Master-List'!$AH$3:$AH$9995,'By Industries (NBC)'!A75,'New Master-List'!$V$3:$V$9995)</f>
        <v>0</v>
      </c>
      <c r="E75" s="181">
        <f>+SUMIF('New Master-List'!$AH$199:$AH$9995,'By Industries (NBC)'!A75,'New Master-List'!$X$199:$X$9995)</f>
        <v>0</v>
      </c>
      <c r="G75" s="344">
        <f t="shared" si="4"/>
        <v>0</v>
      </c>
      <c r="H75" s="344">
        <f t="shared" si="5"/>
        <v>0</v>
      </c>
      <c r="I75" s="344">
        <f t="shared" si="6"/>
        <v>0</v>
      </c>
      <c r="J75" s="344">
        <f t="shared" si="7"/>
        <v>0</v>
      </c>
    </row>
    <row r="76" spans="1:14" ht="15.75">
      <c r="A76" s="186" t="s">
        <v>220</v>
      </c>
      <c r="B76" s="181">
        <f>+SUMIF('New Master-List'!$AH$3:$AH$9995,'By Industries (NBC)'!A76,'New Master-List'!$L$3:$L$9995)</f>
        <v>0</v>
      </c>
      <c r="C76" s="1555">
        <f>+SUMIF('New Master-List'!$AH$3:$AH$9995,'By Industries (NBC)'!A76,'New Master-List'!$M$3:$M$9995)+SUMIF('New Master-List'!$AH$3:$AH$9995,'By Industries (NBC)'!A76,'New Master-List'!$N$3:$N$9995)++SUMIF('New Master-List'!$AH$3:$AH$9995,'By Industries (NBC)'!A76,'New Master-List'!$O$3:$O$9995)</f>
        <v>0</v>
      </c>
      <c r="D76" s="181">
        <f>+SUMIF('New Master-List'!$AH$3:$AH$9995,'By Industries (NBC)'!A76,'New Master-List'!$V$3:$V$9995)</f>
        <v>0</v>
      </c>
      <c r="E76" s="181">
        <f>+SUMIF('New Master-List'!$AH$199:$AH$9995,'By Industries (NBC)'!A76,'New Master-List'!$X$199:$X$9995)</f>
        <v>0</v>
      </c>
      <c r="G76" s="344">
        <f t="shared" si="4"/>
        <v>0</v>
      </c>
      <c r="H76" s="344">
        <f t="shared" si="5"/>
        <v>0</v>
      </c>
      <c r="I76" s="344">
        <f t="shared" si="6"/>
        <v>0</v>
      </c>
      <c r="J76" s="344">
        <f t="shared" si="7"/>
        <v>0</v>
      </c>
    </row>
    <row r="77" spans="1:14" ht="15.75">
      <c r="A77" s="186" t="s">
        <v>221</v>
      </c>
      <c r="B77" s="181">
        <f>+SUMIF('New Master-List'!$AH$3:$AH$9995,'By Industries (NBC)'!A77,'New Master-List'!$L$3:$L$9995)</f>
        <v>0</v>
      </c>
      <c r="C77" s="1555">
        <f>+SUMIF('New Master-List'!$AH$3:$AH$9995,'By Industries (NBC)'!A77,'New Master-List'!$M$3:$M$9995)+SUMIF('New Master-List'!$AH$3:$AH$9995,'By Industries (NBC)'!A77,'New Master-List'!$N$3:$N$9995)++SUMIF('New Master-List'!$AH$3:$AH$9995,'By Industries (NBC)'!A77,'New Master-List'!$O$3:$O$9995)</f>
        <v>0</v>
      </c>
      <c r="D77" s="181">
        <f>+SUMIF('New Master-List'!$AH$3:$AH$9995,'By Industries (NBC)'!A77,'New Master-List'!$V$3:$V$9995)</f>
        <v>0</v>
      </c>
      <c r="E77" s="181">
        <f>+SUMIF('New Master-List'!$AH$199:$AH$9995,'By Industries (NBC)'!A77,'New Master-List'!$X$199:$X$9995)</f>
        <v>0</v>
      </c>
      <c r="G77" s="344">
        <f t="shared" si="4"/>
        <v>0</v>
      </c>
      <c r="H77" s="344">
        <f t="shared" si="5"/>
        <v>0</v>
      </c>
      <c r="I77" s="344">
        <f t="shared" si="6"/>
        <v>0</v>
      </c>
      <c r="J77" s="344">
        <f t="shared" si="7"/>
        <v>0</v>
      </c>
    </row>
    <row r="78" spans="1:14" ht="15.75">
      <c r="A78" s="186" t="s">
        <v>222</v>
      </c>
      <c r="B78" s="181">
        <f>+SUMIF('New Master-List'!$AH$3:$AH$9995,'By Industries (NBC)'!A78,'New Master-List'!$L$3:$L$9995)</f>
        <v>0</v>
      </c>
      <c r="C78" s="1555">
        <f>+SUMIF('New Master-List'!$AH$3:$AH$9995,'By Industries (NBC)'!A78,'New Master-List'!$M$3:$M$9995)+SUMIF('New Master-List'!$AH$3:$AH$9995,'By Industries (NBC)'!A78,'New Master-List'!$N$3:$N$9995)++SUMIF('New Master-List'!$AH$3:$AH$9995,'By Industries (NBC)'!A78,'New Master-List'!$O$3:$O$9995)</f>
        <v>0</v>
      </c>
      <c r="D78" s="181">
        <f>+SUMIF('New Master-List'!$AH$3:$AH$9995,'By Industries (NBC)'!A78,'New Master-List'!$V$3:$V$9995)</f>
        <v>0</v>
      </c>
      <c r="E78" s="181">
        <f>+SUMIF('New Master-List'!$AH$199:$AH$9995,'By Industries (NBC)'!A78,'New Master-List'!$X$199:$X$9995)</f>
        <v>0</v>
      </c>
      <c r="G78" s="344">
        <f t="shared" si="4"/>
        <v>0</v>
      </c>
      <c r="H78" s="344">
        <f t="shared" si="5"/>
        <v>0</v>
      </c>
      <c r="I78" s="344">
        <f t="shared" si="6"/>
        <v>0</v>
      </c>
      <c r="J78" s="344">
        <f t="shared" si="7"/>
        <v>0</v>
      </c>
    </row>
    <row r="79" spans="1:14" ht="15.75">
      <c r="A79" s="188" t="s">
        <v>120</v>
      </c>
      <c r="B79" s="181">
        <f>+SUMIF('New Master-List'!$AH$3:$AH$9995,'By Industries (NBC)'!A79,'New Master-List'!$L$3:$L$9995)</f>
        <v>0</v>
      </c>
      <c r="C79" s="1555">
        <f>+SUMIF('New Master-List'!$AH$3:$AH$9995,'By Industries (NBC)'!A79,'New Master-List'!$M$3:$M$9995)+SUMIF('New Master-List'!$AH$3:$AH$9995,'By Industries (NBC)'!A79,'New Master-List'!$N$3:$N$9995)++SUMIF('New Master-List'!$AH$3:$AH$9995,'By Industries (NBC)'!A79,'New Master-List'!$O$3:$O$9995)</f>
        <v>0</v>
      </c>
      <c r="D79" s="181">
        <f>+SUMIF('New Master-List'!$AH$3:$AH$9995,'By Industries (NBC)'!A79,'New Master-List'!$V$3:$V$9995)</f>
        <v>0</v>
      </c>
      <c r="E79" s="181">
        <f>+SUMIF('New Master-List'!$AH$199:$AH$9995,'By Industries (NBC)'!A79,'New Master-List'!$X$199:$X$9995)</f>
        <v>0</v>
      </c>
      <c r="G79" s="344">
        <f t="shared" si="4"/>
        <v>0</v>
      </c>
      <c r="H79" s="344">
        <f t="shared" si="5"/>
        <v>0</v>
      </c>
      <c r="I79" s="344">
        <f t="shared" si="6"/>
        <v>0</v>
      </c>
      <c r="J79" s="344">
        <f t="shared" si="7"/>
        <v>0</v>
      </c>
      <c r="K79" s="174"/>
      <c r="L79" s="174"/>
      <c r="M79" s="174"/>
      <c r="N79" s="174"/>
    </row>
    <row r="80" spans="1:14" ht="15.75">
      <c r="A80" s="186" t="s">
        <v>223</v>
      </c>
      <c r="B80" s="181">
        <f>+SUMIF('New Master-List'!$AH$3:$AH$9995,'By Industries (NBC)'!A80,'New Master-List'!$L$3:$L$9995)</f>
        <v>0</v>
      </c>
      <c r="C80" s="1555">
        <f>+SUMIF('New Master-List'!$AH$3:$AH$9995,'By Industries (NBC)'!A80,'New Master-List'!$M$3:$M$9995)+SUMIF('New Master-List'!$AH$3:$AH$9995,'By Industries (NBC)'!A80,'New Master-List'!$N$3:$N$9995)++SUMIF('New Master-List'!$AH$3:$AH$9995,'By Industries (NBC)'!A80,'New Master-List'!$O$3:$O$9995)</f>
        <v>0</v>
      </c>
      <c r="D80" s="181">
        <f>+SUMIF('New Master-List'!$AH$3:$AH$9995,'By Industries (NBC)'!A80,'New Master-List'!$V$3:$V$9995)</f>
        <v>0</v>
      </c>
      <c r="E80" s="181">
        <f>+SUMIF('New Master-List'!$AH$199:$AH$9995,'By Industries (NBC)'!A80,'New Master-List'!$X$199:$X$9995)</f>
        <v>0</v>
      </c>
      <c r="G80" s="344">
        <f t="shared" si="4"/>
        <v>0</v>
      </c>
      <c r="H80" s="344">
        <f t="shared" si="5"/>
        <v>0</v>
      </c>
      <c r="I80" s="344">
        <f t="shared" si="6"/>
        <v>0</v>
      </c>
      <c r="J80" s="344">
        <f t="shared" si="7"/>
        <v>0</v>
      </c>
    </row>
    <row r="81" spans="1:14" ht="15.75">
      <c r="A81" s="186" t="s">
        <v>224</v>
      </c>
      <c r="B81" s="181">
        <f>+SUMIF('New Master-List'!$AH$3:$AH$9995,'By Industries (NBC)'!A81,'New Master-List'!$L$3:$L$9995)</f>
        <v>0</v>
      </c>
      <c r="C81" s="1555">
        <f>+SUMIF('New Master-List'!$AH$3:$AH$9995,'By Industries (NBC)'!A81,'New Master-List'!$M$3:$M$9995)+SUMIF('New Master-List'!$AH$3:$AH$9995,'By Industries (NBC)'!A81,'New Master-List'!$N$3:$N$9995)++SUMIF('New Master-List'!$AH$3:$AH$9995,'By Industries (NBC)'!A81,'New Master-List'!$O$3:$O$9995)</f>
        <v>0</v>
      </c>
      <c r="D81" s="181">
        <f>+SUMIF('New Master-List'!$AH$3:$AH$9995,'By Industries (NBC)'!A81,'New Master-List'!$V$3:$V$9995)</f>
        <v>0</v>
      </c>
      <c r="E81" s="181">
        <f>+SUMIF('New Master-List'!$AH$199:$AH$9995,'By Industries (NBC)'!A81,'New Master-List'!$X$199:$X$9995)</f>
        <v>0</v>
      </c>
      <c r="G81" s="344">
        <f t="shared" si="4"/>
        <v>0</v>
      </c>
      <c r="H81" s="344">
        <f t="shared" si="5"/>
        <v>0</v>
      </c>
      <c r="I81" s="344">
        <f t="shared" si="6"/>
        <v>0</v>
      </c>
      <c r="J81" s="344">
        <f t="shared" si="7"/>
        <v>0</v>
      </c>
    </row>
    <row r="82" spans="1:14" ht="15.75">
      <c r="A82" s="186" t="s">
        <v>225</v>
      </c>
      <c r="B82" s="181">
        <f>+SUMIF('New Master-List'!$AH$3:$AH$9995,'By Industries (NBC)'!A82,'New Master-List'!$L$3:$L$9995)</f>
        <v>0</v>
      </c>
      <c r="C82" s="1555">
        <f>+SUMIF('New Master-List'!$AH$3:$AH$9995,'By Industries (NBC)'!A82,'New Master-List'!$M$3:$M$9995)+SUMIF('New Master-List'!$AH$3:$AH$9995,'By Industries (NBC)'!A82,'New Master-List'!$N$3:$N$9995)++SUMIF('New Master-List'!$AH$3:$AH$9995,'By Industries (NBC)'!A82,'New Master-List'!$O$3:$O$9995)</f>
        <v>0</v>
      </c>
      <c r="D82" s="181">
        <f>+SUMIF('New Master-List'!$AH$3:$AH$9995,'By Industries (NBC)'!A82,'New Master-List'!$V$3:$V$9995)</f>
        <v>0</v>
      </c>
      <c r="E82" s="181">
        <f>+SUMIF('New Master-List'!$AH$199:$AH$9995,'By Industries (NBC)'!A82,'New Master-List'!$X$199:$X$9995)</f>
        <v>0</v>
      </c>
      <c r="G82" s="344">
        <f t="shared" si="4"/>
        <v>0</v>
      </c>
      <c r="H82" s="344">
        <f t="shared" si="5"/>
        <v>0</v>
      </c>
      <c r="I82" s="344">
        <f t="shared" si="6"/>
        <v>0</v>
      </c>
      <c r="J82" s="344">
        <f t="shared" si="7"/>
        <v>0</v>
      </c>
    </row>
    <row r="83" spans="1:14" ht="15.75">
      <c r="A83" s="186" t="s">
        <v>226</v>
      </c>
      <c r="B83" s="181">
        <f>+SUMIF('New Master-List'!$AH$3:$AH$9995,'By Industries (NBC)'!A83,'New Master-List'!$L$3:$L$9995)</f>
        <v>0</v>
      </c>
      <c r="C83" s="1555">
        <f>+SUMIF('New Master-List'!$AH$3:$AH$9995,'By Industries (NBC)'!A83,'New Master-List'!$M$3:$M$9995)+SUMIF('New Master-List'!$AH$3:$AH$9995,'By Industries (NBC)'!A83,'New Master-List'!$N$3:$N$9995)++SUMIF('New Master-List'!$AH$3:$AH$9995,'By Industries (NBC)'!A83,'New Master-List'!$O$3:$O$9995)</f>
        <v>0</v>
      </c>
      <c r="D83" s="181">
        <f>+SUMIF('New Master-List'!$AH$3:$AH$9995,'By Industries (NBC)'!A83,'New Master-List'!$V$3:$V$9995)</f>
        <v>0</v>
      </c>
      <c r="E83" s="181">
        <f>+SUMIF('New Master-List'!$AH$199:$AH$9995,'By Industries (NBC)'!A83,'New Master-List'!$X$199:$X$9995)</f>
        <v>0</v>
      </c>
      <c r="G83" s="344">
        <f t="shared" si="4"/>
        <v>0</v>
      </c>
      <c r="H83" s="344">
        <f t="shared" si="5"/>
        <v>0</v>
      </c>
      <c r="I83" s="344">
        <f t="shared" si="6"/>
        <v>0</v>
      </c>
      <c r="J83" s="344">
        <f t="shared" si="7"/>
        <v>0</v>
      </c>
    </row>
    <row r="84" spans="1:14" ht="15.75">
      <c r="A84" s="188" t="s">
        <v>121</v>
      </c>
      <c r="B84" s="181">
        <f>+SUMIF('New Master-List'!$AH$3:$AH$9995,'By Industries (NBC)'!A84,'New Master-List'!$L$3:$L$9995)</f>
        <v>0</v>
      </c>
      <c r="C84" s="1555">
        <f>+SUMIF('New Master-List'!$AH$3:$AH$9995,'By Industries (NBC)'!A84,'New Master-List'!$M$3:$M$9995)+SUMIF('New Master-List'!$AH$3:$AH$9995,'By Industries (NBC)'!A84,'New Master-List'!$N$3:$N$9995)++SUMIF('New Master-List'!$AH$3:$AH$9995,'By Industries (NBC)'!A84,'New Master-List'!$O$3:$O$9995)</f>
        <v>0</v>
      </c>
      <c r="D84" s="181">
        <f>+SUMIF('New Master-List'!$AH$3:$AH$9995,'By Industries (NBC)'!A84,'New Master-List'!$V$3:$V$9995)</f>
        <v>0</v>
      </c>
      <c r="E84" s="181">
        <f>+SUMIF('New Master-List'!$AH$199:$AH$9995,'By Industries (NBC)'!A84,'New Master-List'!$X$199:$X$9995)</f>
        <v>0</v>
      </c>
      <c r="G84" s="344">
        <f t="shared" si="4"/>
        <v>0</v>
      </c>
      <c r="H84" s="344">
        <f t="shared" si="5"/>
        <v>0</v>
      </c>
      <c r="I84" s="344">
        <f t="shared" si="6"/>
        <v>0</v>
      </c>
      <c r="J84" s="344">
        <f t="shared" si="7"/>
        <v>0</v>
      </c>
      <c r="K84" s="174"/>
      <c r="L84" s="174"/>
      <c r="M84" s="174"/>
      <c r="N84" s="174"/>
    </row>
    <row r="85" spans="1:14" ht="15.75">
      <c r="A85" s="186" t="s">
        <v>227</v>
      </c>
      <c r="B85" s="181">
        <f>+SUMIF('New Master-List'!$AH$3:$AH$9995,'By Industries (NBC)'!A85,'New Master-List'!$L$3:$L$9995)</f>
        <v>0</v>
      </c>
      <c r="C85" s="1555">
        <f>+SUMIF('New Master-List'!$AH$3:$AH$9995,'By Industries (NBC)'!A85,'New Master-List'!$M$3:$M$9995)+SUMIF('New Master-List'!$AH$3:$AH$9995,'By Industries (NBC)'!A85,'New Master-List'!$N$3:$N$9995)++SUMIF('New Master-List'!$AH$3:$AH$9995,'By Industries (NBC)'!A85,'New Master-List'!$O$3:$O$9995)</f>
        <v>0</v>
      </c>
      <c r="D85" s="181">
        <f>+SUMIF('New Master-List'!$AH$3:$AH$9995,'By Industries (NBC)'!A85,'New Master-List'!$V$3:$V$9995)</f>
        <v>0</v>
      </c>
      <c r="E85" s="181">
        <f>+SUMIF('New Master-List'!$AH$199:$AH$9995,'By Industries (NBC)'!A85,'New Master-List'!$X$199:$X$9995)</f>
        <v>0</v>
      </c>
      <c r="G85" s="344">
        <f t="shared" si="4"/>
        <v>0</v>
      </c>
      <c r="H85" s="344">
        <f t="shared" si="5"/>
        <v>0</v>
      </c>
      <c r="I85" s="344">
        <f t="shared" si="6"/>
        <v>0</v>
      </c>
      <c r="J85" s="344">
        <f t="shared" si="7"/>
        <v>0</v>
      </c>
    </row>
    <row r="86" spans="1:14" ht="15.75">
      <c r="A86" s="186" t="s">
        <v>228</v>
      </c>
      <c r="B86" s="181">
        <f>+SUMIF('New Master-List'!$AH$3:$AH$9995,'By Industries (NBC)'!A86,'New Master-List'!$L$3:$L$9995)</f>
        <v>0</v>
      </c>
      <c r="C86" s="1555">
        <f>+SUMIF('New Master-List'!$AH$3:$AH$9995,'By Industries (NBC)'!A86,'New Master-List'!$M$3:$M$9995)+SUMIF('New Master-List'!$AH$3:$AH$9995,'By Industries (NBC)'!A86,'New Master-List'!$N$3:$N$9995)++SUMIF('New Master-List'!$AH$3:$AH$9995,'By Industries (NBC)'!A86,'New Master-List'!$O$3:$O$9995)</f>
        <v>0</v>
      </c>
      <c r="D86" s="181">
        <f>+SUMIF('New Master-List'!$AH$3:$AH$9995,'By Industries (NBC)'!A86,'New Master-List'!$V$3:$V$9995)</f>
        <v>0</v>
      </c>
      <c r="E86" s="181">
        <f>+SUMIF('New Master-List'!$AH$199:$AH$9995,'By Industries (NBC)'!A86,'New Master-List'!$X$199:$X$9995)</f>
        <v>0</v>
      </c>
      <c r="G86" s="344">
        <f t="shared" si="4"/>
        <v>0</v>
      </c>
      <c r="H86" s="344">
        <f t="shared" si="5"/>
        <v>0</v>
      </c>
      <c r="I86" s="344">
        <f t="shared" si="6"/>
        <v>0</v>
      </c>
      <c r="J86" s="344">
        <f t="shared" si="7"/>
        <v>0</v>
      </c>
    </row>
    <row r="87" spans="1:14" ht="15.75">
      <c r="A87" s="186" t="s">
        <v>229</v>
      </c>
      <c r="B87" s="181">
        <f>+SUMIF('New Master-List'!$AH$3:$AH$9995,'By Industries (NBC)'!A87,'New Master-List'!$L$3:$L$9995)</f>
        <v>0</v>
      </c>
      <c r="C87" s="1555">
        <f>+SUMIF('New Master-List'!$AH$3:$AH$9995,'By Industries (NBC)'!A87,'New Master-List'!$M$3:$M$9995)+SUMIF('New Master-List'!$AH$3:$AH$9995,'By Industries (NBC)'!A87,'New Master-List'!$N$3:$N$9995)++SUMIF('New Master-List'!$AH$3:$AH$9995,'By Industries (NBC)'!A87,'New Master-List'!$O$3:$O$9995)</f>
        <v>0</v>
      </c>
      <c r="D87" s="181">
        <f>+SUMIF('New Master-List'!$AH$3:$AH$9995,'By Industries (NBC)'!A87,'New Master-List'!$V$3:$V$9995)</f>
        <v>0</v>
      </c>
      <c r="E87" s="181">
        <f>+SUMIF('New Master-List'!$AH$199:$AH$9995,'By Industries (NBC)'!A87,'New Master-List'!$X$199:$X$9995)</f>
        <v>0</v>
      </c>
      <c r="G87" s="344">
        <f t="shared" si="4"/>
        <v>0</v>
      </c>
      <c r="H87" s="344">
        <f t="shared" si="5"/>
        <v>0</v>
      </c>
      <c r="I87" s="344">
        <f t="shared" si="6"/>
        <v>0</v>
      </c>
      <c r="J87" s="344">
        <f t="shared" si="7"/>
        <v>0</v>
      </c>
    </row>
    <row r="88" spans="1:14" ht="15.75">
      <c r="A88" s="186" t="s">
        <v>230</v>
      </c>
      <c r="B88" s="181">
        <f>+SUMIF('New Master-List'!$AH$3:$AH$9995,'By Industries (NBC)'!A88,'New Master-List'!$L$3:$L$9995)</f>
        <v>0</v>
      </c>
      <c r="C88" s="1555">
        <f>+SUMIF('New Master-List'!$AH$3:$AH$9995,'By Industries (NBC)'!A88,'New Master-List'!$M$3:$M$9995)+SUMIF('New Master-List'!$AH$3:$AH$9995,'By Industries (NBC)'!A88,'New Master-List'!$N$3:$N$9995)++SUMIF('New Master-List'!$AH$3:$AH$9995,'By Industries (NBC)'!A88,'New Master-List'!$O$3:$O$9995)</f>
        <v>0</v>
      </c>
      <c r="D88" s="181">
        <f>+SUMIF('New Master-List'!$AH$3:$AH$9995,'By Industries (NBC)'!A88,'New Master-List'!$V$3:$V$9995)</f>
        <v>0</v>
      </c>
      <c r="E88" s="181">
        <f>+SUMIF('New Master-List'!$AH$199:$AH$9995,'By Industries (NBC)'!A88,'New Master-List'!$X$199:$X$9995)</f>
        <v>0</v>
      </c>
      <c r="G88" s="344">
        <f t="shared" si="4"/>
        <v>0</v>
      </c>
      <c r="H88" s="344">
        <f t="shared" si="5"/>
        <v>0</v>
      </c>
      <c r="I88" s="344">
        <f t="shared" si="6"/>
        <v>0</v>
      </c>
      <c r="J88" s="344">
        <f t="shared" si="7"/>
        <v>0</v>
      </c>
      <c r="K88" s="350">
        <f>J88</f>
        <v>0</v>
      </c>
    </row>
    <row r="89" spans="1:14" ht="15.75">
      <c r="A89" s="188" t="s">
        <v>122</v>
      </c>
      <c r="B89" s="181">
        <f>+SUMIF('New Master-List'!$AH$3:$AH$9995,'By Industries (NBC)'!A89,'New Master-List'!$L$3:$L$9995)</f>
        <v>0</v>
      </c>
      <c r="C89" s="1555">
        <f>+SUMIF('New Master-List'!$AH$3:$AH$9995,'By Industries (NBC)'!A89,'New Master-List'!$M$3:$M$9995)+SUMIF('New Master-List'!$AH$3:$AH$9995,'By Industries (NBC)'!A89,'New Master-List'!$N$3:$N$9995)++SUMIF('New Master-List'!$AH$3:$AH$9995,'By Industries (NBC)'!A89,'New Master-List'!$O$3:$O$9995)</f>
        <v>0</v>
      </c>
      <c r="D89" s="181">
        <f>+SUMIF('New Master-List'!$AH$3:$AH$9995,'By Industries (NBC)'!A89,'New Master-List'!$V$3:$V$9995)</f>
        <v>0</v>
      </c>
      <c r="E89" s="181">
        <f>+SUMIF('New Master-List'!$AH$199:$AH$9995,'By Industries (NBC)'!A89,'New Master-List'!$X$199:$X$9995)</f>
        <v>0</v>
      </c>
      <c r="G89" s="344">
        <f t="shared" si="4"/>
        <v>0</v>
      </c>
      <c r="H89" s="344">
        <f t="shared" si="5"/>
        <v>0</v>
      </c>
      <c r="I89" s="344">
        <f t="shared" si="6"/>
        <v>0</v>
      </c>
      <c r="J89" s="344">
        <f t="shared" si="7"/>
        <v>0</v>
      </c>
      <c r="K89" s="174"/>
      <c r="L89" s="174"/>
      <c r="M89" s="174"/>
      <c r="N89" s="174"/>
    </row>
    <row r="90" spans="1:14" ht="15.75">
      <c r="A90" s="186" t="s">
        <v>231</v>
      </c>
      <c r="B90" s="181">
        <f>+SUMIF('New Master-List'!$AH$3:$AH$9995,'By Industries (NBC)'!A90,'New Master-List'!$L$3:$L$9995)</f>
        <v>0</v>
      </c>
      <c r="C90" s="1555">
        <f>+SUMIF('New Master-List'!$AH$3:$AH$9995,'By Industries (NBC)'!A90,'New Master-List'!$M$3:$M$9995)+SUMIF('New Master-List'!$AH$3:$AH$9995,'By Industries (NBC)'!A90,'New Master-List'!$N$3:$N$9995)++SUMIF('New Master-List'!$AH$3:$AH$9995,'By Industries (NBC)'!A90,'New Master-List'!$O$3:$O$9995)</f>
        <v>0</v>
      </c>
      <c r="D90" s="181">
        <f>+SUMIF('New Master-List'!$AH$3:$AH$9995,'By Industries (NBC)'!A90,'New Master-List'!$V$3:$V$9995)</f>
        <v>0</v>
      </c>
      <c r="E90" s="181">
        <f>+SUMIF('New Master-List'!$AH$199:$AH$9995,'By Industries (NBC)'!A90,'New Master-List'!$X$199:$X$9995)</f>
        <v>0</v>
      </c>
      <c r="G90" s="344">
        <f t="shared" si="4"/>
        <v>0</v>
      </c>
      <c r="H90" s="344">
        <f t="shared" si="5"/>
        <v>0</v>
      </c>
      <c r="I90" s="344">
        <f t="shared" si="6"/>
        <v>0</v>
      </c>
      <c r="J90" s="344">
        <f t="shared" si="7"/>
        <v>0</v>
      </c>
    </row>
    <row r="91" spans="1:14" ht="15.75">
      <c r="A91" s="186" t="s">
        <v>232</v>
      </c>
      <c r="B91" s="181">
        <f>+SUMIF('New Master-List'!$AH$3:$AH$9995,'By Industries (NBC)'!A91,'New Master-List'!$L$3:$L$9995)</f>
        <v>0</v>
      </c>
      <c r="C91" s="1555">
        <f>+SUMIF('New Master-List'!$AH$3:$AH$9995,'By Industries (NBC)'!A91,'New Master-List'!$M$3:$M$9995)+SUMIF('New Master-List'!$AH$3:$AH$9995,'By Industries (NBC)'!A91,'New Master-List'!$N$3:$N$9995)++SUMIF('New Master-List'!$AH$3:$AH$9995,'By Industries (NBC)'!A91,'New Master-List'!$O$3:$O$9995)</f>
        <v>0</v>
      </c>
      <c r="D91" s="181">
        <f>+SUMIF('New Master-List'!$AH$3:$AH$9995,'By Industries (NBC)'!A91,'New Master-List'!$V$3:$V$9995)</f>
        <v>0</v>
      </c>
      <c r="E91" s="181">
        <f>+SUMIF('New Master-List'!$AH$199:$AH$9995,'By Industries (NBC)'!A91,'New Master-List'!$X$199:$X$9995)</f>
        <v>0</v>
      </c>
      <c r="G91" s="344">
        <f t="shared" si="4"/>
        <v>0</v>
      </c>
      <c r="H91" s="344">
        <f t="shared" si="5"/>
        <v>0</v>
      </c>
      <c r="I91" s="344">
        <f t="shared" si="6"/>
        <v>0</v>
      </c>
      <c r="J91" s="344">
        <f t="shared" si="7"/>
        <v>0</v>
      </c>
    </row>
    <row r="92" spans="1:14" ht="15.75">
      <c r="A92" s="186" t="s">
        <v>233</v>
      </c>
      <c r="B92" s="181">
        <f>+SUMIF('New Master-List'!$AH$3:$AH$9995,'By Industries (NBC)'!A92,'New Master-List'!$L$3:$L$9995)</f>
        <v>0</v>
      </c>
      <c r="C92" s="1555">
        <f>+SUMIF('New Master-List'!$AH$3:$AH$9995,'By Industries (NBC)'!A92,'New Master-List'!$M$3:$M$9995)+SUMIF('New Master-List'!$AH$3:$AH$9995,'By Industries (NBC)'!A92,'New Master-List'!$N$3:$N$9995)++SUMIF('New Master-List'!$AH$3:$AH$9995,'By Industries (NBC)'!A92,'New Master-List'!$O$3:$O$9995)</f>
        <v>0</v>
      </c>
      <c r="D92" s="181">
        <f>+SUMIF('New Master-List'!$AH$3:$AH$9995,'By Industries (NBC)'!A92,'New Master-List'!$V$3:$V$9995)</f>
        <v>0</v>
      </c>
      <c r="E92" s="181">
        <f>+SUMIF('New Master-List'!$AH$199:$AH$9995,'By Industries (NBC)'!A92,'New Master-List'!$X$199:$X$9995)</f>
        <v>0</v>
      </c>
      <c r="G92" s="344">
        <f t="shared" si="4"/>
        <v>0</v>
      </c>
      <c r="H92" s="344">
        <f t="shared" si="5"/>
        <v>0</v>
      </c>
      <c r="I92" s="344">
        <f t="shared" si="6"/>
        <v>0</v>
      </c>
      <c r="J92" s="344">
        <f t="shared" si="7"/>
        <v>0</v>
      </c>
    </row>
    <row r="93" spans="1:14" ht="15.75">
      <c r="A93" s="186" t="s">
        <v>234</v>
      </c>
      <c r="B93" s="181">
        <f>+SUMIF('New Master-List'!$AH$3:$AH$9995,'By Industries (NBC)'!A93,'New Master-List'!$L$3:$L$9995)</f>
        <v>0</v>
      </c>
      <c r="C93" s="1555">
        <f>+SUMIF('New Master-List'!$AH$3:$AH$9995,'By Industries (NBC)'!A93,'New Master-List'!$M$3:$M$9995)+SUMIF('New Master-List'!$AH$3:$AH$9995,'By Industries (NBC)'!A93,'New Master-List'!$N$3:$N$9995)++SUMIF('New Master-List'!$AH$3:$AH$9995,'By Industries (NBC)'!A93,'New Master-List'!$O$3:$O$9995)</f>
        <v>0</v>
      </c>
      <c r="D93" s="181">
        <f>+SUMIF('New Master-List'!$AH$3:$AH$9995,'By Industries (NBC)'!A93,'New Master-List'!$V$3:$V$9995)</f>
        <v>0</v>
      </c>
      <c r="E93" s="181">
        <f>+SUMIF('New Master-List'!$AH$199:$AH$9995,'By Industries (NBC)'!A93,'New Master-List'!$X$199:$X$9995)</f>
        <v>0</v>
      </c>
      <c r="G93" s="344">
        <f t="shared" si="4"/>
        <v>0</v>
      </c>
      <c r="H93" s="344">
        <f t="shared" si="5"/>
        <v>0</v>
      </c>
      <c r="I93" s="344">
        <f t="shared" si="6"/>
        <v>0</v>
      </c>
      <c r="J93" s="344">
        <f t="shared" si="7"/>
        <v>0</v>
      </c>
    </row>
    <row r="94" spans="1:14" ht="15.75">
      <c r="A94" s="188" t="s">
        <v>123</v>
      </c>
      <c r="B94" s="181">
        <f>+SUMIF('New Master-List'!$AH$3:$AH$9995,'By Industries (NBC)'!A94,'New Master-List'!$L$3:$L$9995)</f>
        <v>0</v>
      </c>
      <c r="C94" s="1555">
        <f>+SUMIF('New Master-List'!$AH$3:$AH$9995,'By Industries (NBC)'!A94,'New Master-List'!$M$3:$M$9995)+SUMIF('New Master-List'!$AH$3:$AH$9995,'By Industries (NBC)'!A94,'New Master-List'!$N$3:$N$9995)++SUMIF('New Master-List'!$AH$3:$AH$9995,'By Industries (NBC)'!A94,'New Master-List'!$O$3:$O$9995)</f>
        <v>0</v>
      </c>
      <c r="D94" s="181">
        <f>+SUMIF('New Master-List'!$AH$3:$AH$9995,'By Industries (NBC)'!A94,'New Master-List'!$V$3:$V$9995)</f>
        <v>0</v>
      </c>
      <c r="E94" s="181">
        <f>+SUMIF('New Master-List'!$AH$199:$AH$9995,'By Industries (NBC)'!A94,'New Master-List'!$X$199:$X$9995)</f>
        <v>0</v>
      </c>
      <c r="G94" s="344">
        <f t="shared" si="4"/>
        <v>0</v>
      </c>
      <c r="H94" s="344">
        <f t="shared" si="5"/>
        <v>0</v>
      </c>
      <c r="I94" s="344">
        <f t="shared" si="6"/>
        <v>0</v>
      </c>
      <c r="J94" s="344">
        <f t="shared" si="7"/>
        <v>0</v>
      </c>
      <c r="K94" s="174"/>
      <c r="L94" s="174"/>
      <c r="M94" s="174"/>
      <c r="N94" s="174"/>
    </row>
    <row r="95" spans="1:14" ht="15.75">
      <c r="A95" s="186" t="s">
        <v>235</v>
      </c>
      <c r="B95" s="181">
        <f>+SUMIF('New Master-List'!$AH$3:$AH$9995,'By Industries (NBC)'!A95,'New Master-List'!$L$3:$L$9995)</f>
        <v>0</v>
      </c>
      <c r="C95" s="1555">
        <f>+SUMIF('New Master-List'!$AH$3:$AH$9995,'By Industries (NBC)'!A95,'New Master-List'!$M$3:$M$9995)+SUMIF('New Master-List'!$AH$3:$AH$9995,'By Industries (NBC)'!A95,'New Master-List'!$N$3:$N$9995)++SUMIF('New Master-List'!$AH$3:$AH$9995,'By Industries (NBC)'!A95,'New Master-List'!$O$3:$O$9995)</f>
        <v>0</v>
      </c>
      <c r="D95" s="181">
        <f>+SUMIF('New Master-List'!$AH$3:$AH$9995,'By Industries (NBC)'!A95,'New Master-List'!$V$3:$V$9995)</f>
        <v>0</v>
      </c>
      <c r="E95" s="181">
        <f>+SUMIF('New Master-List'!$AH$199:$AH$9995,'By Industries (NBC)'!A95,'New Master-List'!$X$199:$X$9995)</f>
        <v>0</v>
      </c>
      <c r="G95" s="344">
        <f t="shared" si="4"/>
        <v>0</v>
      </c>
      <c r="H95" s="344">
        <f t="shared" si="5"/>
        <v>0</v>
      </c>
      <c r="I95" s="344">
        <f t="shared" si="6"/>
        <v>0</v>
      </c>
      <c r="J95" s="344">
        <f t="shared" si="7"/>
        <v>0</v>
      </c>
    </row>
    <row r="96" spans="1:14" ht="15.75">
      <c r="A96" s="186" t="s">
        <v>236</v>
      </c>
      <c r="B96" s="181">
        <f>+SUMIF('New Master-List'!$AH$3:$AH$9995,'By Industries (NBC)'!A96,'New Master-List'!$L$3:$L$9995)</f>
        <v>0</v>
      </c>
      <c r="C96" s="1555">
        <f>+SUMIF('New Master-List'!$AH$3:$AH$9995,'By Industries (NBC)'!A96,'New Master-List'!$M$3:$M$9995)+SUMIF('New Master-List'!$AH$3:$AH$9995,'By Industries (NBC)'!A96,'New Master-List'!$N$3:$N$9995)++SUMIF('New Master-List'!$AH$3:$AH$9995,'By Industries (NBC)'!A96,'New Master-List'!$O$3:$O$9995)</f>
        <v>0</v>
      </c>
      <c r="D96" s="181">
        <f>+SUMIF('New Master-List'!$AH$3:$AH$9995,'By Industries (NBC)'!A96,'New Master-List'!$V$3:$V$9995)</f>
        <v>0</v>
      </c>
      <c r="E96" s="181">
        <f>+SUMIF('New Master-List'!$AH$199:$AH$9995,'By Industries (NBC)'!A96,'New Master-List'!$X$199:$X$9995)</f>
        <v>0</v>
      </c>
      <c r="G96" s="344">
        <f t="shared" si="4"/>
        <v>0</v>
      </c>
      <c r="H96" s="344">
        <f t="shared" si="5"/>
        <v>0</v>
      </c>
      <c r="I96" s="344">
        <f t="shared" si="6"/>
        <v>0</v>
      </c>
      <c r="J96" s="344">
        <f t="shared" si="7"/>
        <v>0</v>
      </c>
    </row>
    <row r="97" spans="1:14" ht="15.75">
      <c r="A97" s="186" t="s">
        <v>237</v>
      </c>
      <c r="B97" s="181">
        <f>+SUMIF('New Master-List'!$AH$3:$AH$9995,'By Industries (NBC)'!A97,'New Master-List'!$L$3:$L$9995)</f>
        <v>0</v>
      </c>
      <c r="C97" s="1555">
        <f>+SUMIF('New Master-List'!$AH$3:$AH$9995,'By Industries (NBC)'!A97,'New Master-List'!$M$3:$M$9995)+SUMIF('New Master-List'!$AH$3:$AH$9995,'By Industries (NBC)'!A97,'New Master-List'!$N$3:$N$9995)++SUMIF('New Master-List'!$AH$3:$AH$9995,'By Industries (NBC)'!A97,'New Master-List'!$O$3:$O$9995)</f>
        <v>0</v>
      </c>
      <c r="D97" s="181">
        <f>+SUMIF('New Master-List'!$AH$3:$AH$9995,'By Industries (NBC)'!A97,'New Master-List'!$V$3:$V$9995)</f>
        <v>0</v>
      </c>
      <c r="E97" s="181">
        <f>+SUMIF('New Master-List'!$AH$199:$AH$9995,'By Industries (NBC)'!A97,'New Master-List'!$X$199:$X$9995)</f>
        <v>0</v>
      </c>
      <c r="G97" s="344">
        <f t="shared" si="4"/>
        <v>0</v>
      </c>
      <c r="H97" s="344">
        <f t="shared" si="5"/>
        <v>0</v>
      </c>
      <c r="I97" s="344">
        <f t="shared" si="6"/>
        <v>0</v>
      </c>
      <c r="J97" s="344">
        <f t="shared" si="7"/>
        <v>0</v>
      </c>
    </row>
    <row r="98" spans="1:14" ht="15.75">
      <c r="A98" s="186" t="s">
        <v>238</v>
      </c>
      <c r="B98" s="181">
        <f>+SUMIF('New Master-List'!$AH$3:$AH$9995,'By Industries (NBC)'!A98,'New Master-List'!$L$3:$L$9995)</f>
        <v>200000</v>
      </c>
      <c r="C98" s="1555">
        <f>+SUMIF('New Master-List'!$AH$3:$AH$9995,'By Industries (NBC)'!A98,'New Master-List'!$M$3:$M$9995)+SUMIF('New Master-List'!$AH$3:$AH$9995,'By Industries (NBC)'!A98,'New Master-List'!$N$3:$N$9995)++SUMIF('New Master-List'!$AH$3:$AH$9995,'By Industries (NBC)'!A98,'New Master-List'!$O$3:$O$9995)</f>
        <v>187831.82</v>
      </c>
      <c r="D98" s="181">
        <f>+SUMIF('New Master-List'!$AH$3:$AH$9995,'By Industries (NBC)'!A98,'New Master-List'!$V$3:$V$9995)</f>
        <v>0</v>
      </c>
      <c r="E98" s="181">
        <f>+SUMIF('New Master-List'!$AH$199:$AH$9995,'By Industries (NBC)'!A98,'New Master-List'!$X$199:$X$9995)</f>
        <v>0</v>
      </c>
      <c r="G98" s="344">
        <f t="shared" si="4"/>
        <v>813.8</v>
      </c>
      <c r="H98" s="344">
        <f t="shared" si="5"/>
        <v>764.29</v>
      </c>
      <c r="I98" s="344">
        <f t="shared" si="6"/>
        <v>0</v>
      </c>
      <c r="J98" s="344">
        <f t="shared" si="7"/>
        <v>0</v>
      </c>
    </row>
    <row r="99" spans="1:14" ht="15.75">
      <c r="A99" s="188" t="s">
        <v>124</v>
      </c>
      <c r="B99" s="181">
        <f>+SUMIF('New Master-List'!$AH$3:$AH$9995,'By Industries (NBC)'!A99,'New Master-List'!$L$3:$L$9995)</f>
        <v>0</v>
      </c>
      <c r="C99" s="1555">
        <f>+SUMIF('New Master-List'!$AH$3:$AH$9995,'By Industries (NBC)'!A99,'New Master-List'!$M$3:$M$9995)+SUMIF('New Master-List'!$AH$3:$AH$9995,'By Industries (NBC)'!A99,'New Master-List'!$N$3:$N$9995)++SUMIF('New Master-List'!$AH$3:$AH$9995,'By Industries (NBC)'!A99,'New Master-List'!$O$3:$O$9995)</f>
        <v>0</v>
      </c>
      <c r="D99" s="181">
        <f>+SUMIF('New Master-List'!$AH$3:$AH$9995,'By Industries (NBC)'!A99,'New Master-List'!$V$3:$V$9995)</f>
        <v>0</v>
      </c>
      <c r="E99" s="181">
        <f>+SUMIF('New Master-List'!$AH$199:$AH$9995,'By Industries (NBC)'!A99,'New Master-List'!$X$199:$X$9995)</f>
        <v>0</v>
      </c>
      <c r="G99" s="344">
        <f t="shared" si="4"/>
        <v>0</v>
      </c>
      <c r="H99" s="344">
        <f t="shared" si="5"/>
        <v>0</v>
      </c>
      <c r="I99" s="344">
        <f t="shared" si="6"/>
        <v>0</v>
      </c>
      <c r="J99" s="344">
        <f t="shared" si="7"/>
        <v>0</v>
      </c>
      <c r="K99" s="174"/>
      <c r="L99" s="174"/>
      <c r="M99" s="174"/>
      <c r="N99" s="174"/>
    </row>
    <row r="100" spans="1:14" ht="15.75">
      <c r="A100" s="186" t="s">
        <v>239</v>
      </c>
      <c r="B100" s="181">
        <f>+SUMIF('New Master-List'!$AH$3:$AH$9995,'By Industries (NBC)'!A100,'New Master-List'!$L$3:$L$9995)</f>
        <v>0</v>
      </c>
      <c r="C100" s="1555">
        <f>+SUMIF('New Master-List'!$AH$3:$AH$9995,'By Industries (NBC)'!A100,'New Master-List'!$M$3:$M$9995)+SUMIF('New Master-List'!$AH$3:$AH$9995,'By Industries (NBC)'!A100,'New Master-List'!$N$3:$N$9995)++SUMIF('New Master-List'!$AH$3:$AH$9995,'By Industries (NBC)'!A100,'New Master-List'!$O$3:$O$9995)</f>
        <v>0</v>
      </c>
      <c r="D100" s="181">
        <f>+SUMIF('New Master-List'!$AH$3:$AH$9995,'By Industries (NBC)'!A100,'New Master-List'!$V$3:$V$9995)</f>
        <v>0</v>
      </c>
      <c r="E100" s="181">
        <f>+SUMIF('New Master-List'!$AH$199:$AH$9995,'By Industries (NBC)'!A100,'New Master-List'!$X$199:$X$9995)</f>
        <v>0</v>
      </c>
      <c r="G100" s="344">
        <f t="shared" si="4"/>
        <v>0</v>
      </c>
      <c r="H100" s="344">
        <f t="shared" si="5"/>
        <v>0</v>
      </c>
      <c r="I100" s="344">
        <f t="shared" si="6"/>
        <v>0</v>
      </c>
      <c r="J100" s="344">
        <f t="shared" si="7"/>
        <v>0</v>
      </c>
    </row>
    <row r="101" spans="1:14" ht="15.75">
      <c r="A101" s="186" t="s">
        <v>240</v>
      </c>
      <c r="B101" s="181">
        <f>+SUMIF('New Master-List'!$AH$3:$AH$9995,'By Industries (NBC)'!A101,'New Master-List'!$L$3:$L$9995)</f>
        <v>0</v>
      </c>
      <c r="C101" s="1555">
        <f>+SUMIF('New Master-List'!$AH$3:$AH$9995,'By Industries (NBC)'!A101,'New Master-List'!$M$3:$M$9995)+SUMIF('New Master-List'!$AH$3:$AH$9995,'By Industries (NBC)'!A101,'New Master-List'!$N$3:$N$9995)++SUMIF('New Master-List'!$AH$3:$AH$9995,'By Industries (NBC)'!A101,'New Master-List'!$O$3:$O$9995)</f>
        <v>0</v>
      </c>
      <c r="D101" s="181">
        <f>+SUMIF('New Master-List'!$AH$3:$AH$9995,'By Industries (NBC)'!A101,'New Master-List'!$V$3:$V$9995)</f>
        <v>0</v>
      </c>
      <c r="E101" s="181">
        <f>+SUMIF('New Master-List'!$AH$199:$AH$9995,'By Industries (NBC)'!A101,'New Master-List'!$X$199:$X$9995)</f>
        <v>0</v>
      </c>
      <c r="G101" s="344">
        <f t="shared" si="4"/>
        <v>0</v>
      </c>
      <c r="H101" s="344">
        <f t="shared" si="5"/>
        <v>0</v>
      </c>
      <c r="I101" s="344">
        <f t="shared" si="6"/>
        <v>0</v>
      </c>
      <c r="J101" s="344">
        <f t="shared" si="7"/>
        <v>0</v>
      </c>
    </row>
    <row r="102" spans="1:14" ht="15.75">
      <c r="A102" s="186" t="s">
        <v>241</v>
      </c>
      <c r="B102" s="181">
        <f>+SUMIF('New Master-List'!$AH$3:$AH$9995,'By Industries (NBC)'!A102,'New Master-List'!$L$3:$L$9995)</f>
        <v>0</v>
      </c>
      <c r="C102" s="1555">
        <f>+SUMIF('New Master-List'!$AH$3:$AH$9995,'By Industries (NBC)'!A102,'New Master-List'!$M$3:$M$9995)+SUMIF('New Master-List'!$AH$3:$AH$9995,'By Industries (NBC)'!A102,'New Master-List'!$N$3:$N$9995)++SUMIF('New Master-List'!$AH$3:$AH$9995,'By Industries (NBC)'!A102,'New Master-List'!$O$3:$O$9995)</f>
        <v>0</v>
      </c>
      <c r="D102" s="181">
        <f>+SUMIF('New Master-List'!$AH$3:$AH$9995,'By Industries (NBC)'!A102,'New Master-List'!$V$3:$V$9995)</f>
        <v>0</v>
      </c>
      <c r="E102" s="181">
        <f>+SUMIF('New Master-List'!$AH$199:$AH$9995,'By Industries (NBC)'!A102,'New Master-List'!$X$199:$X$9995)</f>
        <v>0</v>
      </c>
      <c r="G102" s="344">
        <f t="shared" si="4"/>
        <v>0</v>
      </c>
      <c r="H102" s="344">
        <f t="shared" si="5"/>
        <v>0</v>
      </c>
      <c r="I102" s="344">
        <f t="shared" si="6"/>
        <v>0</v>
      </c>
      <c r="J102" s="344">
        <f t="shared" si="7"/>
        <v>0</v>
      </c>
    </row>
    <row r="103" spans="1:14" ht="15.75">
      <c r="A103" s="186" t="s">
        <v>242</v>
      </c>
      <c r="B103" s="181">
        <f>+SUMIF('New Master-List'!$AH$3:$AH$9995,'By Industries (NBC)'!A103,'New Master-List'!$L$3:$L$9995)</f>
        <v>0</v>
      </c>
      <c r="C103" s="1555">
        <f>+SUMIF('New Master-List'!$AH$3:$AH$9995,'By Industries (NBC)'!A103,'New Master-List'!$M$3:$M$9995)+SUMIF('New Master-List'!$AH$3:$AH$9995,'By Industries (NBC)'!A103,'New Master-List'!$N$3:$N$9995)++SUMIF('New Master-List'!$AH$3:$AH$9995,'By Industries (NBC)'!A103,'New Master-List'!$O$3:$O$9995)</f>
        <v>0</v>
      </c>
      <c r="D103" s="181">
        <f>+SUMIF('New Master-List'!$AH$3:$AH$9995,'By Industries (NBC)'!A103,'New Master-List'!$V$3:$V$9995)</f>
        <v>0</v>
      </c>
      <c r="E103" s="181">
        <f>+SUMIF('New Master-List'!$AH$199:$AH$9995,'By Industries (NBC)'!A103,'New Master-List'!$X$199:$X$9995)</f>
        <v>0</v>
      </c>
      <c r="G103" s="344">
        <f t="shared" si="4"/>
        <v>0</v>
      </c>
      <c r="H103" s="344">
        <f t="shared" si="5"/>
        <v>0</v>
      </c>
      <c r="I103" s="344">
        <f t="shared" si="6"/>
        <v>0</v>
      </c>
      <c r="J103" s="344">
        <f t="shared" si="7"/>
        <v>0</v>
      </c>
    </row>
    <row r="104" spans="1:14" ht="15.75">
      <c r="A104" s="188" t="s">
        <v>125</v>
      </c>
      <c r="B104" s="181">
        <f>+SUMIF('New Master-List'!$AH$3:$AH$9995,'By Industries (NBC)'!A104,'New Master-List'!$L$3:$L$9995)</f>
        <v>0</v>
      </c>
      <c r="C104" s="1555">
        <f>+SUMIF('New Master-List'!$AH$3:$AH$9995,'By Industries (NBC)'!A104,'New Master-List'!$M$3:$M$9995)+SUMIF('New Master-List'!$AH$3:$AH$9995,'By Industries (NBC)'!A104,'New Master-List'!$N$3:$N$9995)++SUMIF('New Master-List'!$AH$3:$AH$9995,'By Industries (NBC)'!A104,'New Master-List'!$O$3:$O$9995)</f>
        <v>0</v>
      </c>
      <c r="D104" s="181">
        <f>+SUMIF('New Master-List'!$AH$3:$AH$9995,'By Industries (NBC)'!A104,'New Master-List'!$V$3:$V$9995)</f>
        <v>0</v>
      </c>
      <c r="E104" s="181">
        <f>+SUMIF('New Master-List'!$AH$199:$AH$9995,'By Industries (NBC)'!A104,'New Master-List'!$X$199:$X$9995)</f>
        <v>0</v>
      </c>
      <c r="G104" s="344">
        <f t="shared" si="4"/>
        <v>0</v>
      </c>
      <c r="H104" s="344">
        <f t="shared" si="5"/>
        <v>0</v>
      </c>
      <c r="I104" s="344">
        <f t="shared" si="6"/>
        <v>0</v>
      </c>
      <c r="J104" s="344">
        <f t="shared" si="7"/>
        <v>0</v>
      </c>
      <c r="K104" s="174"/>
      <c r="L104" s="174"/>
      <c r="M104" s="174"/>
      <c r="N104" s="174"/>
    </row>
    <row r="105" spans="1:14" ht="15.75">
      <c r="A105" s="186" t="s">
        <v>243</v>
      </c>
      <c r="B105" s="181">
        <f>+SUMIF('New Master-List'!$AH$3:$AH$9995,'By Industries (NBC)'!A105,'New Master-List'!$L$3:$L$9995)</f>
        <v>0</v>
      </c>
      <c r="C105" s="1555">
        <f>+SUMIF('New Master-List'!$AH$3:$AH$9995,'By Industries (NBC)'!A105,'New Master-List'!$M$3:$M$9995)+SUMIF('New Master-List'!$AH$3:$AH$9995,'By Industries (NBC)'!A105,'New Master-List'!$N$3:$N$9995)++SUMIF('New Master-List'!$AH$3:$AH$9995,'By Industries (NBC)'!A105,'New Master-List'!$O$3:$O$9995)</f>
        <v>0</v>
      </c>
      <c r="D105" s="181">
        <f>+SUMIF('New Master-List'!$AH$3:$AH$9995,'By Industries (NBC)'!A105,'New Master-List'!$V$3:$V$9995)</f>
        <v>0</v>
      </c>
      <c r="E105" s="181">
        <f>+SUMIF('New Master-List'!$AH$199:$AH$9995,'By Industries (NBC)'!A105,'New Master-List'!$X$199:$X$9995)</f>
        <v>0</v>
      </c>
      <c r="G105" s="344">
        <f t="shared" si="4"/>
        <v>0</v>
      </c>
      <c r="H105" s="344">
        <f t="shared" si="5"/>
        <v>0</v>
      </c>
      <c r="I105" s="344">
        <f t="shared" si="6"/>
        <v>0</v>
      </c>
      <c r="J105" s="344">
        <f t="shared" si="7"/>
        <v>0</v>
      </c>
    </row>
    <row r="106" spans="1:14" ht="15.75">
      <c r="A106" s="186" t="s">
        <v>244</v>
      </c>
      <c r="B106" s="181">
        <f>+SUMIF('New Master-List'!$AH$3:$AH$9995,'By Industries (NBC)'!A106,'New Master-List'!$L$3:$L$9995)</f>
        <v>0</v>
      </c>
      <c r="C106" s="1555">
        <f>+SUMIF('New Master-List'!$AH$3:$AH$9995,'By Industries (NBC)'!A106,'New Master-List'!$M$3:$M$9995)+SUMIF('New Master-List'!$AH$3:$AH$9995,'By Industries (NBC)'!A106,'New Master-List'!$N$3:$N$9995)++SUMIF('New Master-List'!$AH$3:$AH$9995,'By Industries (NBC)'!A106,'New Master-List'!$O$3:$O$9995)</f>
        <v>0</v>
      </c>
      <c r="D106" s="181">
        <f>+SUMIF('New Master-List'!$AH$3:$AH$9995,'By Industries (NBC)'!A106,'New Master-List'!$V$3:$V$9995)</f>
        <v>0</v>
      </c>
      <c r="E106" s="181">
        <f>+SUMIF('New Master-List'!$AH$199:$AH$9995,'By Industries (NBC)'!A106,'New Master-List'!$X$199:$X$9995)</f>
        <v>0</v>
      </c>
      <c r="G106" s="344">
        <f t="shared" si="4"/>
        <v>0</v>
      </c>
      <c r="H106" s="344">
        <f t="shared" si="5"/>
        <v>0</v>
      </c>
      <c r="I106" s="344">
        <f t="shared" si="6"/>
        <v>0</v>
      </c>
      <c r="J106" s="344">
        <f t="shared" si="7"/>
        <v>0</v>
      </c>
    </row>
    <row r="107" spans="1:14" ht="15.75">
      <c r="A107" s="186" t="s">
        <v>245</v>
      </c>
      <c r="B107" s="181">
        <f>+SUMIF('New Master-List'!$AH$3:$AH$9995,'By Industries (NBC)'!A107,'New Master-List'!$L$3:$L$9995)</f>
        <v>0</v>
      </c>
      <c r="C107" s="1555">
        <f>+SUMIF('New Master-List'!$AH$3:$AH$9995,'By Industries (NBC)'!A107,'New Master-List'!$M$3:$M$9995)+SUMIF('New Master-List'!$AH$3:$AH$9995,'By Industries (NBC)'!A107,'New Master-List'!$N$3:$N$9995)++SUMIF('New Master-List'!$AH$3:$AH$9995,'By Industries (NBC)'!A107,'New Master-List'!$O$3:$O$9995)</f>
        <v>0</v>
      </c>
      <c r="D107" s="181">
        <f>+SUMIF('New Master-List'!$AH$3:$AH$9995,'By Industries (NBC)'!A107,'New Master-List'!$V$3:$V$9995)</f>
        <v>0</v>
      </c>
      <c r="E107" s="181">
        <f>+SUMIF('New Master-List'!$AH$199:$AH$9995,'By Industries (NBC)'!A107,'New Master-List'!$X$199:$X$9995)</f>
        <v>0</v>
      </c>
      <c r="G107" s="344">
        <f t="shared" si="4"/>
        <v>0</v>
      </c>
      <c r="H107" s="344">
        <f t="shared" si="5"/>
        <v>0</v>
      </c>
      <c r="I107" s="344">
        <f t="shared" si="6"/>
        <v>0</v>
      </c>
      <c r="J107" s="344">
        <f t="shared" si="7"/>
        <v>0</v>
      </c>
    </row>
    <row r="108" spans="1:14" ht="15.75">
      <c r="A108" s="186" t="s">
        <v>246</v>
      </c>
      <c r="B108" s="181">
        <f>+SUMIF('New Master-List'!$AH$3:$AH$9995,'By Industries (NBC)'!A108,'New Master-List'!$L$3:$L$9995)</f>
        <v>0</v>
      </c>
      <c r="C108" s="1555">
        <f>+SUMIF('New Master-List'!$AH$3:$AH$9995,'By Industries (NBC)'!A108,'New Master-List'!$M$3:$M$9995)+SUMIF('New Master-List'!$AH$3:$AH$9995,'By Industries (NBC)'!A108,'New Master-List'!$N$3:$N$9995)++SUMIF('New Master-List'!$AH$3:$AH$9995,'By Industries (NBC)'!A108,'New Master-List'!$O$3:$O$9995)</f>
        <v>0</v>
      </c>
      <c r="D108" s="181">
        <f>+SUMIF('New Master-List'!$AH$3:$AH$9995,'By Industries (NBC)'!A108,'New Master-List'!$V$3:$V$9995)</f>
        <v>0</v>
      </c>
      <c r="E108" s="181">
        <f>+SUMIF('New Master-List'!$AH$199:$AH$9995,'By Industries (NBC)'!A108,'New Master-List'!$X$199:$X$9995)</f>
        <v>0</v>
      </c>
      <c r="G108" s="344">
        <f t="shared" si="4"/>
        <v>0</v>
      </c>
      <c r="H108" s="344">
        <f t="shared" si="5"/>
        <v>0</v>
      </c>
      <c r="I108" s="344">
        <f t="shared" si="6"/>
        <v>0</v>
      </c>
      <c r="J108" s="344">
        <f t="shared" si="7"/>
        <v>0</v>
      </c>
    </row>
    <row r="109" spans="1:14" ht="15.75">
      <c r="A109" s="188" t="s">
        <v>126</v>
      </c>
      <c r="B109" s="181">
        <f>+SUMIF('New Master-List'!$AH$3:$AH$9995,'By Industries (NBC)'!A109,'New Master-List'!$L$3:$L$9995)</f>
        <v>0</v>
      </c>
      <c r="C109" s="1555">
        <f>+SUMIF('New Master-List'!$AH$3:$AH$9995,'By Industries (NBC)'!A109,'New Master-List'!$M$3:$M$9995)+SUMIF('New Master-List'!$AH$3:$AH$9995,'By Industries (NBC)'!A109,'New Master-List'!$N$3:$N$9995)++SUMIF('New Master-List'!$AH$3:$AH$9995,'By Industries (NBC)'!A109,'New Master-List'!$O$3:$O$9995)</f>
        <v>0</v>
      </c>
      <c r="D109" s="181">
        <f>+SUMIF('New Master-List'!$AH$3:$AH$9995,'By Industries (NBC)'!A109,'New Master-List'!$V$3:$V$9995)</f>
        <v>0</v>
      </c>
      <c r="E109" s="181">
        <f>+SUMIF('New Master-List'!$AH$199:$AH$9995,'By Industries (NBC)'!A109,'New Master-List'!$X$199:$X$9995)</f>
        <v>0</v>
      </c>
      <c r="G109" s="344">
        <f t="shared" si="4"/>
        <v>0</v>
      </c>
      <c r="H109" s="344">
        <f t="shared" si="5"/>
        <v>0</v>
      </c>
      <c r="I109" s="344">
        <f t="shared" si="6"/>
        <v>0</v>
      </c>
      <c r="J109" s="344">
        <f t="shared" si="7"/>
        <v>0</v>
      </c>
      <c r="K109" s="174"/>
      <c r="L109" s="174"/>
      <c r="M109" s="174"/>
      <c r="N109" s="174"/>
    </row>
    <row r="110" spans="1:14" ht="15.75">
      <c r="A110" s="186" t="s">
        <v>247</v>
      </c>
      <c r="B110" s="181">
        <f>+SUMIF('New Master-List'!$AH$3:$AH$9995,'By Industries (NBC)'!A110,'New Master-List'!$L$3:$L$9995)</f>
        <v>0</v>
      </c>
      <c r="C110" s="1555">
        <f>+SUMIF('New Master-List'!$AH$3:$AH$9995,'By Industries (NBC)'!A110,'New Master-List'!$M$3:$M$9995)+SUMIF('New Master-List'!$AH$3:$AH$9995,'By Industries (NBC)'!A110,'New Master-List'!$N$3:$N$9995)++SUMIF('New Master-List'!$AH$3:$AH$9995,'By Industries (NBC)'!A110,'New Master-List'!$O$3:$O$9995)</f>
        <v>0</v>
      </c>
      <c r="D110" s="181">
        <f>+SUMIF('New Master-List'!$AH$3:$AH$9995,'By Industries (NBC)'!A110,'New Master-List'!$V$3:$V$9995)</f>
        <v>0</v>
      </c>
      <c r="E110" s="181">
        <f>+SUMIF('New Master-List'!$AH$199:$AH$9995,'By Industries (NBC)'!A110,'New Master-List'!$X$199:$X$9995)</f>
        <v>0</v>
      </c>
      <c r="G110" s="344">
        <f t="shared" si="4"/>
        <v>0</v>
      </c>
      <c r="H110" s="344">
        <f t="shared" si="5"/>
        <v>0</v>
      </c>
      <c r="I110" s="344">
        <f t="shared" si="6"/>
        <v>0</v>
      </c>
      <c r="J110" s="344">
        <f t="shared" si="7"/>
        <v>0</v>
      </c>
    </row>
    <row r="111" spans="1:14" ht="15.75">
      <c r="A111" s="186" t="s">
        <v>248</v>
      </c>
      <c r="B111" s="181">
        <f>+SUMIF('New Master-List'!$AH$3:$AH$9995,'By Industries (NBC)'!A111,'New Master-List'!$L$3:$L$9995)</f>
        <v>0</v>
      </c>
      <c r="C111" s="1555">
        <f>+SUMIF('New Master-List'!$AH$3:$AH$9995,'By Industries (NBC)'!A111,'New Master-List'!$M$3:$M$9995)+SUMIF('New Master-List'!$AH$3:$AH$9995,'By Industries (NBC)'!A111,'New Master-List'!$N$3:$N$9995)++SUMIF('New Master-List'!$AH$3:$AH$9995,'By Industries (NBC)'!A111,'New Master-List'!$O$3:$O$9995)</f>
        <v>0</v>
      </c>
      <c r="D111" s="181">
        <f>+SUMIF('New Master-List'!$AH$3:$AH$9995,'By Industries (NBC)'!A111,'New Master-List'!$V$3:$V$9995)</f>
        <v>0</v>
      </c>
      <c r="E111" s="181">
        <f>+SUMIF('New Master-List'!$AH$199:$AH$9995,'By Industries (NBC)'!A111,'New Master-List'!$X$199:$X$9995)</f>
        <v>0</v>
      </c>
      <c r="G111" s="344">
        <f t="shared" si="4"/>
        <v>0</v>
      </c>
      <c r="H111" s="344">
        <f t="shared" si="5"/>
        <v>0</v>
      </c>
      <c r="I111" s="344">
        <f t="shared" si="6"/>
        <v>0</v>
      </c>
      <c r="J111" s="344">
        <f t="shared" si="7"/>
        <v>0</v>
      </c>
    </row>
    <row r="112" spans="1:14" ht="15.75">
      <c r="A112" s="186" t="s">
        <v>249</v>
      </c>
      <c r="B112" s="181">
        <f>+SUMIF('New Master-List'!$AH$3:$AH$9995,'By Industries (NBC)'!A112,'New Master-List'!$L$3:$L$9995)</f>
        <v>0</v>
      </c>
      <c r="C112" s="1555">
        <f>+SUMIF('New Master-List'!$AH$3:$AH$9995,'By Industries (NBC)'!A112,'New Master-List'!$M$3:$M$9995)+SUMIF('New Master-List'!$AH$3:$AH$9995,'By Industries (NBC)'!A112,'New Master-List'!$N$3:$N$9995)++SUMIF('New Master-List'!$AH$3:$AH$9995,'By Industries (NBC)'!A112,'New Master-List'!$O$3:$O$9995)</f>
        <v>0</v>
      </c>
      <c r="D112" s="181">
        <f>+SUMIF('New Master-List'!$AH$3:$AH$9995,'By Industries (NBC)'!A112,'New Master-List'!$V$3:$V$9995)</f>
        <v>0</v>
      </c>
      <c r="E112" s="181">
        <f>+SUMIF('New Master-List'!$AH$199:$AH$9995,'By Industries (NBC)'!A112,'New Master-List'!$X$199:$X$9995)</f>
        <v>0</v>
      </c>
      <c r="G112" s="344">
        <f t="shared" si="4"/>
        <v>0</v>
      </c>
      <c r="H112" s="344">
        <f t="shared" si="5"/>
        <v>0</v>
      </c>
      <c r="I112" s="344">
        <f t="shared" si="6"/>
        <v>0</v>
      </c>
      <c r="J112" s="344">
        <f t="shared" si="7"/>
        <v>0</v>
      </c>
    </row>
    <row r="113" spans="1:14" ht="15.75">
      <c r="A113" s="186" t="s">
        <v>250</v>
      </c>
      <c r="B113" s="181">
        <f>+SUMIF('New Master-List'!$AH$3:$AH$9995,'By Industries (NBC)'!A113,'New Master-List'!$L$3:$L$9995)</f>
        <v>0</v>
      </c>
      <c r="C113" s="1555">
        <f>+SUMIF('New Master-List'!$AH$3:$AH$9995,'By Industries (NBC)'!A113,'New Master-List'!$M$3:$M$9995)+SUMIF('New Master-List'!$AH$3:$AH$9995,'By Industries (NBC)'!A113,'New Master-List'!$N$3:$N$9995)++SUMIF('New Master-List'!$AH$3:$AH$9995,'By Industries (NBC)'!A113,'New Master-List'!$O$3:$O$9995)</f>
        <v>0</v>
      </c>
      <c r="D113" s="181">
        <f>+SUMIF('New Master-List'!$AH$3:$AH$9995,'By Industries (NBC)'!A113,'New Master-List'!$V$3:$V$9995)</f>
        <v>0</v>
      </c>
      <c r="E113" s="181">
        <f>+SUMIF('New Master-List'!$AH$199:$AH$9995,'By Industries (NBC)'!A113,'New Master-List'!$X$199:$X$9995)</f>
        <v>0</v>
      </c>
      <c r="G113" s="344">
        <f t="shared" si="4"/>
        <v>0</v>
      </c>
      <c r="H113" s="344">
        <f t="shared" si="5"/>
        <v>0</v>
      </c>
      <c r="I113" s="344">
        <f t="shared" si="6"/>
        <v>0</v>
      </c>
      <c r="J113" s="344">
        <f t="shared" si="7"/>
        <v>0</v>
      </c>
    </row>
    <row r="114" spans="1:14" ht="15.75">
      <c r="A114" s="188" t="s">
        <v>127</v>
      </c>
      <c r="B114" s="181">
        <f>+SUMIF('New Master-List'!$AH$3:$AH$9995,'By Industries (NBC)'!A114,'New Master-List'!$L$3:$L$9995)</f>
        <v>0</v>
      </c>
      <c r="C114" s="1555">
        <f>+SUMIF('New Master-List'!$AH$3:$AH$9995,'By Industries (NBC)'!A114,'New Master-List'!$M$3:$M$9995)+SUMIF('New Master-List'!$AH$3:$AH$9995,'By Industries (NBC)'!A114,'New Master-List'!$N$3:$N$9995)++SUMIF('New Master-List'!$AH$3:$AH$9995,'By Industries (NBC)'!A114,'New Master-List'!$O$3:$O$9995)</f>
        <v>0</v>
      </c>
      <c r="D114" s="181">
        <f>+SUMIF('New Master-List'!$AH$3:$AH$9995,'By Industries (NBC)'!A114,'New Master-List'!$V$3:$V$9995)</f>
        <v>0</v>
      </c>
      <c r="E114" s="181">
        <f>+SUMIF('New Master-List'!$AH$199:$AH$9995,'By Industries (NBC)'!A114,'New Master-List'!$X$199:$X$9995)</f>
        <v>0</v>
      </c>
      <c r="G114" s="344">
        <f t="shared" si="4"/>
        <v>0</v>
      </c>
      <c r="H114" s="344">
        <f t="shared" si="5"/>
        <v>0</v>
      </c>
      <c r="I114" s="344">
        <f t="shared" si="6"/>
        <v>0</v>
      </c>
      <c r="J114" s="344">
        <f t="shared" si="7"/>
        <v>0</v>
      </c>
      <c r="K114" s="174"/>
      <c r="L114" s="174"/>
      <c r="M114" s="174"/>
      <c r="N114" s="174"/>
    </row>
    <row r="115" spans="1:14" ht="15.75">
      <c r="A115" s="186" t="s">
        <v>251</v>
      </c>
      <c r="B115" s="181">
        <f>+SUMIF('New Master-List'!$AH$3:$AH$9995,'By Industries (NBC)'!A115,'New Master-List'!$L$3:$L$9995)</f>
        <v>0</v>
      </c>
      <c r="C115" s="1555">
        <f>+SUMIF('New Master-List'!$AH$3:$AH$9995,'By Industries (NBC)'!A115,'New Master-List'!$M$3:$M$9995)+SUMIF('New Master-List'!$AH$3:$AH$9995,'By Industries (NBC)'!A115,'New Master-List'!$N$3:$N$9995)++SUMIF('New Master-List'!$AH$3:$AH$9995,'By Industries (NBC)'!A115,'New Master-List'!$O$3:$O$9995)</f>
        <v>0</v>
      </c>
      <c r="D115" s="181">
        <f>+SUMIF('New Master-List'!$AH$3:$AH$9995,'By Industries (NBC)'!A115,'New Master-List'!$V$3:$V$9995)</f>
        <v>0</v>
      </c>
      <c r="E115" s="181">
        <f>+SUMIF('New Master-List'!$AH$199:$AH$9995,'By Industries (NBC)'!A115,'New Master-List'!$X$199:$X$9995)</f>
        <v>0</v>
      </c>
      <c r="G115" s="344">
        <f t="shared" si="4"/>
        <v>0</v>
      </c>
      <c r="H115" s="344">
        <f t="shared" si="5"/>
        <v>0</v>
      </c>
      <c r="I115" s="344">
        <f t="shared" si="6"/>
        <v>0</v>
      </c>
      <c r="J115" s="344">
        <f t="shared" si="7"/>
        <v>0</v>
      </c>
    </row>
    <row r="116" spans="1:14" ht="15.75">
      <c r="A116" s="186" t="s">
        <v>252</v>
      </c>
      <c r="B116" s="181">
        <f>+SUMIF('New Master-List'!$AH$3:$AH$9995,'By Industries (NBC)'!A116,'New Master-List'!$L$3:$L$9995)</f>
        <v>0</v>
      </c>
      <c r="C116" s="1555">
        <f>+SUMIF('New Master-List'!$AH$3:$AH$9995,'By Industries (NBC)'!A116,'New Master-List'!$M$3:$M$9995)+SUMIF('New Master-List'!$AH$3:$AH$9995,'By Industries (NBC)'!A116,'New Master-List'!$N$3:$N$9995)++SUMIF('New Master-List'!$AH$3:$AH$9995,'By Industries (NBC)'!A116,'New Master-List'!$O$3:$O$9995)</f>
        <v>0</v>
      </c>
      <c r="D116" s="181">
        <f>+SUMIF('New Master-List'!$AH$3:$AH$9995,'By Industries (NBC)'!A116,'New Master-List'!$V$3:$V$9995)</f>
        <v>0</v>
      </c>
      <c r="E116" s="181">
        <f>+SUMIF('New Master-List'!$AH$199:$AH$9995,'By Industries (NBC)'!A116,'New Master-List'!$X$199:$X$9995)</f>
        <v>0</v>
      </c>
      <c r="G116" s="344">
        <f t="shared" si="4"/>
        <v>0</v>
      </c>
      <c r="H116" s="344">
        <f t="shared" si="5"/>
        <v>0</v>
      </c>
      <c r="I116" s="344">
        <f t="shared" si="6"/>
        <v>0</v>
      </c>
      <c r="J116" s="344">
        <f t="shared" si="7"/>
        <v>0</v>
      </c>
    </row>
    <row r="117" spans="1:14" ht="15.75">
      <c r="A117" s="186" t="s">
        <v>253</v>
      </c>
      <c r="B117" s="181">
        <f>+SUMIF('New Master-List'!$AH$3:$AH$9995,'By Industries (NBC)'!A117,'New Master-List'!$L$3:$L$9995)</f>
        <v>0</v>
      </c>
      <c r="C117" s="1555">
        <f>+SUMIF('New Master-List'!$AH$3:$AH$9995,'By Industries (NBC)'!A117,'New Master-List'!$M$3:$M$9995)+SUMIF('New Master-List'!$AH$3:$AH$9995,'By Industries (NBC)'!A117,'New Master-List'!$N$3:$N$9995)++SUMIF('New Master-List'!$AH$3:$AH$9995,'By Industries (NBC)'!A117,'New Master-List'!$O$3:$O$9995)</f>
        <v>0</v>
      </c>
      <c r="D117" s="181">
        <f>+SUMIF('New Master-List'!$AH$3:$AH$9995,'By Industries (NBC)'!A117,'New Master-List'!$V$3:$V$9995)</f>
        <v>0</v>
      </c>
      <c r="E117" s="181">
        <f>+SUMIF('New Master-List'!$AH$199:$AH$9995,'By Industries (NBC)'!A117,'New Master-List'!$X$199:$X$9995)</f>
        <v>0</v>
      </c>
      <c r="G117" s="344">
        <f t="shared" si="4"/>
        <v>0</v>
      </c>
      <c r="H117" s="344">
        <f t="shared" si="5"/>
        <v>0</v>
      </c>
      <c r="I117" s="344">
        <f t="shared" si="6"/>
        <v>0</v>
      </c>
      <c r="J117" s="344">
        <f t="shared" si="7"/>
        <v>0</v>
      </c>
    </row>
    <row r="118" spans="1:14" ht="15.75">
      <c r="A118" s="186" t="s">
        <v>254</v>
      </c>
      <c r="B118" s="181">
        <f>+SUMIF('New Master-List'!$AH$3:$AH$9995,'By Industries (NBC)'!A118,'New Master-List'!$L$3:$L$9995)</f>
        <v>0</v>
      </c>
      <c r="C118" s="1555">
        <f>+SUMIF('New Master-List'!$AH$3:$AH$9995,'By Industries (NBC)'!A118,'New Master-List'!$M$3:$M$9995)+SUMIF('New Master-List'!$AH$3:$AH$9995,'By Industries (NBC)'!A118,'New Master-List'!$N$3:$N$9995)++SUMIF('New Master-List'!$AH$3:$AH$9995,'By Industries (NBC)'!A118,'New Master-List'!$O$3:$O$9995)</f>
        <v>0</v>
      </c>
      <c r="D118" s="181">
        <f>+SUMIF('New Master-List'!$AH$3:$AH$9995,'By Industries (NBC)'!A118,'New Master-List'!$V$3:$V$9995)</f>
        <v>0</v>
      </c>
      <c r="E118" s="181">
        <f>+SUMIF('New Master-List'!$AH$199:$AH$9995,'By Industries (NBC)'!A118,'New Master-List'!$X$199:$X$9995)</f>
        <v>0</v>
      </c>
      <c r="G118" s="344">
        <f t="shared" si="4"/>
        <v>0</v>
      </c>
      <c r="H118" s="344">
        <f t="shared" si="5"/>
        <v>0</v>
      </c>
      <c r="I118" s="344">
        <f t="shared" si="6"/>
        <v>0</v>
      </c>
      <c r="J118" s="344">
        <f t="shared" si="7"/>
        <v>0</v>
      </c>
    </row>
    <row r="119" spans="1:14" ht="15.75">
      <c r="A119" s="188" t="s">
        <v>128</v>
      </c>
      <c r="B119" s="181">
        <f>+SUMIF('New Master-List'!$AH$3:$AH$9995,'By Industries (NBC)'!A119,'New Master-List'!$L$3:$L$9995)</f>
        <v>0</v>
      </c>
      <c r="C119" s="1555">
        <f>+SUMIF('New Master-List'!$AH$3:$AH$9995,'By Industries (NBC)'!A119,'New Master-List'!$M$3:$M$9995)+SUMIF('New Master-List'!$AH$3:$AH$9995,'By Industries (NBC)'!A119,'New Master-List'!$N$3:$N$9995)++SUMIF('New Master-List'!$AH$3:$AH$9995,'By Industries (NBC)'!A119,'New Master-List'!$O$3:$O$9995)</f>
        <v>0</v>
      </c>
      <c r="D119" s="181">
        <f>+SUMIF('New Master-List'!$AH$3:$AH$9995,'By Industries (NBC)'!A119,'New Master-List'!$V$3:$V$9995)</f>
        <v>0</v>
      </c>
      <c r="E119" s="181">
        <f>+SUMIF('New Master-List'!$AH$199:$AH$9995,'By Industries (NBC)'!A119,'New Master-List'!$X$199:$X$9995)</f>
        <v>0</v>
      </c>
      <c r="G119" s="344">
        <f t="shared" si="4"/>
        <v>0</v>
      </c>
      <c r="H119" s="344">
        <f t="shared" si="5"/>
        <v>0</v>
      </c>
      <c r="I119" s="344">
        <f t="shared" si="6"/>
        <v>0</v>
      </c>
      <c r="J119" s="344">
        <f t="shared" si="7"/>
        <v>0</v>
      </c>
      <c r="K119" s="174"/>
      <c r="L119" s="174"/>
      <c r="M119" s="174"/>
      <c r="N119" s="174"/>
    </row>
    <row r="120" spans="1:14" ht="15.75">
      <c r="A120" s="186" t="s">
        <v>255</v>
      </c>
      <c r="B120" s="181">
        <f>+SUMIF('New Master-List'!$AH$3:$AH$9995,'By Industries (NBC)'!A120,'New Master-List'!$L$3:$L$9995)</f>
        <v>0</v>
      </c>
      <c r="C120" s="1555">
        <f>+SUMIF('New Master-List'!$AH$3:$AH$9995,'By Industries (NBC)'!A120,'New Master-List'!$M$3:$M$9995)+SUMIF('New Master-List'!$AH$3:$AH$9995,'By Industries (NBC)'!A120,'New Master-List'!$N$3:$N$9995)++SUMIF('New Master-List'!$AH$3:$AH$9995,'By Industries (NBC)'!A120,'New Master-List'!$O$3:$O$9995)</f>
        <v>0</v>
      </c>
      <c r="D120" s="181">
        <f>+SUMIF('New Master-List'!$AH$3:$AH$9995,'By Industries (NBC)'!A120,'New Master-List'!$V$3:$V$9995)</f>
        <v>0</v>
      </c>
      <c r="E120" s="181">
        <f>+SUMIF('New Master-List'!$AH$199:$AH$9995,'By Industries (NBC)'!A120,'New Master-List'!$X$199:$X$9995)</f>
        <v>0</v>
      </c>
      <c r="G120" s="344">
        <f t="shared" si="4"/>
        <v>0</v>
      </c>
      <c r="H120" s="344">
        <f t="shared" si="5"/>
        <v>0</v>
      </c>
      <c r="I120" s="344">
        <f t="shared" si="6"/>
        <v>0</v>
      </c>
      <c r="J120" s="344">
        <f t="shared" si="7"/>
        <v>0</v>
      </c>
    </row>
    <row r="121" spans="1:14" ht="15.75">
      <c r="A121" s="186" t="s">
        <v>256</v>
      </c>
      <c r="B121" s="181">
        <f>+SUMIF('New Master-List'!$AH$3:$AH$9995,'By Industries (NBC)'!A121,'New Master-List'!$L$3:$L$9995)</f>
        <v>0</v>
      </c>
      <c r="C121" s="1555">
        <f>+SUMIF('New Master-List'!$AH$3:$AH$9995,'By Industries (NBC)'!A121,'New Master-List'!$M$3:$M$9995)+SUMIF('New Master-List'!$AH$3:$AH$9995,'By Industries (NBC)'!A121,'New Master-List'!$N$3:$N$9995)++SUMIF('New Master-List'!$AH$3:$AH$9995,'By Industries (NBC)'!A121,'New Master-List'!$O$3:$O$9995)</f>
        <v>0</v>
      </c>
      <c r="D121" s="181">
        <f>+SUMIF('New Master-List'!$AH$3:$AH$9995,'By Industries (NBC)'!A121,'New Master-List'!$V$3:$V$9995)</f>
        <v>0</v>
      </c>
      <c r="E121" s="181">
        <f>+SUMIF('New Master-List'!$AH$199:$AH$9995,'By Industries (NBC)'!A121,'New Master-List'!$X$199:$X$9995)</f>
        <v>0</v>
      </c>
      <c r="G121" s="344">
        <f t="shared" si="4"/>
        <v>0</v>
      </c>
      <c r="H121" s="344">
        <f t="shared" si="5"/>
        <v>0</v>
      </c>
      <c r="I121" s="344">
        <f t="shared" si="6"/>
        <v>0</v>
      </c>
      <c r="J121" s="344">
        <f t="shared" si="7"/>
        <v>0</v>
      </c>
    </row>
    <row r="122" spans="1:14" ht="15.75">
      <c r="A122" s="186" t="s">
        <v>257</v>
      </c>
      <c r="B122" s="181">
        <f>+SUMIF('New Master-List'!$AH$3:$AH$9995,'By Industries (NBC)'!A122,'New Master-List'!$L$3:$L$9995)</f>
        <v>0</v>
      </c>
      <c r="C122" s="1555">
        <f>+SUMIF('New Master-List'!$AH$3:$AH$9995,'By Industries (NBC)'!A122,'New Master-List'!$M$3:$M$9995)+SUMIF('New Master-List'!$AH$3:$AH$9995,'By Industries (NBC)'!A122,'New Master-List'!$N$3:$N$9995)++SUMIF('New Master-List'!$AH$3:$AH$9995,'By Industries (NBC)'!A122,'New Master-List'!$O$3:$O$9995)</f>
        <v>0</v>
      </c>
      <c r="D122" s="181">
        <f>+SUMIF('New Master-List'!$AH$3:$AH$9995,'By Industries (NBC)'!A122,'New Master-List'!$V$3:$V$9995)</f>
        <v>0</v>
      </c>
      <c r="E122" s="181">
        <f>+SUMIF('New Master-List'!$AH$199:$AH$9995,'By Industries (NBC)'!A122,'New Master-List'!$X$199:$X$9995)</f>
        <v>0</v>
      </c>
      <c r="G122" s="344">
        <f t="shared" ref="G122:G185" si="8">ROUND((B122*$J$1)/1000000,2)</f>
        <v>0</v>
      </c>
      <c r="H122" s="344">
        <f t="shared" ref="H122:H185" si="9">ROUND((C122*$J$1)/1000000,2)</f>
        <v>0</v>
      </c>
      <c r="I122" s="344">
        <f t="shared" si="6"/>
        <v>0</v>
      </c>
      <c r="J122" s="344">
        <f t="shared" si="7"/>
        <v>0</v>
      </c>
    </row>
    <row r="123" spans="1:14" ht="15.75">
      <c r="A123" s="186" t="s">
        <v>258</v>
      </c>
      <c r="B123" s="181">
        <f>+SUMIF('New Master-List'!$AH$3:$AH$9995,'By Industries (NBC)'!A123,'New Master-List'!$L$3:$L$9995)</f>
        <v>0</v>
      </c>
      <c r="C123" s="1555">
        <f>+SUMIF('New Master-List'!$AH$3:$AH$9995,'By Industries (NBC)'!A123,'New Master-List'!$M$3:$M$9995)+SUMIF('New Master-List'!$AH$3:$AH$9995,'By Industries (NBC)'!A123,'New Master-List'!$N$3:$N$9995)++SUMIF('New Master-List'!$AH$3:$AH$9995,'By Industries (NBC)'!A123,'New Master-List'!$O$3:$O$9995)</f>
        <v>0</v>
      </c>
      <c r="D123" s="181">
        <f>+SUMIF('New Master-List'!$AH$3:$AH$9995,'By Industries (NBC)'!A123,'New Master-List'!$V$3:$V$9995)</f>
        <v>0</v>
      </c>
      <c r="E123" s="181">
        <f>+SUMIF('New Master-List'!$AH$199:$AH$9995,'By Industries (NBC)'!A123,'New Master-List'!$X$199:$X$9995)</f>
        <v>0</v>
      </c>
      <c r="G123" s="344">
        <f t="shared" si="8"/>
        <v>0</v>
      </c>
      <c r="H123" s="344">
        <f t="shared" si="9"/>
        <v>0</v>
      </c>
      <c r="I123" s="344">
        <f t="shared" si="6"/>
        <v>0</v>
      </c>
      <c r="J123" s="344">
        <f t="shared" si="7"/>
        <v>0</v>
      </c>
    </row>
    <row r="124" spans="1:14" ht="15.75">
      <c r="A124" s="188" t="s">
        <v>129</v>
      </c>
      <c r="B124" s="181">
        <f>+SUMIF('New Master-List'!$AH$3:$AH$9995,'By Industries (NBC)'!A124,'New Master-List'!$L$3:$L$9995)</f>
        <v>0</v>
      </c>
      <c r="C124" s="1555">
        <f>+SUMIF('New Master-List'!$AH$3:$AH$9995,'By Industries (NBC)'!A124,'New Master-List'!$M$3:$M$9995)+SUMIF('New Master-List'!$AH$3:$AH$9995,'By Industries (NBC)'!A124,'New Master-List'!$N$3:$N$9995)++SUMIF('New Master-List'!$AH$3:$AH$9995,'By Industries (NBC)'!A124,'New Master-List'!$O$3:$O$9995)</f>
        <v>0</v>
      </c>
      <c r="D124" s="181">
        <f>+SUMIF('New Master-List'!$AH$3:$AH$9995,'By Industries (NBC)'!A124,'New Master-List'!$V$3:$V$9995)</f>
        <v>0</v>
      </c>
      <c r="E124" s="181">
        <f>+SUMIF('New Master-List'!$AH$199:$AH$9995,'By Industries (NBC)'!A124,'New Master-List'!$X$199:$X$9995)</f>
        <v>0</v>
      </c>
      <c r="G124" s="344">
        <f t="shared" si="8"/>
        <v>0</v>
      </c>
      <c r="H124" s="344">
        <f t="shared" si="9"/>
        <v>0</v>
      </c>
      <c r="I124" s="344">
        <f t="shared" si="6"/>
        <v>0</v>
      </c>
      <c r="J124" s="344">
        <f t="shared" si="7"/>
        <v>0</v>
      </c>
      <c r="K124" s="174"/>
      <c r="L124" s="174"/>
      <c r="M124" s="174"/>
      <c r="N124" s="174"/>
    </row>
    <row r="125" spans="1:14" ht="15.75">
      <c r="A125" s="186" t="s">
        <v>259</v>
      </c>
      <c r="B125" s="181">
        <f>+SUMIF('New Master-List'!$AH$3:$AH$9995,'By Industries (NBC)'!A125,'New Master-List'!$L$3:$L$9995)</f>
        <v>0</v>
      </c>
      <c r="C125" s="1555">
        <f>+SUMIF('New Master-List'!$AH$3:$AH$9995,'By Industries (NBC)'!A125,'New Master-List'!$M$3:$M$9995)+SUMIF('New Master-List'!$AH$3:$AH$9995,'By Industries (NBC)'!A125,'New Master-List'!$N$3:$N$9995)++SUMIF('New Master-List'!$AH$3:$AH$9995,'By Industries (NBC)'!A125,'New Master-List'!$O$3:$O$9995)</f>
        <v>0</v>
      </c>
      <c r="D125" s="181">
        <f>+SUMIF('New Master-List'!$AH$3:$AH$9995,'By Industries (NBC)'!A125,'New Master-List'!$V$3:$V$9995)</f>
        <v>0</v>
      </c>
      <c r="E125" s="181">
        <f>+SUMIF('New Master-List'!$AH$199:$AH$9995,'By Industries (NBC)'!A125,'New Master-List'!$X$199:$X$9995)</f>
        <v>0</v>
      </c>
      <c r="G125" s="344">
        <f t="shared" si="8"/>
        <v>0</v>
      </c>
      <c r="H125" s="344">
        <f t="shared" si="9"/>
        <v>0</v>
      </c>
      <c r="I125" s="344">
        <f t="shared" si="6"/>
        <v>0</v>
      </c>
      <c r="J125" s="344">
        <f t="shared" si="7"/>
        <v>0</v>
      </c>
    </row>
    <row r="126" spans="1:14" ht="15.75">
      <c r="A126" s="186" t="s">
        <v>260</v>
      </c>
      <c r="B126" s="181">
        <f>+SUMIF('New Master-List'!$AH$3:$AH$9995,'By Industries (NBC)'!A126,'New Master-List'!$L$3:$L$9995)</f>
        <v>0</v>
      </c>
      <c r="C126" s="1555">
        <f>+SUMIF('New Master-List'!$AH$3:$AH$9995,'By Industries (NBC)'!A126,'New Master-List'!$M$3:$M$9995)+SUMIF('New Master-List'!$AH$3:$AH$9995,'By Industries (NBC)'!A126,'New Master-List'!$N$3:$N$9995)++SUMIF('New Master-List'!$AH$3:$AH$9995,'By Industries (NBC)'!A126,'New Master-List'!$O$3:$O$9995)</f>
        <v>0</v>
      </c>
      <c r="D126" s="181">
        <f>+SUMIF('New Master-List'!$AH$3:$AH$9995,'By Industries (NBC)'!A126,'New Master-List'!$V$3:$V$9995)</f>
        <v>0</v>
      </c>
      <c r="E126" s="181">
        <f>+SUMIF('New Master-List'!$AH$199:$AH$9995,'By Industries (NBC)'!A126,'New Master-List'!$X$199:$X$9995)</f>
        <v>0</v>
      </c>
      <c r="G126" s="344">
        <f t="shared" si="8"/>
        <v>0</v>
      </c>
      <c r="H126" s="344">
        <f t="shared" si="9"/>
        <v>0</v>
      </c>
      <c r="I126" s="344">
        <f t="shared" si="6"/>
        <v>0</v>
      </c>
      <c r="J126" s="344">
        <f t="shared" si="7"/>
        <v>0</v>
      </c>
    </row>
    <row r="127" spans="1:14" ht="15.75">
      <c r="A127" s="186" t="s">
        <v>261</v>
      </c>
      <c r="B127" s="181">
        <f>+SUMIF('New Master-List'!$AH$3:$AH$9995,'By Industries (NBC)'!A127,'New Master-List'!$L$3:$L$9995)</f>
        <v>0</v>
      </c>
      <c r="C127" s="1555">
        <f>+SUMIF('New Master-List'!$AH$3:$AH$9995,'By Industries (NBC)'!A127,'New Master-List'!$M$3:$M$9995)+SUMIF('New Master-List'!$AH$3:$AH$9995,'By Industries (NBC)'!A127,'New Master-List'!$N$3:$N$9995)++SUMIF('New Master-List'!$AH$3:$AH$9995,'By Industries (NBC)'!A127,'New Master-List'!$O$3:$O$9995)</f>
        <v>0</v>
      </c>
      <c r="D127" s="181">
        <f>+SUMIF('New Master-List'!$AH$3:$AH$9995,'By Industries (NBC)'!A127,'New Master-List'!$V$3:$V$9995)</f>
        <v>0</v>
      </c>
      <c r="E127" s="181">
        <f>+SUMIF('New Master-List'!$AH$199:$AH$9995,'By Industries (NBC)'!A127,'New Master-List'!$X$199:$X$9995)</f>
        <v>0</v>
      </c>
      <c r="G127" s="344">
        <f t="shared" si="8"/>
        <v>0</v>
      </c>
      <c r="H127" s="344">
        <f t="shared" si="9"/>
        <v>0</v>
      </c>
      <c r="I127" s="344">
        <f t="shared" si="6"/>
        <v>0</v>
      </c>
      <c r="J127" s="344">
        <f t="shared" si="7"/>
        <v>0</v>
      </c>
    </row>
    <row r="128" spans="1:14" ht="15.75">
      <c r="A128" s="186" t="s">
        <v>262</v>
      </c>
      <c r="B128" s="181">
        <f>+SUMIF('New Master-List'!$AH$3:$AH$9995,'By Industries (NBC)'!A128,'New Master-List'!$L$3:$L$9995)</f>
        <v>0</v>
      </c>
      <c r="C128" s="1555">
        <f>+SUMIF('New Master-List'!$AH$3:$AH$9995,'By Industries (NBC)'!A128,'New Master-List'!$M$3:$M$9995)+SUMIF('New Master-List'!$AH$3:$AH$9995,'By Industries (NBC)'!A128,'New Master-List'!$N$3:$N$9995)++SUMIF('New Master-List'!$AH$3:$AH$9995,'By Industries (NBC)'!A128,'New Master-List'!$O$3:$O$9995)</f>
        <v>0</v>
      </c>
      <c r="D128" s="181">
        <f>+SUMIF('New Master-List'!$AH$3:$AH$9995,'By Industries (NBC)'!A128,'New Master-List'!$V$3:$V$9995)</f>
        <v>0</v>
      </c>
      <c r="E128" s="181">
        <f>+SUMIF('New Master-List'!$AH$199:$AH$9995,'By Industries (NBC)'!A128,'New Master-List'!$X$199:$X$9995)</f>
        <v>0</v>
      </c>
      <c r="G128" s="344">
        <f t="shared" si="8"/>
        <v>0</v>
      </c>
      <c r="H128" s="344">
        <f t="shared" si="9"/>
        <v>0</v>
      </c>
      <c r="I128" s="344">
        <f t="shared" si="6"/>
        <v>0</v>
      </c>
      <c r="J128" s="344">
        <f t="shared" si="7"/>
        <v>0</v>
      </c>
    </row>
    <row r="129" spans="1:14" ht="15.75">
      <c r="A129" s="188" t="s">
        <v>130</v>
      </c>
      <c r="B129" s="181">
        <f>+SUMIF('New Master-List'!$AH$3:$AH$9995,'By Industries (NBC)'!A129,'New Master-List'!$L$3:$L$9995)</f>
        <v>0</v>
      </c>
      <c r="C129" s="1555">
        <f>+SUMIF('New Master-List'!$AH$3:$AH$9995,'By Industries (NBC)'!A129,'New Master-List'!$M$3:$M$9995)+SUMIF('New Master-List'!$AH$3:$AH$9995,'By Industries (NBC)'!A129,'New Master-List'!$N$3:$N$9995)++SUMIF('New Master-List'!$AH$3:$AH$9995,'By Industries (NBC)'!A129,'New Master-List'!$O$3:$O$9995)</f>
        <v>0</v>
      </c>
      <c r="D129" s="181">
        <f>+SUMIF('New Master-List'!$AH$3:$AH$9995,'By Industries (NBC)'!A129,'New Master-List'!$V$3:$V$9995)</f>
        <v>0</v>
      </c>
      <c r="E129" s="181">
        <f>+SUMIF('New Master-List'!$AH$199:$AH$9995,'By Industries (NBC)'!A129,'New Master-List'!$X$199:$X$9995)</f>
        <v>0</v>
      </c>
      <c r="G129" s="344">
        <f t="shared" si="8"/>
        <v>0</v>
      </c>
      <c r="H129" s="344">
        <f t="shared" si="9"/>
        <v>0</v>
      </c>
      <c r="I129" s="344">
        <f t="shared" si="6"/>
        <v>0</v>
      </c>
      <c r="J129" s="344">
        <f t="shared" si="7"/>
        <v>0</v>
      </c>
      <c r="K129" s="174"/>
      <c r="L129" s="174"/>
      <c r="M129" s="174"/>
      <c r="N129" s="174"/>
    </row>
    <row r="130" spans="1:14" ht="15.75">
      <c r="A130" s="186" t="s">
        <v>263</v>
      </c>
      <c r="B130" s="181">
        <f>+SUMIF('New Master-List'!$AH$3:$AH$9995,'By Industries (NBC)'!A130,'New Master-List'!$L$3:$L$9995)</f>
        <v>0</v>
      </c>
      <c r="C130" s="1555">
        <f>+SUMIF('New Master-List'!$AH$3:$AH$9995,'By Industries (NBC)'!A130,'New Master-List'!$M$3:$M$9995)+SUMIF('New Master-List'!$AH$3:$AH$9995,'By Industries (NBC)'!A130,'New Master-List'!$N$3:$N$9995)++SUMIF('New Master-List'!$AH$3:$AH$9995,'By Industries (NBC)'!A130,'New Master-List'!$O$3:$O$9995)</f>
        <v>0</v>
      </c>
      <c r="D130" s="181">
        <f>+SUMIF('New Master-List'!$AH$3:$AH$9995,'By Industries (NBC)'!A130,'New Master-List'!$V$3:$V$9995)</f>
        <v>0</v>
      </c>
      <c r="E130" s="181">
        <f>+SUMIF('New Master-List'!$AH$199:$AH$9995,'By Industries (NBC)'!A130,'New Master-List'!$X$199:$X$9995)</f>
        <v>0</v>
      </c>
      <c r="G130" s="344">
        <f t="shared" si="8"/>
        <v>0</v>
      </c>
      <c r="H130" s="344">
        <f t="shared" si="9"/>
        <v>0</v>
      </c>
      <c r="I130" s="344">
        <f t="shared" si="6"/>
        <v>0</v>
      </c>
      <c r="J130" s="344">
        <f t="shared" si="7"/>
        <v>0</v>
      </c>
    </row>
    <row r="131" spans="1:14" ht="15.75">
      <c r="A131" s="186" t="s">
        <v>264</v>
      </c>
      <c r="B131" s="181">
        <f>+SUMIF('New Master-List'!$AH$3:$AH$9995,'By Industries (NBC)'!A131,'New Master-List'!$L$3:$L$9995)</f>
        <v>0</v>
      </c>
      <c r="C131" s="1555">
        <f>+SUMIF('New Master-List'!$AH$3:$AH$9995,'By Industries (NBC)'!A131,'New Master-List'!$M$3:$M$9995)+SUMIF('New Master-List'!$AH$3:$AH$9995,'By Industries (NBC)'!A131,'New Master-List'!$N$3:$N$9995)++SUMIF('New Master-List'!$AH$3:$AH$9995,'By Industries (NBC)'!A131,'New Master-List'!$O$3:$O$9995)</f>
        <v>0</v>
      </c>
      <c r="D131" s="181">
        <f>+SUMIF('New Master-List'!$AH$3:$AH$9995,'By Industries (NBC)'!A131,'New Master-List'!$V$3:$V$9995)</f>
        <v>0</v>
      </c>
      <c r="E131" s="181">
        <f>+SUMIF('New Master-List'!$AH$199:$AH$9995,'By Industries (NBC)'!A131,'New Master-List'!$X$199:$X$9995)</f>
        <v>0</v>
      </c>
      <c r="G131" s="344">
        <f t="shared" si="8"/>
        <v>0</v>
      </c>
      <c r="H131" s="344">
        <f t="shared" si="9"/>
        <v>0</v>
      </c>
      <c r="I131" s="344">
        <f t="shared" si="6"/>
        <v>0</v>
      </c>
      <c r="J131" s="344">
        <f t="shared" si="7"/>
        <v>0</v>
      </c>
    </row>
    <row r="132" spans="1:14" ht="15.75">
      <c r="A132" s="186" t="s">
        <v>265</v>
      </c>
      <c r="B132" s="181">
        <f>+SUMIF('New Master-List'!$AH$3:$AH$9995,'By Industries (NBC)'!A132,'New Master-List'!$L$3:$L$9995)</f>
        <v>0</v>
      </c>
      <c r="C132" s="1555">
        <f>+SUMIF('New Master-List'!$AH$3:$AH$9995,'By Industries (NBC)'!A132,'New Master-List'!$M$3:$M$9995)+SUMIF('New Master-List'!$AH$3:$AH$9995,'By Industries (NBC)'!A132,'New Master-List'!$N$3:$N$9995)++SUMIF('New Master-List'!$AH$3:$AH$9995,'By Industries (NBC)'!A132,'New Master-List'!$O$3:$O$9995)</f>
        <v>0</v>
      </c>
      <c r="D132" s="181">
        <f>+SUMIF('New Master-List'!$AH$3:$AH$9995,'By Industries (NBC)'!A132,'New Master-List'!$V$3:$V$9995)</f>
        <v>0</v>
      </c>
      <c r="E132" s="181">
        <f>+SUMIF('New Master-List'!$AH$199:$AH$9995,'By Industries (NBC)'!A132,'New Master-List'!$X$199:$X$9995)</f>
        <v>0</v>
      </c>
      <c r="G132" s="344">
        <f t="shared" si="8"/>
        <v>0</v>
      </c>
      <c r="H132" s="344">
        <f t="shared" si="9"/>
        <v>0</v>
      </c>
      <c r="I132" s="344">
        <f t="shared" si="6"/>
        <v>0</v>
      </c>
      <c r="J132" s="344">
        <f t="shared" si="7"/>
        <v>0</v>
      </c>
    </row>
    <row r="133" spans="1:14" ht="15.75">
      <c r="A133" s="186" t="s">
        <v>266</v>
      </c>
      <c r="B133" s="181">
        <f>+SUMIF('New Master-List'!$AH$3:$AH$9995,'By Industries (NBC)'!A133,'New Master-List'!$L$3:$L$9995)</f>
        <v>0</v>
      </c>
      <c r="C133" s="1555">
        <f>+SUMIF('New Master-List'!$AH$3:$AH$9995,'By Industries (NBC)'!A133,'New Master-List'!$M$3:$M$9995)+SUMIF('New Master-List'!$AH$3:$AH$9995,'By Industries (NBC)'!A133,'New Master-List'!$N$3:$N$9995)++SUMIF('New Master-List'!$AH$3:$AH$9995,'By Industries (NBC)'!A133,'New Master-List'!$O$3:$O$9995)</f>
        <v>0</v>
      </c>
      <c r="D133" s="181">
        <f>+SUMIF('New Master-List'!$AH$3:$AH$9995,'By Industries (NBC)'!A133,'New Master-List'!$V$3:$V$9995)</f>
        <v>0</v>
      </c>
      <c r="E133" s="181">
        <f>+SUMIF('New Master-List'!$AH$199:$AH$9995,'By Industries (NBC)'!A133,'New Master-List'!$X$199:$X$9995)</f>
        <v>0</v>
      </c>
      <c r="G133" s="344">
        <f t="shared" si="8"/>
        <v>0</v>
      </c>
      <c r="H133" s="344">
        <f t="shared" si="9"/>
        <v>0</v>
      </c>
      <c r="I133" s="344">
        <f t="shared" ref="I133:I196" si="10">ROUND((D133*$J$1)/1000000,2)</f>
        <v>0</v>
      </c>
      <c r="J133" s="344">
        <f t="shared" ref="J133:J196" si="11">ROUND((E133*$J$1)/1000000,2)</f>
        <v>0</v>
      </c>
    </row>
    <row r="134" spans="1:14" ht="15.75">
      <c r="A134" s="188" t="s">
        <v>131</v>
      </c>
      <c r="B134" s="181">
        <f>+SUMIF('New Master-List'!$AH$3:$AH$9995,'By Industries (NBC)'!A134,'New Master-List'!$L$3:$L$9995)</f>
        <v>0</v>
      </c>
      <c r="C134" s="1555">
        <f>+SUMIF('New Master-List'!$AH$3:$AH$9995,'By Industries (NBC)'!A134,'New Master-List'!$M$3:$M$9995)+SUMIF('New Master-List'!$AH$3:$AH$9995,'By Industries (NBC)'!A134,'New Master-List'!$N$3:$N$9995)++SUMIF('New Master-List'!$AH$3:$AH$9995,'By Industries (NBC)'!A134,'New Master-List'!$O$3:$O$9995)</f>
        <v>0</v>
      </c>
      <c r="D134" s="181">
        <f>+SUMIF('New Master-List'!$AH$3:$AH$9995,'By Industries (NBC)'!A134,'New Master-List'!$V$3:$V$9995)</f>
        <v>0</v>
      </c>
      <c r="E134" s="181">
        <f>+SUMIF('New Master-List'!$AH$199:$AH$9995,'By Industries (NBC)'!A134,'New Master-List'!$X$199:$X$9995)</f>
        <v>0</v>
      </c>
      <c r="G134" s="344">
        <f t="shared" si="8"/>
        <v>0</v>
      </c>
      <c r="H134" s="344">
        <f t="shared" si="9"/>
        <v>0</v>
      </c>
      <c r="I134" s="344">
        <f t="shared" si="10"/>
        <v>0</v>
      </c>
      <c r="J134" s="344">
        <f t="shared" si="11"/>
        <v>0</v>
      </c>
      <c r="K134" s="174"/>
      <c r="L134" s="174"/>
      <c r="M134" s="174"/>
      <c r="N134" s="174"/>
    </row>
    <row r="135" spans="1:14" ht="15.75">
      <c r="A135" s="186" t="s">
        <v>267</v>
      </c>
      <c r="B135" s="181">
        <f>+SUMIF('New Master-List'!$AH$3:$AH$9995,'By Industries (NBC)'!A135,'New Master-List'!$L$3:$L$9995)</f>
        <v>0</v>
      </c>
      <c r="C135" s="1555">
        <f>+SUMIF('New Master-List'!$AH$3:$AH$9995,'By Industries (NBC)'!A135,'New Master-List'!$M$3:$M$9995)+SUMIF('New Master-List'!$AH$3:$AH$9995,'By Industries (NBC)'!A135,'New Master-List'!$N$3:$N$9995)++SUMIF('New Master-List'!$AH$3:$AH$9995,'By Industries (NBC)'!A135,'New Master-List'!$O$3:$O$9995)</f>
        <v>0</v>
      </c>
      <c r="D135" s="181">
        <f>+SUMIF('New Master-List'!$AH$3:$AH$9995,'By Industries (NBC)'!A135,'New Master-List'!$V$3:$V$9995)</f>
        <v>0</v>
      </c>
      <c r="E135" s="181">
        <f>+SUMIF('New Master-List'!$AH$199:$AH$9995,'By Industries (NBC)'!A135,'New Master-List'!$X$199:$X$9995)</f>
        <v>0</v>
      </c>
      <c r="G135" s="344">
        <f t="shared" si="8"/>
        <v>0</v>
      </c>
      <c r="H135" s="344">
        <f t="shared" si="9"/>
        <v>0</v>
      </c>
      <c r="I135" s="344">
        <f t="shared" si="10"/>
        <v>0</v>
      </c>
      <c r="J135" s="344">
        <f t="shared" si="11"/>
        <v>0</v>
      </c>
    </row>
    <row r="136" spans="1:14" ht="15.75">
      <c r="A136" s="186" t="s">
        <v>268</v>
      </c>
      <c r="B136" s="181">
        <f>+SUMIF('New Master-List'!$AH$3:$AH$9995,'By Industries (NBC)'!A136,'New Master-List'!$L$3:$L$9995)</f>
        <v>0</v>
      </c>
      <c r="C136" s="1555">
        <f>+SUMIF('New Master-List'!$AH$3:$AH$9995,'By Industries (NBC)'!A136,'New Master-List'!$M$3:$M$9995)+SUMIF('New Master-List'!$AH$3:$AH$9995,'By Industries (NBC)'!A136,'New Master-List'!$N$3:$N$9995)++SUMIF('New Master-List'!$AH$3:$AH$9995,'By Industries (NBC)'!A136,'New Master-List'!$O$3:$O$9995)</f>
        <v>0</v>
      </c>
      <c r="D136" s="181">
        <f>+SUMIF('New Master-List'!$AH$3:$AH$9995,'By Industries (NBC)'!A136,'New Master-List'!$V$3:$V$9995)</f>
        <v>0</v>
      </c>
      <c r="E136" s="181">
        <f>+SUMIF('New Master-List'!$AH$199:$AH$9995,'By Industries (NBC)'!A136,'New Master-List'!$X$199:$X$9995)</f>
        <v>0</v>
      </c>
      <c r="G136" s="344">
        <f t="shared" si="8"/>
        <v>0</v>
      </c>
      <c r="H136" s="344">
        <f t="shared" si="9"/>
        <v>0</v>
      </c>
      <c r="I136" s="344">
        <f t="shared" si="10"/>
        <v>0</v>
      </c>
      <c r="J136" s="344">
        <f t="shared" si="11"/>
        <v>0</v>
      </c>
    </row>
    <row r="137" spans="1:14" ht="15.75">
      <c r="A137" s="186" t="s">
        <v>269</v>
      </c>
      <c r="B137" s="181">
        <f>+SUMIF('New Master-List'!$AH$3:$AH$9995,'By Industries (NBC)'!A137,'New Master-List'!$L$3:$L$9995)</f>
        <v>0</v>
      </c>
      <c r="C137" s="1555">
        <f>+SUMIF('New Master-List'!$AH$3:$AH$9995,'By Industries (NBC)'!A137,'New Master-List'!$M$3:$M$9995)+SUMIF('New Master-List'!$AH$3:$AH$9995,'By Industries (NBC)'!A137,'New Master-List'!$N$3:$N$9995)++SUMIF('New Master-List'!$AH$3:$AH$9995,'By Industries (NBC)'!A137,'New Master-List'!$O$3:$O$9995)</f>
        <v>0</v>
      </c>
      <c r="D137" s="181">
        <f>+SUMIF('New Master-List'!$AH$3:$AH$9995,'By Industries (NBC)'!A137,'New Master-List'!$V$3:$V$9995)</f>
        <v>0</v>
      </c>
      <c r="E137" s="181">
        <f>+SUMIF('New Master-List'!$AH$199:$AH$9995,'By Industries (NBC)'!A137,'New Master-List'!$X$199:$X$9995)</f>
        <v>0</v>
      </c>
      <c r="G137" s="344">
        <f t="shared" si="8"/>
        <v>0</v>
      </c>
      <c r="H137" s="344">
        <f t="shared" si="9"/>
        <v>0</v>
      </c>
      <c r="I137" s="344">
        <f t="shared" si="10"/>
        <v>0</v>
      </c>
      <c r="J137" s="344">
        <f t="shared" si="11"/>
        <v>0</v>
      </c>
    </row>
    <row r="138" spans="1:14" ht="15.75">
      <c r="A138" s="186" t="s">
        <v>270</v>
      </c>
      <c r="B138" s="181">
        <f>+SUMIF('New Master-List'!$AH$3:$AH$9995,'By Industries (NBC)'!A138,'New Master-List'!$L$3:$L$9995)</f>
        <v>150000</v>
      </c>
      <c r="C138" s="1555">
        <f>+SUMIF('New Master-List'!$AH$3:$AH$9995,'By Industries (NBC)'!A138,'New Master-List'!$M$3:$M$9995)+SUMIF('New Master-List'!$AH$3:$AH$9995,'By Industries (NBC)'!A138,'New Master-List'!$N$3:$N$9995)++SUMIF('New Master-List'!$AH$3:$AH$9995,'By Industries (NBC)'!A138,'New Master-List'!$O$3:$O$9995)</f>
        <v>61015.88</v>
      </c>
      <c r="D138" s="181">
        <f>+SUMIF('New Master-List'!$AH$3:$AH$9995,'By Industries (NBC)'!A138,'New Master-List'!$V$3:$V$9995)</f>
        <v>47.2</v>
      </c>
      <c r="E138" s="181">
        <f>+SUMIF('New Master-List'!$AH$199:$AH$9995,'By Industries (NBC)'!A138,'New Master-List'!$X$199:$X$9995)</f>
        <v>0</v>
      </c>
      <c r="G138" s="344">
        <f t="shared" si="8"/>
        <v>610.35</v>
      </c>
      <c r="H138" s="344">
        <f t="shared" si="9"/>
        <v>248.27</v>
      </c>
      <c r="I138" s="344">
        <f t="shared" si="10"/>
        <v>0.19</v>
      </c>
      <c r="J138" s="344">
        <f t="shared" si="11"/>
        <v>0</v>
      </c>
    </row>
    <row r="139" spans="1:14" ht="15.75">
      <c r="A139" s="188" t="s">
        <v>132</v>
      </c>
      <c r="B139" s="181">
        <f>+SUMIF('New Master-List'!$AH$3:$AH$9995,'By Industries (NBC)'!A139,'New Master-List'!$L$3:$L$9995)</f>
        <v>0</v>
      </c>
      <c r="C139" s="1555">
        <f>+SUMIF('New Master-List'!$AH$3:$AH$9995,'By Industries (NBC)'!A139,'New Master-List'!$M$3:$M$9995)+SUMIF('New Master-List'!$AH$3:$AH$9995,'By Industries (NBC)'!A139,'New Master-List'!$N$3:$N$9995)++SUMIF('New Master-List'!$AH$3:$AH$9995,'By Industries (NBC)'!A139,'New Master-List'!$O$3:$O$9995)</f>
        <v>0</v>
      </c>
      <c r="D139" s="181">
        <f>+SUMIF('New Master-List'!$AH$3:$AH$9995,'By Industries (NBC)'!A139,'New Master-List'!$V$3:$V$9995)</f>
        <v>0</v>
      </c>
      <c r="E139" s="181">
        <f>+SUMIF('New Master-List'!$AH$199:$AH$9995,'By Industries (NBC)'!A139,'New Master-List'!$X$199:$X$9995)</f>
        <v>0</v>
      </c>
      <c r="G139" s="344">
        <f t="shared" si="8"/>
        <v>0</v>
      </c>
      <c r="H139" s="344">
        <f t="shared" si="9"/>
        <v>0</v>
      </c>
      <c r="I139" s="344">
        <f t="shared" si="10"/>
        <v>0</v>
      </c>
      <c r="J139" s="344">
        <f t="shared" si="11"/>
        <v>0</v>
      </c>
      <c r="K139" s="174"/>
      <c r="L139" s="174"/>
      <c r="M139" s="174"/>
      <c r="N139" s="174"/>
    </row>
    <row r="140" spans="1:14" ht="15.75">
      <c r="A140" s="186" t="s">
        <v>271</v>
      </c>
      <c r="B140" s="181">
        <f>+SUMIF('New Master-List'!$AH$3:$AH$9995,'By Industries (NBC)'!A140,'New Master-List'!$L$3:$L$9995)</f>
        <v>0</v>
      </c>
      <c r="C140" s="1555">
        <f>+SUMIF('New Master-List'!$AH$3:$AH$9995,'By Industries (NBC)'!A140,'New Master-List'!$M$3:$M$9995)+SUMIF('New Master-List'!$AH$3:$AH$9995,'By Industries (NBC)'!A140,'New Master-List'!$N$3:$N$9995)++SUMIF('New Master-List'!$AH$3:$AH$9995,'By Industries (NBC)'!A140,'New Master-List'!$O$3:$O$9995)</f>
        <v>0</v>
      </c>
      <c r="D140" s="181">
        <f>+SUMIF('New Master-List'!$AH$3:$AH$9995,'By Industries (NBC)'!A140,'New Master-List'!$V$3:$V$9995)</f>
        <v>0</v>
      </c>
      <c r="E140" s="181">
        <f>+SUMIF('New Master-List'!$AH$199:$AH$9995,'By Industries (NBC)'!A140,'New Master-List'!$X$199:$X$9995)</f>
        <v>0</v>
      </c>
      <c r="G140" s="344">
        <f t="shared" si="8"/>
        <v>0</v>
      </c>
      <c r="H140" s="344">
        <f t="shared" si="9"/>
        <v>0</v>
      </c>
      <c r="I140" s="344">
        <f t="shared" si="10"/>
        <v>0</v>
      </c>
      <c r="J140" s="344">
        <f t="shared" si="11"/>
        <v>0</v>
      </c>
    </row>
    <row r="141" spans="1:14" ht="15.75">
      <c r="A141" s="186" t="s">
        <v>272</v>
      </c>
      <c r="B141" s="181">
        <f>+SUMIF('New Master-List'!$AH$3:$AH$9995,'By Industries (NBC)'!A141,'New Master-List'!$L$3:$L$9995)</f>
        <v>0</v>
      </c>
      <c r="C141" s="1555">
        <f>+SUMIF('New Master-List'!$AH$3:$AH$9995,'By Industries (NBC)'!A141,'New Master-List'!$M$3:$M$9995)+SUMIF('New Master-List'!$AH$3:$AH$9995,'By Industries (NBC)'!A141,'New Master-List'!$N$3:$N$9995)++SUMIF('New Master-List'!$AH$3:$AH$9995,'By Industries (NBC)'!A141,'New Master-List'!$O$3:$O$9995)</f>
        <v>0</v>
      </c>
      <c r="D141" s="181">
        <f>+SUMIF('New Master-List'!$AH$3:$AH$9995,'By Industries (NBC)'!A141,'New Master-List'!$V$3:$V$9995)</f>
        <v>0</v>
      </c>
      <c r="E141" s="181">
        <f>+SUMIF('New Master-List'!$AH$199:$AH$9995,'By Industries (NBC)'!A141,'New Master-List'!$X$199:$X$9995)</f>
        <v>0</v>
      </c>
      <c r="G141" s="344">
        <f t="shared" si="8"/>
        <v>0</v>
      </c>
      <c r="H141" s="344">
        <f t="shared" si="9"/>
        <v>0</v>
      </c>
      <c r="I141" s="344">
        <f t="shared" si="10"/>
        <v>0</v>
      </c>
      <c r="J141" s="344">
        <f t="shared" si="11"/>
        <v>0</v>
      </c>
    </row>
    <row r="142" spans="1:14" ht="15.75">
      <c r="A142" s="186" t="s">
        <v>273</v>
      </c>
      <c r="B142" s="181">
        <f>+SUMIF('New Master-List'!$AH$3:$AH$9995,'By Industries (NBC)'!A142,'New Master-List'!$L$3:$L$9995)</f>
        <v>0</v>
      </c>
      <c r="C142" s="1555">
        <f>+SUMIF('New Master-List'!$AH$3:$AH$9995,'By Industries (NBC)'!A142,'New Master-List'!$M$3:$M$9995)+SUMIF('New Master-List'!$AH$3:$AH$9995,'By Industries (NBC)'!A142,'New Master-List'!$N$3:$N$9995)++SUMIF('New Master-List'!$AH$3:$AH$9995,'By Industries (NBC)'!A142,'New Master-List'!$O$3:$O$9995)</f>
        <v>0</v>
      </c>
      <c r="D142" s="181">
        <f>+SUMIF('New Master-List'!$AH$3:$AH$9995,'By Industries (NBC)'!A142,'New Master-List'!$V$3:$V$9995)</f>
        <v>0</v>
      </c>
      <c r="E142" s="181">
        <f>+SUMIF('New Master-List'!$AH$199:$AH$9995,'By Industries (NBC)'!A142,'New Master-List'!$X$199:$X$9995)</f>
        <v>0</v>
      </c>
      <c r="G142" s="344">
        <f t="shared" si="8"/>
        <v>0</v>
      </c>
      <c r="H142" s="344">
        <f t="shared" si="9"/>
        <v>0</v>
      </c>
      <c r="I142" s="344">
        <f t="shared" si="10"/>
        <v>0</v>
      </c>
      <c r="J142" s="344">
        <f t="shared" si="11"/>
        <v>0</v>
      </c>
    </row>
    <row r="143" spans="1:14" ht="15.75">
      <c r="A143" s="186" t="s">
        <v>274</v>
      </c>
      <c r="B143" s="181">
        <f>+SUMIF('New Master-List'!$AH$3:$AH$9995,'By Industries (NBC)'!A143,'New Master-List'!$L$3:$L$9995)</f>
        <v>0</v>
      </c>
      <c r="C143" s="1555">
        <f>+SUMIF('New Master-List'!$AH$3:$AH$9995,'By Industries (NBC)'!A143,'New Master-List'!$M$3:$M$9995)+SUMIF('New Master-List'!$AH$3:$AH$9995,'By Industries (NBC)'!A143,'New Master-List'!$N$3:$N$9995)++SUMIF('New Master-List'!$AH$3:$AH$9995,'By Industries (NBC)'!A143,'New Master-List'!$O$3:$O$9995)</f>
        <v>0</v>
      </c>
      <c r="D143" s="181">
        <f>+SUMIF('New Master-List'!$AH$3:$AH$9995,'By Industries (NBC)'!A143,'New Master-List'!$V$3:$V$9995)</f>
        <v>0</v>
      </c>
      <c r="E143" s="181">
        <f>+SUMIF('New Master-List'!$AH$199:$AH$9995,'By Industries (NBC)'!A143,'New Master-List'!$X$199:$X$9995)</f>
        <v>0</v>
      </c>
      <c r="G143" s="344">
        <f t="shared" si="8"/>
        <v>0</v>
      </c>
      <c r="H143" s="344">
        <f t="shared" si="9"/>
        <v>0</v>
      </c>
      <c r="I143" s="344">
        <f t="shared" si="10"/>
        <v>0</v>
      </c>
      <c r="J143" s="344">
        <f t="shared" si="11"/>
        <v>0</v>
      </c>
    </row>
    <row r="144" spans="1:14" ht="15.75">
      <c r="A144" s="188" t="s">
        <v>133</v>
      </c>
      <c r="B144" s="181">
        <f>+SUMIF('New Master-List'!$AH$3:$AH$9995,'By Industries (NBC)'!A144,'New Master-List'!$L$3:$L$9995)</f>
        <v>0</v>
      </c>
      <c r="C144" s="1555">
        <f>+SUMIF('New Master-List'!$AH$3:$AH$9995,'By Industries (NBC)'!A144,'New Master-List'!$M$3:$M$9995)+SUMIF('New Master-List'!$AH$3:$AH$9995,'By Industries (NBC)'!A144,'New Master-List'!$N$3:$N$9995)++SUMIF('New Master-List'!$AH$3:$AH$9995,'By Industries (NBC)'!A144,'New Master-List'!$O$3:$O$9995)</f>
        <v>0</v>
      </c>
      <c r="D144" s="181">
        <f>+SUMIF('New Master-List'!$AH$3:$AH$9995,'By Industries (NBC)'!A144,'New Master-List'!$V$3:$V$9995)</f>
        <v>0</v>
      </c>
      <c r="E144" s="181">
        <f>+SUMIF('New Master-List'!$AH$199:$AH$9995,'By Industries (NBC)'!A144,'New Master-List'!$X$199:$X$9995)</f>
        <v>0</v>
      </c>
      <c r="G144" s="344">
        <f t="shared" si="8"/>
        <v>0</v>
      </c>
      <c r="H144" s="344">
        <f t="shared" si="9"/>
        <v>0</v>
      </c>
      <c r="I144" s="344">
        <f t="shared" si="10"/>
        <v>0</v>
      </c>
      <c r="J144" s="344">
        <f t="shared" si="11"/>
        <v>0</v>
      </c>
      <c r="K144" s="174"/>
      <c r="L144" s="174"/>
      <c r="M144" s="174"/>
      <c r="N144" s="174"/>
    </row>
    <row r="145" spans="1:14" ht="15.75">
      <c r="A145" s="186" t="s">
        <v>275</v>
      </c>
      <c r="B145" s="181">
        <f>+SUMIF('New Master-List'!$AH$3:$AH$9995,'By Industries (NBC)'!A145,'New Master-List'!$L$3:$L$9995)</f>
        <v>0</v>
      </c>
      <c r="C145" s="1555">
        <f>+SUMIF('New Master-List'!$AH$3:$AH$9995,'By Industries (NBC)'!A145,'New Master-List'!$M$3:$M$9995)+SUMIF('New Master-List'!$AH$3:$AH$9995,'By Industries (NBC)'!A145,'New Master-List'!$N$3:$N$9995)++SUMIF('New Master-List'!$AH$3:$AH$9995,'By Industries (NBC)'!A145,'New Master-List'!$O$3:$O$9995)</f>
        <v>0</v>
      </c>
      <c r="D145" s="181">
        <f>+SUMIF('New Master-List'!$AH$3:$AH$9995,'By Industries (NBC)'!A145,'New Master-List'!$V$3:$V$9995)</f>
        <v>0</v>
      </c>
      <c r="E145" s="181">
        <f>+SUMIF('New Master-List'!$AH$199:$AH$9995,'By Industries (NBC)'!A145,'New Master-List'!$X$199:$X$9995)</f>
        <v>0</v>
      </c>
      <c r="G145" s="344">
        <f t="shared" si="8"/>
        <v>0</v>
      </c>
      <c r="H145" s="344">
        <f t="shared" si="9"/>
        <v>0</v>
      </c>
      <c r="I145" s="344">
        <f t="shared" si="10"/>
        <v>0</v>
      </c>
      <c r="J145" s="344">
        <f t="shared" si="11"/>
        <v>0</v>
      </c>
    </row>
    <row r="146" spans="1:14" ht="15.75">
      <c r="A146" s="186" t="s">
        <v>276</v>
      </c>
      <c r="B146" s="181">
        <f>+SUMIF('New Master-List'!$AH$3:$AH$9995,'By Industries (NBC)'!A146,'New Master-List'!$L$3:$L$9995)</f>
        <v>0</v>
      </c>
      <c r="C146" s="1555">
        <f>+SUMIF('New Master-List'!$AH$3:$AH$9995,'By Industries (NBC)'!A146,'New Master-List'!$M$3:$M$9995)+SUMIF('New Master-List'!$AH$3:$AH$9995,'By Industries (NBC)'!A146,'New Master-List'!$N$3:$N$9995)++SUMIF('New Master-List'!$AH$3:$AH$9995,'By Industries (NBC)'!A146,'New Master-List'!$O$3:$O$9995)</f>
        <v>0</v>
      </c>
      <c r="D146" s="181">
        <f>+SUMIF('New Master-List'!$AH$3:$AH$9995,'By Industries (NBC)'!A146,'New Master-List'!$V$3:$V$9995)</f>
        <v>0</v>
      </c>
      <c r="E146" s="181">
        <f>+SUMIF('New Master-List'!$AH$199:$AH$9995,'By Industries (NBC)'!A146,'New Master-List'!$X$199:$X$9995)</f>
        <v>0</v>
      </c>
      <c r="G146" s="344">
        <f t="shared" si="8"/>
        <v>0</v>
      </c>
      <c r="H146" s="344">
        <f t="shared" si="9"/>
        <v>0</v>
      </c>
      <c r="I146" s="344">
        <f t="shared" si="10"/>
        <v>0</v>
      </c>
      <c r="J146" s="344">
        <f t="shared" si="11"/>
        <v>0</v>
      </c>
    </row>
    <row r="147" spans="1:14" ht="15.75">
      <c r="A147" s="186" t="s">
        <v>277</v>
      </c>
      <c r="B147" s="181">
        <f>+SUMIF('New Master-List'!$AH$3:$AH$9995,'By Industries (NBC)'!A147,'New Master-List'!$L$3:$L$9995)</f>
        <v>0</v>
      </c>
      <c r="C147" s="1555">
        <f>+SUMIF('New Master-List'!$AH$3:$AH$9995,'By Industries (NBC)'!A147,'New Master-List'!$M$3:$M$9995)+SUMIF('New Master-List'!$AH$3:$AH$9995,'By Industries (NBC)'!A147,'New Master-List'!$N$3:$N$9995)++SUMIF('New Master-List'!$AH$3:$AH$9995,'By Industries (NBC)'!A147,'New Master-List'!$O$3:$O$9995)</f>
        <v>0</v>
      </c>
      <c r="D147" s="181">
        <f>+SUMIF('New Master-List'!$AH$3:$AH$9995,'By Industries (NBC)'!A147,'New Master-List'!$V$3:$V$9995)</f>
        <v>0</v>
      </c>
      <c r="E147" s="181">
        <f>+SUMIF('New Master-List'!$AH$199:$AH$9995,'By Industries (NBC)'!A147,'New Master-List'!$X$199:$X$9995)</f>
        <v>0</v>
      </c>
      <c r="G147" s="344">
        <f t="shared" si="8"/>
        <v>0</v>
      </c>
      <c r="H147" s="344">
        <f t="shared" si="9"/>
        <v>0</v>
      </c>
      <c r="I147" s="344">
        <f t="shared" si="10"/>
        <v>0</v>
      </c>
      <c r="J147" s="344">
        <f t="shared" si="11"/>
        <v>0</v>
      </c>
    </row>
    <row r="148" spans="1:14" ht="15.75">
      <c r="A148" s="186" t="s">
        <v>278</v>
      </c>
      <c r="B148" s="181">
        <f>+SUMIF('New Master-List'!$AH$3:$AH$9995,'By Industries (NBC)'!A148,'New Master-List'!$L$3:$L$9995)</f>
        <v>0</v>
      </c>
      <c r="C148" s="1555">
        <f>+SUMIF('New Master-List'!$AH$3:$AH$9995,'By Industries (NBC)'!A148,'New Master-List'!$M$3:$M$9995)+SUMIF('New Master-List'!$AH$3:$AH$9995,'By Industries (NBC)'!A148,'New Master-List'!$N$3:$N$9995)++SUMIF('New Master-List'!$AH$3:$AH$9995,'By Industries (NBC)'!A148,'New Master-List'!$O$3:$O$9995)</f>
        <v>0</v>
      </c>
      <c r="D148" s="181">
        <f>+SUMIF('New Master-List'!$AH$3:$AH$9995,'By Industries (NBC)'!A148,'New Master-List'!$V$3:$V$9995)</f>
        <v>0</v>
      </c>
      <c r="E148" s="181">
        <f>+SUMIF('New Master-List'!$AH$199:$AH$9995,'By Industries (NBC)'!A148,'New Master-List'!$X$199:$X$9995)</f>
        <v>0</v>
      </c>
      <c r="G148" s="344">
        <f t="shared" si="8"/>
        <v>0</v>
      </c>
      <c r="H148" s="344">
        <f t="shared" si="9"/>
        <v>0</v>
      </c>
      <c r="I148" s="344">
        <f t="shared" si="10"/>
        <v>0</v>
      </c>
      <c r="J148" s="344">
        <f t="shared" si="11"/>
        <v>0</v>
      </c>
    </row>
    <row r="149" spans="1:14" ht="15.75">
      <c r="A149" s="197" t="s">
        <v>134</v>
      </c>
      <c r="B149" s="181">
        <f>+SUMIF('New Master-List'!$AH$3:$AH$9995,'By Industries (NBC)'!A149,'New Master-List'!$L$3:$L$9995)</f>
        <v>0</v>
      </c>
      <c r="C149" s="1555">
        <f>+SUMIF('New Master-List'!$AH$3:$AH$9995,'By Industries (NBC)'!A149,'New Master-List'!$M$3:$M$9995)+SUMIF('New Master-List'!$AH$3:$AH$9995,'By Industries (NBC)'!A149,'New Master-List'!$N$3:$N$9995)++SUMIF('New Master-List'!$AH$3:$AH$9995,'By Industries (NBC)'!A149,'New Master-List'!$O$3:$O$9995)</f>
        <v>0</v>
      </c>
      <c r="D149" s="181">
        <f>+SUMIF('New Master-List'!$AH$3:$AH$9995,'By Industries (NBC)'!A149,'New Master-List'!$V$3:$V$9995)</f>
        <v>0</v>
      </c>
      <c r="E149" s="181">
        <f>+SUMIF('New Master-List'!$AH$199:$AH$9995,'By Industries (NBC)'!A149,'New Master-List'!$X$199:$X$9995)</f>
        <v>0</v>
      </c>
      <c r="G149" s="344">
        <f t="shared" si="8"/>
        <v>0</v>
      </c>
      <c r="H149" s="344">
        <f t="shared" si="9"/>
        <v>0</v>
      </c>
      <c r="I149" s="344">
        <f t="shared" si="10"/>
        <v>0</v>
      </c>
      <c r="J149" s="344">
        <f t="shared" si="11"/>
        <v>0</v>
      </c>
      <c r="K149" s="174"/>
      <c r="L149" s="174"/>
      <c r="M149" s="174"/>
      <c r="N149" s="174"/>
    </row>
    <row r="150" spans="1:14" ht="15.75">
      <c r="A150" s="193" t="s">
        <v>279</v>
      </c>
      <c r="B150" s="181">
        <f>+SUMIF('New Master-List'!$AH$3:$AH$9995,'By Industries (NBC)'!A150,'New Master-List'!$L$3:$L$9995)</f>
        <v>0</v>
      </c>
      <c r="C150" s="1555">
        <f>+SUMIF('New Master-List'!$AH$3:$AH$9995,'By Industries (NBC)'!A150,'New Master-List'!$M$3:$M$9995)+SUMIF('New Master-List'!$AH$3:$AH$9995,'By Industries (NBC)'!A150,'New Master-List'!$N$3:$N$9995)++SUMIF('New Master-List'!$AH$3:$AH$9995,'By Industries (NBC)'!A150,'New Master-List'!$O$3:$O$9995)</f>
        <v>0</v>
      </c>
      <c r="D150" s="181">
        <f>+SUMIF('New Master-List'!$AH$3:$AH$9995,'By Industries (NBC)'!A150,'New Master-List'!$V$3:$V$9995)</f>
        <v>0</v>
      </c>
      <c r="E150" s="181">
        <f>+SUMIF('New Master-List'!$AH$199:$AH$9995,'By Industries (NBC)'!A150,'New Master-List'!$X$199:$X$9995)</f>
        <v>0</v>
      </c>
      <c r="G150" s="344">
        <f t="shared" si="8"/>
        <v>0</v>
      </c>
      <c r="H150" s="344">
        <f t="shared" si="9"/>
        <v>0</v>
      </c>
      <c r="I150" s="344">
        <f t="shared" si="10"/>
        <v>0</v>
      </c>
      <c r="J150" s="344">
        <f t="shared" si="11"/>
        <v>0</v>
      </c>
    </row>
    <row r="151" spans="1:14" ht="15.75">
      <c r="A151" s="193" t="s">
        <v>280</v>
      </c>
      <c r="B151" s="181">
        <f>+SUMIF('New Master-List'!$AH$3:$AH$9995,'By Industries (NBC)'!A151,'New Master-List'!$L$3:$L$9995)</f>
        <v>0</v>
      </c>
      <c r="C151" s="1555">
        <f>+SUMIF('New Master-List'!$AH$3:$AH$9995,'By Industries (NBC)'!A151,'New Master-List'!$M$3:$M$9995)+SUMIF('New Master-List'!$AH$3:$AH$9995,'By Industries (NBC)'!A151,'New Master-List'!$N$3:$N$9995)++SUMIF('New Master-List'!$AH$3:$AH$9995,'By Industries (NBC)'!A151,'New Master-List'!$O$3:$O$9995)</f>
        <v>0</v>
      </c>
      <c r="D151" s="181">
        <f>+SUMIF('New Master-List'!$AH$3:$AH$9995,'By Industries (NBC)'!A151,'New Master-List'!$V$3:$V$9995)</f>
        <v>0</v>
      </c>
      <c r="E151" s="181">
        <f>+SUMIF('New Master-List'!$AH$199:$AH$9995,'By Industries (NBC)'!A151,'New Master-List'!$X$199:$X$9995)</f>
        <v>0</v>
      </c>
      <c r="G151" s="344">
        <f t="shared" si="8"/>
        <v>0</v>
      </c>
      <c r="H151" s="344">
        <f t="shared" si="9"/>
        <v>0</v>
      </c>
      <c r="I151" s="344">
        <f t="shared" si="10"/>
        <v>0</v>
      </c>
      <c r="J151" s="344">
        <f t="shared" si="11"/>
        <v>0</v>
      </c>
    </row>
    <row r="152" spans="1:14" ht="15.75">
      <c r="A152" s="193" t="s">
        <v>281</v>
      </c>
      <c r="B152" s="181">
        <f>+SUMIF('New Master-List'!$AH$3:$AH$9995,'By Industries (NBC)'!A152,'New Master-List'!$L$3:$L$9995)</f>
        <v>0</v>
      </c>
      <c r="C152" s="1555">
        <f>+SUMIF('New Master-List'!$AH$3:$AH$9995,'By Industries (NBC)'!A152,'New Master-List'!$M$3:$M$9995)+SUMIF('New Master-List'!$AH$3:$AH$9995,'By Industries (NBC)'!A152,'New Master-List'!$N$3:$N$9995)++SUMIF('New Master-List'!$AH$3:$AH$9995,'By Industries (NBC)'!A152,'New Master-List'!$O$3:$O$9995)</f>
        <v>0</v>
      </c>
      <c r="D152" s="181">
        <f>+SUMIF('New Master-List'!$AH$3:$AH$9995,'By Industries (NBC)'!A152,'New Master-List'!$V$3:$V$9995)</f>
        <v>0</v>
      </c>
      <c r="E152" s="181">
        <f>+SUMIF('New Master-List'!$AH$199:$AH$9995,'By Industries (NBC)'!A152,'New Master-List'!$X$199:$X$9995)</f>
        <v>0</v>
      </c>
      <c r="G152" s="344">
        <f t="shared" si="8"/>
        <v>0</v>
      </c>
      <c r="H152" s="344">
        <f t="shared" si="9"/>
        <v>0</v>
      </c>
      <c r="I152" s="344">
        <f t="shared" si="10"/>
        <v>0</v>
      </c>
      <c r="J152" s="344">
        <f t="shared" si="11"/>
        <v>0</v>
      </c>
    </row>
    <row r="153" spans="1:14" ht="15.75">
      <c r="A153" s="193" t="s">
        <v>282</v>
      </c>
      <c r="B153" s="181">
        <f>+SUMIF('New Master-List'!$AH$3:$AH$9995,'By Industries (NBC)'!A153,'New Master-List'!$L$3:$L$9995)</f>
        <v>0</v>
      </c>
      <c r="C153" s="1555">
        <f>+SUMIF('New Master-List'!$AH$3:$AH$9995,'By Industries (NBC)'!A153,'New Master-List'!$M$3:$M$9995)+SUMIF('New Master-List'!$AH$3:$AH$9995,'By Industries (NBC)'!A153,'New Master-List'!$N$3:$N$9995)++SUMIF('New Master-List'!$AH$3:$AH$9995,'By Industries (NBC)'!A153,'New Master-List'!$O$3:$O$9995)</f>
        <v>0</v>
      </c>
      <c r="D153" s="181">
        <f>+SUMIF('New Master-List'!$AH$3:$AH$9995,'By Industries (NBC)'!A153,'New Master-List'!$V$3:$V$9995)</f>
        <v>0</v>
      </c>
      <c r="E153" s="181">
        <f>+SUMIF('New Master-List'!$AH$199:$AH$9995,'By Industries (NBC)'!A153,'New Master-List'!$X$199:$X$9995)</f>
        <v>0</v>
      </c>
      <c r="G153" s="344">
        <f t="shared" si="8"/>
        <v>0</v>
      </c>
      <c r="H153" s="344">
        <f t="shared" si="9"/>
        <v>0</v>
      </c>
      <c r="I153" s="344">
        <f t="shared" si="10"/>
        <v>0</v>
      </c>
      <c r="J153" s="344">
        <f t="shared" si="11"/>
        <v>0</v>
      </c>
    </row>
    <row r="154" spans="1:14" ht="15.75">
      <c r="A154" s="197" t="s">
        <v>135</v>
      </c>
      <c r="B154" s="181">
        <f>+SUMIF('New Master-List'!$AH$3:$AH$9995,'By Industries (NBC)'!A154,'New Master-List'!$L$3:$L$9995)</f>
        <v>0</v>
      </c>
      <c r="C154" s="1555">
        <f>+SUMIF('New Master-List'!$AH$3:$AH$9995,'By Industries (NBC)'!A154,'New Master-List'!$M$3:$M$9995)+SUMIF('New Master-List'!$AH$3:$AH$9995,'By Industries (NBC)'!A154,'New Master-List'!$N$3:$N$9995)++SUMIF('New Master-List'!$AH$3:$AH$9995,'By Industries (NBC)'!A154,'New Master-List'!$O$3:$O$9995)</f>
        <v>0</v>
      </c>
      <c r="D154" s="181">
        <f>+SUMIF('New Master-List'!$AH$3:$AH$9995,'By Industries (NBC)'!A154,'New Master-List'!$V$3:$V$9995)</f>
        <v>0</v>
      </c>
      <c r="E154" s="181">
        <f>+SUMIF('New Master-List'!$AH$199:$AH$9995,'By Industries (NBC)'!A154,'New Master-List'!$X$199:$X$9995)</f>
        <v>0</v>
      </c>
      <c r="G154" s="344">
        <f t="shared" si="8"/>
        <v>0</v>
      </c>
      <c r="H154" s="344">
        <f t="shared" si="9"/>
        <v>0</v>
      </c>
      <c r="I154" s="344">
        <f t="shared" si="10"/>
        <v>0</v>
      </c>
      <c r="J154" s="344">
        <f t="shared" si="11"/>
        <v>0</v>
      </c>
      <c r="K154" s="174"/>
      <c r="L154" s="174"/>
      <c r="M154" s="174"/>
      <c r="N154" s="174"/>
    </row>
    <row r="155" spans="1:14" ht="15.75">
      <c r="A155" s="193" t="s">
        <v>283</v>
      </c>
      <c r="B155" s="181">
        <f>+SUMIF('New Master-List'!$AH$3:$AH$9995,'By Industries (NBC)'!A155,'New Master-List'!$L$3:$L$9995)</f>
        <v>0</v>
      </c>
      <c r="C155" s="1555">
        <f>+SUMIF('New Master-List'!$AH$3:$AH$9995,'By Industries (NBC)'!A155,'New Master-List'!$M$3:$M$9995)+SUMIF('New Master-List'!$AH$3:$AH$9995,'By Industries (NBC)'!A155,'New Master-List'!$N$3:$N$9995)++SUMIF('New Master-List'!$AH$3:$AH$9995,'By Industries (NBC)'!A155,'New Master-List'!$O$3:$O$9995)</f>
        <v>0</v>
      </c>
      <c r="D155" s="181">
        <f>+SUMIF('New Master-List'!$AH$3:$AH$9995,'By Industries (NBC)'!A155,'New Master-List'!$V$3:$V$9995)</f>
        <v>0</v>
      </c>
      <c r="E155" s="181">
        <f>+SUMIF('New Master-List'!$AH$199:$AH$9995,'By Industries (NBC)'!A155,'New Master-List'!$X$199:$X$9995)</f>
        <v>0</v>
      </c>
      <c r="G155" s="344">
        <f t="shared" si="8"/>
        <v>0</v>
      </c>
      <c r="H155" s="344">
        <f t="shared" si="9"/>
        <v>0</v>
      </c>
      <c r="I155" s="344">
        <f t="shared" si="10"/>
        <v>0</v>
      </c>
      <c r="J155" s="344">
        <f t="shared" si="11"/>
        <v>0</v>
      </c>
    </row>
    <row r="156" spans="1:14" ht="15.75">
      <c r="A156" s="193" t="s">
        <v>284</v>
      </c>
      <c r="B156" s="181">
        <f>+SUMIF('New Master-List'!$AH$3:$AH$9995,'By Industries (NBC)'!A156,'New Master-List'!$L$3:$L$9995)</f>
        <v>0</v>
      </c>
      <c r="C156" s="1555">
        <f>+SUMIF('New Master-List'!$AH$3:$AH$9995,'By Industries (NBC)'!A156,'New Master-List'!$M$3:$M$9995)+SUMIF('New Master-List'!$AH$3:$AH$9995,'By Industries (NBC)'!A156,'New Master-List'!$N$3:$N$9995)++SUMIF('New Master-List'!$AH$3:$AH$9995,'By Industries (NBC)'!A156,'New Master-List'!$O$3:$O$9995)</f>
        <v>0</v>
      </c>
      <c r="D156" s="181">
        <f>+SUMIF('New Master-List'!$AH$3:$AH$9995,'By Industries (NBC)'!A156,'New Master-List'!$V$3:$V$9995)</f>
        <v>0</v>
      </c>
      <c r="E156" s="181">
        <f>+SUMIF('New Master-List'!$AH$199:$AH$9995,'By Industries (NBC)'!A156,'New Master-List'!$X$199:$X$9995)</f>
        <v>0</v>
      </c>
      <c r="G156" s="344">
        <f t="shared" si="8"/>
        <v>0</v>
      </c>
      <c r="H156" s="344">
        <f t="shared" si="9"/>
        <v>0</v>
      </c>
      <c r="I156" s="344">
        <f t="shared" si="10"/>
        <v>0</v>
      </c>
      <c r="J156" s="344">
        <f t="shared" si="11"/>
        <v>0</v>
      </c>
    </row>
    <row r="157" spans="1:14" ht="15.75">
      <c r="A157" s="193" t="s">
        <v>285</v>
      </c>
      <c r="B157" s="181">
        <f>+SUMIF('New Master-List'!$AH$3:$AH$9995,'By Industries (NBC)'!A157,'New Master-List'!$L$3:$L$9995)</f>
        <v>0</v>
      </c>
      <c r="C157" s="1555">
        <f>+SUMIF('New Master-List'!$AH$3:$AH$9995,'By Industries (NBC)'!A157,'New Master-List'!$M$3:$M$9995)+SUMIF('New Master-List'!$AH$3:$AH$9995,'By Industries (NBC)'!A157,'New Master-List'!$N$3:$N$9995)++SUMIF('New Master-List'!$AH$3:$AH$9995,'By Industries (NBC)'!A157,'New Master-List'!$O$3:$O$9995)</f>
        <v>0</v>
      </c>
      <c r="D157" s="181">
        <f>+SUMIF('New Master-List'!$AH$3:$AH$9995,'By Industries (NBC)'!A157,'New Master-List'!$V$3:$V$9995)</f>
        <v>0</v>
      </c>
      <c r="E157" s="181">
        <f>+SUMIF('New Master-List'!$AH$199:$AH$9995,'By Industries (NBC)'!A157,'New Master-List'!$X$199:$X$9995)</f>
        <v>0</v>
      </c>
      <c r="G157" s="344">
        <f t="shared" si="8"/>
        <v>0</v>
      </c>
      <c r="H157" s="344">
        <f t="shared" si="9"/>
        <v>0</v>
      </c>
      <c r="I157" s="344">
        <f t="shared" si="10"/>
        <v>0</v>
      </c>
      <c r="J157" s="344">
        <f t="shared" si="11"/>
        <v>0</v>
      </c>
    </row>
    <row r="158" spans="1:14" ht="15.75">
      <c r="A158" s="193" t="s">
        <v>286</v>
      </c>
      <c r="B158" s="181">
        <f>+SUMIF('New Master-List'!$AH$3:$AH$9995,'By Industries (NBC)'!A158,'New Master-List'!$L$3:$L$9995)</f>
        <v>0</v>
      </c>
      <c r="C158" s="1555">
        <f>+SUMIF('New Master-List'!$AH$3:$AH$9995,'By Industries (NBC)'!A158,'New Master-List'!$M$3:$M$9995)+SUMIF('New Master-List'!$AH$3:$AH$9995,'By Industries (NBC)'!A158,'New Master-List'!$N$3:$N$9995)++SUMIF('New Master-List'!$AH$3:$AH$9995,'By Industries (NBC)'!A158,'New Master-List'!$O$3:$O$9995)</f>
        <v>0</v>
      </c>
      <c r="D158" s="181">
        <f>+SUMIF('New Master-List'!$AH$3:$AH$9995,'By Industries (NBC)'!A158,'New Master-List'!$V$3:$V$9995)</f>
        <v>0</v>
      </c>
      <c r="E158" s="181">
        <f>+SUMIF('New Master-List'!$AH$199:$AH$9995,'By Industries (NBC)'!A158,'New Master-List'!$X$199:$X$9995)</f>
        <v>0</v>
      </c>
      <c r="G158" s="344">
        <f t="shared" si="8"/>
        <v>0</v>
      </c>
      <c r="H158" s="344">
        <f t="shared" si="9"/>
        <v>0</v>
      </c>
      <c r="I158" s="344">
        <f t="shared" si="10"/>
        <v>0</v>
      </c>
      <c r="J158" s="344">
        <f t="shared" si="11"/>
        <v>0</v>
      </c>
    </row>
    <row r="159" spans="1:14" ht="15.75">
      <c r="A159" s="197" t="s">
        <v>136</v>
      </c>
      <c r="B159" s="181">
        <f>+SUMIF('New Master-List'!$AH$3:$AH$9995,'By Industries (NBC)'!A159,'New Master-List'!$L$3:$L$9995)</f>
        <v>0</v>
      </c>
      <c r="C159" s="1555">
        <f>+SUMIF('New Master-List'!$AH$3:$AH$9995,'By Industries (NBC)'!A159,'New Master-List'!$M$3:$M$9995)+SUMIF('New Master-List'!$AH$3:$AH$9995,'By Industries (NBC)'!A159,'New Master-List'!$N$3:$N$9995)++SUMIF('New Master-List'!$AH$3:$AH$9995,'By Industries (NBC)'!A159,'New Master-List'!$O$3:$O$9995)</f>
        <v>0</v>
      </c>
      <c r="D159" s="181">
        <f>+SUMIF('New Master-List'!$AH$3:$AH$9995,'By Industries (NBC)'!A159,'New Master-List'!$V$3:$V$9995)</f>
        <v>0</v>
      </c>
      <c r="E159" s="181">
        <f>+SUMIF('New Master-List'!$AH$199:$AH$9995,'By Industries (NBC)'!A159,'New Master-List'!$X$199:$X$9995)</f>
        <v>0</v>
      </c>
      <c r="G159" s="344">
        <f t="shared" si="8"/>
        <v>0</v>
      </c>
      <c r="H159" s="344">
        <f t="shared" si="9"/>
        <v>0</v>
      </c>
      <c r="I159" s="344">
        <f t="shared" si="10"/>
        <v>0</v>
      </c>
      <c r="J159" s="344">
        <f t="shared" si="11"/>
        <v>0</v>
      </c>
      <c r="K159" s="174"/>
      <c r="L159" s="174"/>
      <c r="M159" s="174"/>
      <c r="N159" s="174"/>
    </row>
    <row r="160" spans="1:14" ht="15.75">
      <c r="A160" s="193" t="s">
        <v>287</v>
      </c>
      <c r="B160" s="181">
        <f>+SUMIF('New Master-List'!$AH$3:$AH$9995,'By Industries (NBC)'!A160,'New Master-List'!$L$3:$L$9995)</f>
        <v>0</v>
      </c>
      <c r="C160" s="1555">
        <f>+SUMIF('New Master-List'!$AH$3:$AH$9995,'By Industries (NBC)'!A160,'New Master-List'!$M$3:$M$9995)+SUMIF('New Master-List'!$AH$3:$AH$9995,'By Industries (NBC)'!A160,'New Master-List'!$N$3:$N$9995)++SUMIF('New Master-List'!$AH$3:$AH$9995,'By Industries (NBC)'!A160,'New Master-List'!$O$3:$O$9995)</f>
        <v>0</v>
      </c>
      <c r="D160" s="181">
        <f>+SUMIF('New Master-List'!$AH$3:$AH$9995,'By Industries (NBC)'!A160,'New Master-List'!$V$3:$V$9995)</f>
        <v>0</v>
      </c>
      <c r="E160" s="181">
        <f>+SUMIF('New Master-List'!$AH$199:$AH$9995,'By Industries (NBC)'!A160,'New Master-List'!$X$199:$X$9995)</f>
        <v>0</v>
      </c>
      <c r="G160" s="344">
        <f t="shared" si="8"/>
        <v>0</v>
      </c>
      <c r="H160" s="344">
        <f t="shared" si="9"/>
        <v>0</v>
      </c>
      <c r="I160" s="344">
        <f t="shared" si="10"/>
        <v>0</v>
      </c>
      <c r="J160" s="344">
        <f t="shared" si="11"/>
        <v>0</v>
      </c>
    </row>
    <row r="161" spans="1:14" ht="15.75">
      <c r="A161" s="193" t="s">
        <v>288</v>
      </c>
      <c r="B161" s="181">
        <f>+SUMIF('New Master-List'!$AH$3:$AH$9995,'By Industries (NBC)'!A161,'New Master-List'!$L$3:$L$9995)</f>
        <v>0</v>
      </c>
      <c r="C161" s="1555">
        <f>+SUMIF('New Master-List'!$AH$3:$AH$9995,'By Industries (NBC)'!A161,'New Master-List'!$M$3:$M$9995)+SUMIF('New Master-List'!$AH$3:$AH$9995,'By Industries (NBC)'!A161,'New Master-List'!$N$3:$N$9995)++SUMIF('New Master-List'!$AH$3:$AH$9995,'By Industries (NBC)'!A161,'New Master-List'!$O$3:$O$9995)</f>
        <v>0</v>
      </c>
      <c r="D161" s="181">
        <f>+SUMIF('New Master-List'!$AH$3:$AH$9995,'By Industries (NBC)'!A161,'New Master-List'!$V$3:$V$9995)</f>
        <v>0</v>
      </c>
      <c r="E161" s="181">
        <f>+SUMIF('New Master-List'!$AH$199:$AH$9995,'By Industries (NBC)'!A161,'New Master-List'!$X$199:$X$9995)</f>
        <v>0</v>
      </c>
      <c r="G161" s="344">
        <f t="shared" si="8"/>
        <v>0</v>
      </c>
      <c r="H161" s="344">
        <f t="shared" si="9"/>
        <v>0</v>
      </c>
      <c r="I161" s="344">
        <f t="shared" si="10"/>
        <v>0</v>
      </c>
      <c r="J161" s="344">
        <f t="shared" si="11"/>
        <v>0</v>
      </c>
    </row>
    <row r="162" spans="1:14" ht="15.75">
      <c r="A162" s="193" t="s">
        <v>289</v>
      </c>
      <c r="B162" s="181">
        <f>+SUMIF('New Master-List'!$AH$3:$AH$9995,'By Industries (NBC)'!A162,'New Master-List'!$L$3:$L$9995)</f>
        <v>0</v>
      </c>
      <c r="C162" s="1555">
        <f>+SUMIF('New Master-List'!$AH$3:$AH$9995,'By Industries (NBC)'!A162,'New Master-List'!$M$3:$M$9995)+SUMIF('New Master-List'!$AH$3:$AH$9995,'By Industries (NBC)'!A162,'New Master-List'!$N$3:$N$9995)++SUMIF('New Master-List'!$AH$3:$AH$9995,'By Industries (NBC)'!A162,'New Master-List'!$O$3:$O$9995)</f>
        <v>0</v>
      </c>
      <c r="D162" s="181">
        <f>+SUMIF('New Master-List'!$AH$3:$AH$9995,'By Industries (NBC)'!A162,'New Master-List'!$V$3:$V$9995)</f>
        <v>0</v>
      </c>
      <c r="E162" s="181">
        <f>+SUMIF('New Master-List'!$AH$199:$AH$9995,'By Industries (NBC)'!A162,'New Master-List'!$X$199:$X$9995)</f>
        <v>0</v>
      </c>
      <c r="G162" s="344">
        <f t="shared" si="8"/>
        <v>0</v>
      </c>
      <c r="H162" s="344">
        <f t="shared" si="9"/>
        <v>0</v>
      </c>
      <c r="I162" s="344">
        <f t="shared" si="10"/>
        <v>0</v>
      </c>
      <c r="J162" s="344">
        <f t="shared" si="11"/>
        <v>0</v>
      </c>
    </row>
    <row r="163" spans="1:14" ht="15.75">
      <c r="A163" s="193" t="s">
        <v>290</v>
      </c>
      <c r="B163" s="181">
        <f>+SUMIF('New Master-List'!$AH$3:$AH$9995,'By Industries (NBC)'!A163,'New Master-List'!$L$3:$L$9995)</f>
        <v>0</v>
      </c>
      <c r="C163" s="1555">
        <f>+SUMIF('New Master-List'!$AH$3:$AH$9995,'By Industries (NBC)'!A163,'New Master-List'!$M$3:$M$9995)+SUMIF('New Master-List'!$AH$3:$AH$9995,'By Industries (NBC)'!A163,'New Master-List'!$N$3:$N$9995)++SUMIF('New Master-List'!$AH$3:$AH$9995,'By Industries (NBC)'!A163,'New Master-List'!$O$3:$O$9995)</f>
        <v>0</v>
      </c>
      <c r="D163" s="181">
        <f>+SUMIF('New Master-List'!$AH$3:$AH$9995,'By Industries (NBC)'!A163,'New Master-List'!$V$3:$V$9995)</f>
        <v>0</v>
      </c>
      <c r="E163" s="181">
        <f>+SUMIF('New Master-List'!$AH$199:$AH$9995,'By Industries (NBC)'!A163,'New Master-List'!$X$199:$X$9995)</f>
        <v>0</v>
      </c>
      <c r="G163" s="344">
        <f t="shared" si="8"/>
        <v>0</v>
      </c>
      <c r="H163" s="344">
        <f t="shared" si="9"/>
        <v>0</v>
      </c>
      <c r="I163" s="344">
        <f t="shared" si="10"/>
        <v>0</v>
      </c>
      <c r="J163" s="344">
        <f t="shared" si="11"/>
        <v>0</v>
      </c>
    </row>
    <row r="164" spans="1:14" ht="15.75">
      <c r="A164" s="197" t="s">
        <v>137</v>
      </c>
      <c r="B164" s="181">
        <f>+SUMIF('New Master-List'!$AH$3:$AH$9995,'By Industries (NBC)'!A164,'New Master-List'!$L$3:$L$9995)</f>
        <v>0</v>
      </c>
      <c r="C164" s="1555">
        <f>+SUMIF('New Master-List'!$AH$3:$AH$9995,'By Industries (NBC)'!A164,'New Master-List'!$M$3:$M$9995)+SUMIF('New Master-List'!$AH$3:$AH$9995,'By Industries (NBC)'!A164,'New Master-List'!$N$3:$N$9995)++SUMIF('New Master-List'!$AH$3:$AH$9995,'By Industries (NBC)'!A164,'New Master-List'!$O$3:$O$9995)</f>
        <v>0</v>
      </c>
      <c r="D164" s="181">
        <f>+SUMIF('New Master-List'!$AH$3:$AH$9995,'By Industries (NBC)'!A164,'New Master-List'!$V$3:$V$9995)</f>
        <v>0</v>
      </c>
      <c r="E164" s="181">
        <f>+SUMIF('New Master-List'!$AH$199:$AH$9995,'By Industries (NBC)'!A164,'New Master-List'!$X$199:$X$9995)</f>
        <v>0</v>
      </c>
      <c r="G164" s="344">
        <f t="shared" si="8"/>
        <v>0</v>
      </c>
      <c r="H164" s="344">
        <f t="shared" si="9"/>
        <v>0</v>
      </c>
      <c r="I164" s="344">
        <f t="shared" si="10"/>
        <v>0</v>
      </c>
      <c r="J164" s="344">
        <f t="shared" si="11"/>
        <v>0</v>
      </c>
      <c r="K164" s="174"/>
      <c r="L164" s="174"/>
      <c r="M164" s="174"/>
      <c r="N164" s="174"/>
    </row>
    <row r="165" spans="1:14" ht="15.75">
      <c r="A165" s="193" t="s">
        <v>291</v>
      </c>
      <c r="B165" s="181">
        <f>+SUMIF('New Master-List'!$AH$3:$AH$9995,'By Industries (NBC)'!A165,'New Master-List'!$L$3:$L$9995)</f>
        <v>0</v>
      </c>
      <c r="C165" s="1555">
        <f>+SUMIF('New Master-List'!$AH$3:$AH$9995,'By Industries (NBC)'!A165,'New Master-List'!$M$3:$M$9995)+SUMIF('New Master-List'!$AH$3:$AH$9995,'By Industries (NBC)'!A165,'New Master-List'!$N$3:$N$9995)++SUMIF('New Master-List'!$AH$3:$AH$9995,'By Industries (NBC)'!A165,'New Master-List'!$O$3:$O$9995)</f>
        <v>0</v>
      </c>
      <c r="D165" s="181">
        <f>+SUMIF('New Master-List'!$AH$3:$AH$9995,'By Industries (NBC)'!A165,'New Master-List'!$V$3:$V$9995)</f>
        <v>0</v>
      </c>
      <c r="E165" s="181">
        <f>+SUMIF('New Master-List'!$AH$199:$AH$9995,'By Industries (NBC)'!A165,'New Master-List'!$X$199:$X$9995)</f>
        <v>0</v>
      </c>
      <c r="G165" s="344">
        <f t="shared" si="8"/>
        <v>0</v>
      </c>
      <c r="H165" s="344">
        <f t="shared" si="9"/>
        <v>0</v>
      </c>
      <c r="I165" s="344">
        <f t="shared" si="10"/>
        <v>0</v>
      </c>
      <c r="J165" s="344">
        <f t="shared" si="11"/>
        <v>0</v>
      </c>
    </row>
    <row r="166" spans="1:14" ht="15.75">
      <c r="A166" s="193" t="s">
        <v>292</v>
      </c>
      <c r="B166" s="181">
        <f>+SUMIF('New Master-List'!$AH$3:$AH$9995,'By Industries (NBC)'!A166,'New Master-List'!$L$3:$L$9995)</f>
        <v>0</v>
      </c>
      <c r="C166" s="1555">
        <f>+SUMIF('New Master-List'!$AH$3:$AH$9995,'By Industries (NBC)'!A166,'New Master-List'!$M$3:$M$9995)+SUMIF('New Master-List'!$AH$3:$AH$9995,'By Industries (NBC)'!A166,'New Master-List'!$N$3:$N$9995)++SUMIF('New Master-List'!$AH$3:$AH$9995,'By Industries (NBC)'!A166,'New Master-List'!$O$3:$O$9995)</f>
        <v>0</v>
      </c>
      <c r="D166" s="181">
        <f>+SUMIF('New Master-List'!$AH$3:$AH$9995,'By Industries (NBC)'!A166,'New Master-List'!$V$3:$V$9995)</f>
        <v>0</v>
      </c>
      <c r="E166" s="181">
        <f>+SUMIF('New Master-List'!$AH$199:$AH$9995,'By Industries (NBC)'!A166,'New Master-List'!$X$199:$X$9995)</f>
        <v>0</v>
      </c>
      <c r="G166" s="344">
        <f t="shared" si="8"/>
        <v>0</v>
      </c>
      <c r="H166" s="344">
        <f t="shared" si="9"/>
        <v>0</v>
      </c>
      <c r="I166" s="344">
        <f t="shared" si="10"/>
        <v>0</v>
      </c>
      <c r="J166" s="344">
        <f t="shared" si="11"/>
        <v>0</v>
      </c>
    </row>
    <row r="167" spans="1:14" ht="15.75">
      <c r="A167" s="193" t="s">
        <v>293</v>
      </c>
      <c r="B167" s="181">
        <f>+SUMIF('New Master-List'!$AH$3:$AH$9995,'By Industries (NBC)'!A167,'New Master-List'!$L$3:$L$9995)</f>
        <v>0</v>
      </c>
      <c r="C167" s="1555">
        <f>+SUMIF('New Master-List'!$AH$3:$AH$9995,'By Industries (NBC)'!A167,'New Master-List'!$M$3:$M$9995)+SUMIF('New Master-List'!$AH$3:$AH$9995,'By Industries (NBC)'!A167,'New Master-List'!$N$3:$N$9995)++SUMIF('New Master-List'!$AH$3:$AH$9995,'By Industries (NBC)'!A167,'New Master-List'!$O$3:$O$9995)</f>
        <v>0</v>
      </c>
      <c r="D167" s="181">
        <f>+SUMIF('New Master-List'!$AH$3:$AH$9995,'By Industries (NBC)'!A167,'New Master-List'!$V$3:$V$9995)</f>
        <v>0</v>
      </c>
      <c r="E167" s="181">
        <f>+SUMIF('New Master-List'!$AH$199:$AH$9995,'By Industries (NBC)'!A167,'New Master-List'!$X$199:$X$9995)</f>
        <v>0</v>
      </c>
      <c r="G167" s="344">
        <f t="shared" si="8"/>
        <v>0</v>
      </c>
      <c r="H167" s="344">
        <f t="shared" si="9"/>
        <v>0</v>
      </c>
      <c r="I167" s="344">
        <f t="shared" si="10"/>
        <v>0</v>
      </c>
      <c r="J167" s="344">
        <f t="shared" si="11"/>
        <v>0</v>
      </c>
    </row>
    <row r="168" spans="1:14" ht="15.75">
      <c r="A168" s="193" t="s">
        <v>294</v>
      </c>
      <c r="B168" s="181">
        <f>+SUMIF('New Master-List'!$AH$3:$AH$9995,'By Industries (NBC)'!A168,'New Master-List'!$L$3:$L$9995)</f>
        <v>0</v>
      </c>
      <c r="C168" s="1555">
        <f>+SUMIF('New Master-List'!$AH$3:$AH$9995,'By Industries (NBC)'!A168,'New Master-List'!$M$3:$M$9995)+SUMIF('New Master-List'!$AH$3:$AH$9995,'By Industries (NBC)'!A168,'New Master-List'!$N$3:$N$9995)++SUMIF('New Master-List'!$AH$3:$AH$9995,'By Industries (NBC)'!A168,'New Master-List'!$O$3:$O$9995)</f>
        <v>0</v>
      </c>
      <c r="D168" s="181">
        <f>+SUMIF('New Master-List'!$AH$3:$AH$9995,'By Industries (NBC)'!A168,'New Master-List'!$V$3:$V$9995)</f>
        <v>0</v>
      </c>
      <c r="E168" s="181">
        <f>+SUMIF('New Master-List'!$AH$199:$AH$9995,'By Industries (NBC)'!A168,'New Master-List'!$X$199:$X$9995)</f>
        <v>0</v>
      </c>
      <c r="G168" s="344">
        <f t="shared" si="8"/>
        <v>0</v>
      </c>
      <c r="H168" s="344">
        <f t="shared" si="9"/>
        <v>0</v>
      </c>
      <c r="I168" s="344">
        <f t="shared" si="10"/>
        <v>0</v>
      </c>
      <c r="J168" s="344">
        <f t="shared" si="11"/>
        <v>0</v>
      </c>
    </row>
    <row r="169" spans="1:14" ht="15.75">
      <c r="A169" s="197" t="s">
        <v>138</v>
      </c>
      <c r="B169" s="181">
        <f>+SUMIF('New Master-List'!$AH$3:$AH$9995,'By Industries (NBC)'!A169,'New Master-List'!$L$3:$L$9995)</f>
        <v>0</v>
      </c>
      <c r="C169" s="1555">
        <f>+SUMIF('New Master-List'!$AH$3:$AH$9995,'By Industries (NBC)'!A169,'New Master-List'!$M$3:$M$9995)+SUMIF('New Master-List'!$AH$3:$AH$9995,'By Industries (NBC)'!A169,'New Master-List'!$N$3:$N$9995)++SUMIF('New Master-List'!$AH$3:$AH$9995,'By Industries (NBC)'!A169,'New Master-List'!$O$3:$O$9995)</f>
        <v>0</v>
      </c>
      <c r="D169" s="181">
        <f>+SUMIF('New Master-List'!$AH$3:$AH$9995,'By Industries (NBC)'!A169,'New Master-List'!$V$3:$V$9995)</f>
        <v>0</v>
      </c>
      <c r="E169" s="181">
        <f>+SUMIF('New Master-List'!$AH$199:$AH$9995,'By Industries (NBC)'!A169,'New Master-List'!$X$199:$X$9995)</f>
        <v>0</v>
      </c>
      <c r="G169" s="344">
        <f t="shared" si="8"/>
        <v>0</v>
      </c>
      <c r="H169" s="344">
        <f t="shared" si="9"/>
        <v>0</v>
      </c>
      <c r="I169" s="344">
        <f t="shared" si="10"/>
        <v>0</v>
      </c>
      <c r="J169" s="344">
        <f t="shared" si="11"/>
        <v>0</v>
      </c>
      <c r="K169" s="174"/>
      <c r="L169" s="174"/>
      <c r="M169" s="174"/>
      <c r="N169" s="174"/>
    </row>
    <row r="170" spans="1:14" ht="15.75">
      <c r="A170" s="193" t="s">
        <v>295</v>
      </c>
      <c r="B170" s="181">
        <f>+SUMIF('New Master-List'!$AH$3:$AH$9995,'By Industries (NBC)'!A170,'New Master-List'!$L$3:$L$9995)</f>
        <v>0</v>
      </c>
      <c r="C170" s="1555">
        <f>+SUMIF('New Master-List'!$AH$3:$AH$9995,'By Industries (NBC)'!A170,'New Master-List'!$M$3:$M$9995)+SUMIF('New Master-List'!$AH$3:$AH$9995,'By Industries (NBC)'!A170,'New Master-List'!$N$3:$N$9995)++SUMIF('New Master-List'!$AH$3:$AH$9995,'By Industries (NBC)'!A170,'New Master-List'!$O$3:$O$9995)</f>
        <v>0</v>
      </c>
      <c r="D170" s="181">
        <f>+SUMIF('New Master-List'!$AH$3:$AH$9995,'By Industries (NBC)'!A170,'New Master-List'!$V$3:$V$9995)</f>
        <v>0</v>
      </c>
      <c r="E170" s="181">
        <f>+SUMIF('New Master-List'!$AH$199:$AH$9995,'By Industries (NBC)'!A170,'New Master-List'!$X$199:$X$9995)</f>
        <v>0</v>
      </c>
      <c r="G170" s="344">
        <f t="shared" si="8"/>
        <v>0</v>
      </c>
      <c r="H170" s="344">
        <f t="shared" si="9"/>
        <v>0</v>
      </c>
      <c r="I170" s="344">
        <f t="shared" si="10"/>
        <v>0</v>
      </c>
      <c r="J170" s="344">
        <f t="shared" si="11"/>
        <v>0</v>
      </c>
    </row>
    <row r="171" spans="1:14" ht="15.75">
      <c r="A171" s="193" t="s">
        <v>296</v>
      </c>
      <c r="B171" s="181">
        <f>+SUMIF('New Master-List'!$AH$3:$AH$9995,'By Industries (NBC)'!A171,'New Master-List'!$L$3:$L$9995)</f>
        <v>0</v>
      </c>
      <c r="C171" s="1555">
        <f>+SUMIF('New Master-List'!$AH$3:$AH$9995,'By Industries (NBC)'!A171,'New Master-List'!$M$3:$M$9995)+SUMIF('New Master-List'!$AH$3:$AH$9995,'By Industries (NBC)'!A171,'New Master-List'!$N$3:$N$9995)++SUMIF('New Master-List'!$AH$3:$AH$9995,'By Industries (NBC)'!A171,'New Master-List'!$O$3:$O$9995)</f>
        <v>0</v>
      </c>
      <c r="D171" s="181">
        <f>+SUMIF('New Master-List'!$AH$3:$AH$9995,'By Industries (NBC)'!A171,'New Master-List'!$V$3:$V$9995)</f>
        <v>0</v>
      </c>
      <c r="E171" s="181">
        <f>+SUMIF('New Master-List'!$AH$199:$AH$9995,'By Industries (NBC)'!A171,'New Master-List'!$X$199:$X$9995)</f>
        <v>0</v>
      </c>
      <c r="G171" s="344">
        <f t="shared" si="8"/>
        <v>0</v>
      </c>
      <c r="H171" s="344">
        <f t="shared" si="9"/>
        <v>0</v>
      </c>
      <c r="I171" s="344">
        <f t="shared" si="10"/>
        <v>0</v>
      </c>
      <c r="J171" s="344">
        <f t="shared" si="11"/>
        <v>0</v>
      </c>
    </row>
    <row r="172" spans="1:14" ht="15.75">
      <c r="A172" s="193" t="s">
        <v>297</v>
      </c>
      <c r="B172" s="181">
        <f>+SUMIF('New Master-List'!$AH$3:$AH$9995,'By Industries (NBC)'!A172,'New Master-List'!$L$3:$L$9995)</f>
        <v>0</v>
      </c>
      <c r="C172" s="1555">
        <f>+SUMIF('New Master-List'!$AH$3:$AH$9995,'By Industries (NBC)'!A172,'New Master-List'!$M$3:$M$9995)+SUMIF('New Master-List'!$AH$3:$AH$9995,'By Industries (NBC)'!A172,'New Master-List'!$N$3:$N$9995)++SUMIF('New Master-List'!$AH$3:$AH$9995,'By Industries (NBC)'!A172,'New Master-List'!$O$3:$O$9995)</f>
        <v>0</v>
      </c>
      <c r="D172" s="181">
        <f>+SUMIF('New Master-List'!$AH$3:$AH$9995,'By Industries (NBC)'!A172,'New Master-List'!$V$3:$V$9995)</f>
        <v>0</v>
      </c>
      <c r="E172" s="181">
        <f>+SUMIF('New Master-List'!$AH$199:$AH$9995,'By Industries (NBC)'!A172,'New Master-List'!$X$199:$X$9995)</f>
        <v>0</v>
      </c>
      <c r="G172" s="344">
        <f t="shared" si="8"/>
        <v>0</v>
      </c>
      <c r="H172" s="344">
        <f t="shared" si="9"/>
        <v>0</v>
      </c>
      <c r="I172" s="344">
        <f t="shared" si="10"/>
        <v>0</v>
      </c>
      <c r="J172" s="344">
        <f t="shared" si="11"/>
        <v>0</v>
      </c>
    </row>
    <row r="173" spans="1:14" ht="15.75">
      <c r="A173" s="193" t="s">
        <v>298</v>
      </c>
      <c r="B173" s="181">
        <f>+SUMIF('New Master-List'!$AH$3:$AH$9995,'By Industries (NBC)'!A173,'New Master-List'!$L$3:$L$9995)</f>
        <v>0</v>
      </c>
      <c r="C173" s="1555">
        <f>+SUMIF('New Master-List'!$AH$3:$AH$9995,'By Industries (NBC)'!A173,'New Master-List'!$M$3:$M$9995)+SUMIF('New Master-List'!$AH$3:$AH$9995,'By Industries (NBC)'!A173,'New Master-List'!$N$3:$N$9995)++SUMIF('New Master-List'!$AH$3:$AH$9995,'By Industries (NBC)'!A173,'New Master-List'!$O$3:$O$9995)</f>
        <v>0</v>
      </c>
      <c r="D173" s="181">
        <f>+SUMIF('New Master-List'!$AH$3:$AH$9995,'By Industries (NBC)'!A173,'New Master-List'!$V$3:$V$9995)</f>
        <v>0</v>
      </c>
      <c r="E173" s="181">
        <f>+SUMIF('New Master-List'!$AH$199:$AH$9995,'By Industries (NBC)'!A173,'New Master-List'!$X$199:$X$9995)</f>
        <v>0</v>
      </c>
      <c r="G173" s="344">
        <f t="shared" si="8"/>
        <v>0</v>
      </c>
      <c r="H173" s="344">
        <f t="shared" si="9"/>
        <v>0</v>
      </c>
      <c r="I173" s="344">
        <f t="shared" si="10"/>
        <v>0</v>
      </c>
      <c r="J173" s="344">
        <f t="shared" si="11"/>
        <v>0</v>
      </c>
    </row>
    <row r="174" spans="1:14" ht="15.75">
      <c r="A174" s="197" t="s">
        <v>139</v>
      </c>
      <c r="B174" s="181">
        <f>+SUMIF('New Master-List'!$AH$3:$AH$9995,'By Industries (NBC)'!A174,'New Master-List'!$L$3:$L$9995)</f>
        <v>0</v>
      </c>
      <c r="C174" s="1555">
        <f>+SUMIF('New Master-List'!$AH$3:$AH$9995,'By Industries (NBC)'!A174,'New Master-List'!$M$3:$M$9995)+SUMIF('New Master-List'!$AH$3:$AH$9995,'By Industries (NBC)'!A174,'New Master-List'!$N$3:$N$9995)++SUMIF('New Master-List'!$AH$3:$AH$9995,'By Industries (NBC)'!A174,'New Master-List'!$O$3:$O$9995)</f>
        <v>0</v>
      </c>
      <c r="D174" s="181">
        <f>+SUMIF('New Master-List'!$AH$3:$AH$9995,'By Industries (NBC)'!A174,'New Master-List'!$V$3:$V$9995)</f>
        <v>0</v>
      </c>
      <c r="E174" s="181">
        <f>+SUMIF('New Master-List'!$AH$199:$AH$9995,'By Industries (NBC)'!A174,'New Master-List'!$X$199:$X$9995)</f>
        <v>0</v>
      </c>
      <c r="G174" s="344">
        <f t="shared" si="8"/>
        <v>0</v>
      </c>
      <c r="H174" s="344">
        <f t="shared" si="9"/>
        <v>0</v>
      </c>
      <c r="I174" s="344">
        <f t="shared" si="10"/>
        <v>0</v>
      </c>
      <c r="J174" s="344">
        <f t="shared" si="11"/>
        <v>0</v>
      </c>
      <c r="K174" s="174"/>
      <c r="L174" s="174"/>
      <c r="M174" s="174"/>
      <c r="N174" s="174"/>
    </row>
    <row r="175" spans="1:14" ht="15.75">
      <c r="A175" s="193" t="s">
        <v>299</v>
      </c>
      <c r="B175" s="181">
        <f>+SUMIF('New Master-List'!$AH$3:$AH$9995,'By Industries (NBC)'!A175,'New Master-List'!$L$3:$L$9995)</f>
        <v>0</v>
      </c>
      <c r="C175" s="1555">
        <f>+SUMIF('New Master-List'!$AH$3:$AH$9995,'By Industries (NBC)'!A175,'New Master-List'!$M$3:$M$9995)+SUMIF('New Master-List'!$AH$3:$AH$9995,'By Industries (NBC)'!A175,'New Master-List'!$N$3:$N$9995)++SUMIF('New Master-List'!$AH$3:$AH$9995,'By Industries (NBC)'!A175,'New Master-List'!$O$3:$O$9995)</f>
        <v>0</v>
      </c>
      <c r="D175" s="181">
        <f>+SUMIF('New Master-List'!$AH$3:$AH$9995,'By Industries (NBC)'!A175,'New Master-List'!$V$3:$V$9995)</f>
        <v>0</v>
      </c>
      <c r="E175" s="181">
        <f>+SUMIF('New Master-List'!$AH$199:$AH$9995,'By Industries (NBC)'!A175,'New Master-List'!$X$199:$X$9995)</f>
        <v>0</v>
      </c>
      <c r="G175" s="344">
        <f t="shared" si="8"/>
        <v>0</v>
      </c>
      <c r="H175" s="344">
        <f t="shared" si="9"/>
        <v>0</v>
      </c>
      <c r="I175" s="344">
        <f t="shared" si="10"/>
        <v>0</v>
      </c>
      <c r="J175" s="344">
        <f t="shared" si="11"/>
        <v>0</v>
      </c>
    </row>
    <row r="176" spans="1:14" ht="15.75">
      <c r="A176" s="193" t="s">
        <v>300</v>
      </c>
      <c r="B176" s="181">
        <f>+SUMIF('New Master-List'!$AH$3:$AH$9995,'By Industries (NBC)'!A176,'New Master-List'!$L$3:$L$9995)</f>
        <v>0</v>
      </c>
      <c r="C176" s="1555">
        <f>+SUMIF('New Master-List'!$AH$3:$AH$9995,'By Industries (NBC)'!A176,'New Master-List'!$M$3:$M$9995)+SUMIF('New Master-List'!$AH$3:$AH$9995,'By Industries (NBC)'!A176,'New Master-List'!$N$3:$N$9995)++SUMIF('New Master-List'!$AH$3:$AH$9995,'By Industries (NBC)'!A176,'New Master-List'!$O$3:$O$9995)</f>
        <v>0</v>
      </c>
      <c r="D176" s="181">
        <f>+SUMIF('New Master-List'!$AH$3:$AH$9995,'By Industries (NBC)'!A176,'New Master-List'!$V$3:$V$9995)</f>
        <v>0</v>
      </c>
      <c r="E176" s="181">
        <f>+SUMIF('New Master-List'!$AH$199:$AH$9995,'By Industries (NBC)'!A176,'New Master-List'!$X$199:$X$9995)</f>
        <v>0</v>
      </c>
      <c r="G176" s="344">
        <f t="shared" si="8"/>
        <v>0</v>
      </c>
      <c r="H176" s="344">
        <f t="shared" si="9"/>
        <v>0</v>
      </c>
      <c r="I176" s="344">
        <f t="shared" si="10"/>
        <v>0</v>
      </c>
      <c r="J176" s="344">
        <f t="shared" si="11"/>
        <v>0</v>
      </c>
    </row>
    <row r="177" spans="1:14" ht="15.75">
      <c r="A177" s="193" t="s">
        <v>301</v>
      </c>
      <c r="B177" s="181">
        <f>+SUMIF('New Master-List'!$AH$3:$AH$9995,'By Industries (NBC)'!A177,'New Master-List'!$L$3:$L$9995)</f>
        <v>0</v>
      </c>
      <c r="C177" s="1555">
        <f>+SUMIF('New Master-List'!$AH$3:$AH$9995,'By Industries (NBC)'!A177,'New Master-List'!$M$3:$M$9995)+SUMIF('New Master-List'!$AH$3:$AH$9995,'By Industries (NBC)'!A177,'New Master-List'!$N$3:$N$9995)++SUMIF('New Master-List'!$AH$3:$AH$9995,'By Industries (NBC)'!A177,'New Master-List'!$O$3:$O$9995)</f>
        <v>0</v>
      </c>
      <c r="D177" s="181">
        <f>+SUMIF('New Master-List'!$AH$3:$AH$9995,'By Industries (NBC)'!A177,'New Master-List'!$V$3:$V$9995)</f>
        <v>0</v>
      </c>
      <c r="E177" s="181">
        <f>+SUMIF('New Master-List'!$AH$199:$AH$9995,'By Industries (NBC)'!A177,'New Master-List'!$X$199:$X$9995)</f>
        <v>0</v>
      </c>
      <c r="G177" s="344">
        <f t="shared" si="8"/>
        <v>0</v>
      </c>
      <c r="H177" s="344">
        <f t="shared" si="9"/>
        <v>0</v>
      </c>
      <c r="I177" s="344">
        <f t="shared" si="10"/>
        <v>0</v>
      </c>
      <c r="J177" s="344">
        <f t="shared" si="11"/>
        <v>0</v>
      </c>
    </row>
    <row r="178" spans="1:14" ht="15.75">
      <c r="A178" s="193" t="s">
        <v>302</v>
      </c>
      <c r="B178" s="181">
        <f>+SUMIF('New Master-List'!$AH$3:$AH$9995,'By Industries (NBC)'!A178,'New Master-List'!$L$3:$L$9995)</f>
        <v>0</v>
      </c>
      <c r="C178" s="1555">
        <f>+SUMIF('New Master-List'!$AH$3:$AH$9995,'By Industries (NBC)'!A178,'New Master-List'!$M$3:$M$9995)+SUMIF('New Master-List'!$AH$3:$AH$9995,'By Industries (NBC)'!A178,'New Master-List'!$N$3:$N$9995)++SUMIF('New Master-List'!$AH$3:$AH$9995,'By Industries (NBC)'!A178,'New Master-List'!$O$3:$O$9995)</f>
        <v>0</v>
      </c>
      <c r="D178" s="181">
        <f>+SUMIF('New Master-List'!$AH$3:$AH$9995,'By Industries (NBC)'!A178,'New Master-List'!$V$3:$V$9995)</f>
        <v>0</v>
      </c>
      <c r="E178" s="181">
        <f>+SUMIF('New Master-List'!$AH$199:$AH$9995,'By Industries (NBC)'!A178,'New Master-List'!$X$199:$X$9995)</f>
        <v>0</v>
      </c>
      <c r="G178" s="344">
        <f t="shared" si="8"/>
        <v>0</v>
      </c>
      <c r="H178" s="344">
        <f t="shared" si="9"/>
        <v>0</v>
      </c>
      <c r="I178" s="344">
        <f t="shared" si="10"/>
        <v>0</v>
      </c>
      <c r="J178" s="344">
        <f t="shared" si="11"/>
        <v>0</v>
      </c>
    </row>
    <row r="179" spans="1:14" ht="15.75">
      <c r="A179" s="197" t="s">
        <v>140</v>
      </c>
      <c r="B179" s="181">
        <f>+SUMIF('New Master-List'!$AH$3:$AH$9995,'By Industries (NBC)'!A179,'New Master-List'!$L$3:$L$9995)</f>
        <v>0</v>
      </c>
      <c r="C179" s="1555">
        <f>+SUMIF('New Master-List'!$AH$3:$AH$9995,'By Industries (NBC)'!A179,'New Master-List'!$M$3:$M$9995)+SUMIF('New Master-List'!$AH$3:$AH$9995,'By Industries (NBC)'!A179,'New Master-List'!$N$3:$N$9995)++SUMIF('New Master-List'!$AH$3:$AH$9995,'By Industries (NBC)'!A179,'New Master-List'!$O$3:$O$9995)</f>
        <v>0</v>
      </c>
      <c r="D179" s="181">
        <f>+SUMIF('New Master-List'!$AH$3:$AH$9995,'By Industries (NBC)'!A179,'New Master-List'!$V$3:$V$9995)</f>
        <v>0</v>
      </c>
      <c r="E179" s="181">
        <f>+SUMIF('New Master-List'!$AH$199:$AH$9995,'By Industries (NBC)'!A179,'New Master-List'!$X$199:$X$9995)</f>
        <v>0</v>
      </c>
      <c r="G179" s="344">
        <f t="shared" si="8"/>
        <v>0</v>
      </c>
      <c r="H179" s="344">
        <f t="shared" si="9"/>
        <v>0</v>
      </c>
      <c r="I179" s="344">
        <f t="shared" si="10"/>
        <v>0</v>
      </c>
      <c r="J179" s="344">
        <f t="shared" si="11"/>
        <v>0</v>
      </c>
      <c r="K179" s="174"/>
      <c r="L179" s="174"/>
      <c r="M179" s="174"/>
      <c r="N179" s="174"/>
    </row>
    <row r="180" spans="1:14" ht="15.75">
      <c r="A180" s="193" t="s">
        <v>303</v>
      </c>
      <c r="B180" s="181">
        <f>+SUMIF('New Master-List'!$AH$3:$AH$9995,'By Industries (NBC)'!A180,'New Master-List'!$L$3:$L$9995)</f>
        <v>0</v>
      </c>
      <c r="C180" s="1555">
        <f>+SUMIF('New Master-List'!$AH$3:$AH$9995,'By Industries (NBC)'!A180,'New Master-List'!$M$3:$M$9995)+SUMIF('New Master-List'!$AH$3:$AH$9995,'By Industries (NBC)'!A180,'New Master-List'!$N$3:$N$9995)++SUMIF('New Master-List'!$AH$3:$AH$9995,'By Industries (NBC)'!A180,'New Master-List'!$O$3:$O$9995)</f>
        <v>0</v>
      </c>
      <c r="D180" s="181">
        <f>+SUMIF('New Master-List'!$AH$3:$AH$9995,'By Industries (NBC)'!A180,'New Master-List'!$V$3:$V$9995)</f>
        <v>0</v>
      </c>
      <c r="E180" s="181">
        <f>+SUMIF('New Master-List'!$AH$199:$AH$9995,'By Industries (NBC)'!A180,'New Master-List'!$X$199:$X$9995)</f>
        <v>0</v>
      </c>
      <c r="G180" s="344">
        <f t="shared" si="8"/>
        <v>0</v>
      </c>
      <c r="H180" s="344">
        <f t="shared" si="9"/>
        <v>0</v>
      </c>
      <c r="I180" s="344">
        <f t="shared" si="10"/>
        <v>0</v>
      </c>
      <c r="J180" s="344">
        <f t="shared" si="11"/>
        <v>0</v>
      </c>
    </row>
    <row r="181" spans="1:14" ht="15.75">
      <c r="A181" s="193" t="s">
        <v>304</v>
      </c>
      <c r="B181" s="181">
        <f>+SUMIF('New Master-List'!$AH$3:$AH$9995,'By Industries (NBC)'!A181,'New Master-List'!$L$3:$L$9995)</f>
        <v>0</v>
      </c>
      <c r="C181" s="1555">
        <f>+SUMIF('New Master-List'!$AH$3:$AH$9995,'By Industries (NBC)'!A181,'New Master-List'!$M$3:$M$9995)+SUMIF('New Master-List'!$AH$3:$AH$9995,'By Industries (NBC)'!A181,'New Master-List'!$N$3:$N$9995)++SUMIF('New Master-List'!$AH$3:$AH$9995,'By Industries (NBC)'!A181,'New Master-List'!$O$3:$O$9995)</f>
        <v>0</v>
      </c>
      <c r="D181" s="181">
        <f>+SUMIF('New Master-List'!$AH$3:$AH$9995,'By Industries (NBC)'!A181,'New Master-List'!$V$3:$V$9995)</f>
        <v>0</v>
      </c>
      <c r="E181" s="181">
        <f>+SUMIF('New Master-List'!$AH$199:$AH$9995,'By Industries (NBC)'!A181,'New Master-List'!$X$199:$X$9995)</f>
        <v>0</v>
      </c>
      <c r="G181" s="344">
        <f t="shared" si="8"/>
        <v>0</v>
      </c>
      <c r="H181" s="344">
        <f t="shared" si="9"/>
        <v>0</v>
      </c>
      <c r="I181" s="344">
        <f t="shared" si="10"/>
        <v>0</v>
      </c>
      <c r="J181" s="344">
        <f t="shared" si="11"/>
        <v>0</v>
      </c>
    </row>
    <row r="182" spans="1:14" ht="15.75">
      <c r="A182" s="193" t="s">
        <v>305</v>
      </c>
      <c r="B182" s="181">
        <f>+SUMIF('New Master-List'!$AH$3:$AH$9995,'By Industries (NBC)'!A182,'New Master-List'!$L$3:$L$9995)</f>
        <v>0</v>
      </c>
      <c r="C182" s="1555">
        <f>+SUMIF('New Master-List'!$AH$3:$AH$9995,'By Industries (NBC)'!A182,'New Master-List'!$M$3:$M$9995)+SUMIF('New Master-List'!$AH$3:$AH$9995,'By Industries (NBC)'!A182,'New Master-List'!$N$3:$N$9995)++SUMIF('New Master-List'!$AH$3:$AH$9995,'By Industries (NBC)'!A182,'New Master-List'!$O$3:$O$9995)</f>
        <v>0</v>
      </c>
      <c r="D182" s="181">
        <f>+SUMIF('New Master-List'!$AH$3:$AH$9995,'By Industries (NBC)'!A182,'New Master-List'!$V$3:$V$9995)</f>
        <v>0</v>
      </c>
      <c r="E182" s="181">
        <f>+SUMIF('New Master-List'!$AH$199:$AH$9995,'By Industries (NBC)'!A182,'New Master-List'!$X$199:$X$9995)</f>
        <v>0</v>
      </c>
      <c r="G182" s="344">
        <f t="shared" si="8"/>
        <v>0</v>
      </c>
      <c r="H182" s="344">
        <f t="shared" si="9"/>
        <v>0</v>
      </c>
      <c r="I182" s="344">
        <f t="shared" si="10"/>
        <v>0</v>
      </c>
      <c r="J182" s="344">
        <f t="shared" si="11"/>
        <v>0</v>
      </c>
    </row>
    <row r="183" spans="1:14" ht="15.75">
      <c r="A183" s="193" t="s">
        <v>306</v>
      </c>
      <c r="B183" s="181">
        <f>+SUMIF('New Master-List'!$AH$3:$AH$9995,'By Industries (NBC)'!A183,'New Master-List'!$L$3:$L$9995)</f>
        <v>0</v>
      </c>
      <c r="C183" s="1555">
        <f>+SUMIF('New Master-List'!$AH$3:$AH$9995,'By Industries (NBC)'!A183,'New Master-List'!$M$3:$M$9995)+SUMIF('New Master-List'!$AH$3:$AH$9995,'By Industries (NBC)'!A183,'New Master-List'!$N$3:$N$9995)++SUMIF('New Master-List'!$AH$3:$AH$9995,'By Industries (NBC)'!A183,'New Master-List'!$O$3:$O$9995)</f>
        <v>0</v>
      </c>
      <c r="D183" s="181">
        <f>+SUMIF('New Master-List'!$AH$3:$AH$9995,'By Industries (NBC)'!A183,'New Master-List'!$V$3:$V$9995)</f>
        <v>0</v>
      </c>
      <c r="E183" s="181">
        <f>+SUMIF('New Master-List'!$AH$199:$AH$9995,'By Industries (NBC)'!A183,'New Master-List'!$X$199:$X$9995)</f>
        <v>0</v>
      </c>
      <c r="G183" s="344">
        <f t="shared" si="8"/>
        <v>0</v>
      </c>
      <c r="H183" s="344">
        <f t="shared" si="9"/>
        <v>0</v>
      </c>
      <c r="I183" s="344">
        <f t="shared" si="10"/>
        <v>0</v>
      </c>
      <c r="J183" s="344">
        <f t="shared" si="11"/>
        <v>0</v>
      </c>
    </row>
    <row r="184" spans="1:14" ht="15.75">
      <c r="A184" s="197" t="s">
        <v>141</v>
      </c>
      <c r="B184" s="181">
        <f>+SUMIF('New Master-List'!$AH$3:$AH$9995,'By Industries (NBC)'!A184,'New Master-List'!$L$3:$L$9995)</f>
        <v>0</v>
      </c>
      <c r="C184" s="1555">
        <f>+SUMIF('New Master-List'!$AH$3:$AH$9995,'By Industries (NBC)'!A184,'New Master-List'!$M$3:$M$9995)+SUMIF('New Master-List'!$AH$3:$AH$9995,'By Industries (NBC)'!A184,'New Master-List'!$N$3:$N$9995)++SUMIF('New Master-List'!$AH$3:$AH$9995,'By Industries (NBC)'!A184,'New Master-List'!$O$3:$O$9995)</f>
        <v>0</v>
      </c>
      <c r="D184" s="181">
        <f>+SUMIF('New Master-List'!$AH$3:$AH$9995,'By Industries (NBC)'!A184,'New Master-List'!$V$3:$V$9995)</f>
        <v>0</v>
      </c>
      <c r="E184" s="181">
        <f>+SUMIF('New Master-List'!$AH$199:$AH$9995,'By Industries (NBC)'!A184,'New Master-List'!$X$199:$X$9995)</f>
        <v>0</v>
      </c>
      <c r="G184" s="344">
        <f t="shared" si="8"/>
        <v>0</v>
      </c>
      <c r="H184" s="344">
        <f t="shared" si="9"/>
        <v>0</v>
      </c>
      <c r="I184" s="344">
        <f t="shared" si="10"/>
        <v>0</v>
      </c>
      <c r="J184" s="344">
        <f t="shared" si="11"/>
        <v>0</v>
      </c>
      <c r="K184" s="174"/>
      <c r="L184" s="174"/>
      <c r="M184" s="174"/>
      <c r="N184" s="174"/>
    </row>
    <row r="185" spans="1:14" ht="15.75">
      <c r="A185" s="193" t="s">
        <v>307</v>
      </c>
      <c r="B185" s="181">
        <f>+SUMIF('New Master-List'!$AH$3:$AH$9995,'By Industries (NBC)'!A185,'New Master-List'!$L$3:$L$9995)</f>
        <v>0</v>
      </c>
      <c r="C185" s="1555">
        <f>+SUMIF('New Master-List'!$AH$3:$AH$9995,'By Industries (NBC)'!A185,'New Master-List'!$M$3:$M$9995)+SUMIF('New Master-List'!$AH$3:$AH$9995,'By Industries (NBC)'!A185,'New Master-List'!$N$3:$N$9995)++SUMIF('New Master-List'!$AH$3:$AH$9995,'By Industries (NBC)'!A185,'New Master-List'!$O$3:$O$9995)</f>
        <v>0</v>
      </c>
      <c r="D185" s="181">
        <f>+SUMIF('New Master-List'!$AH$3:$AH$9995,'By Industries (NBC)'!A185,'New Master-List'!$V$3:$V$9995)</f>
        <v>0</v>
      </c>
      <c r="E185" s="181">
        <f>+SUMIF('New Master-List'!$AH$199:$AH$9995,'By Industries (NBC)'!A185,'New Master-List'!$X$199:$X$9995)</f>
        <v>0</v>
      </c>
      <c r="G185" s="344">
        <f t="shared" si="8"/>
        <v>0</v>
      </c>
      <c r="H185" s="344">
        <f t="shared" si="9"/>
        <v>0</v>
      </c>
      <c r="I185" s="344">
        <f t="shared" si="10"/>
        <v>0</v>
      </c>
      <c r="J185" s="344">
        <f t="shared" si="11"/>
        <v>0</v>
      </c>
    </row>
    <row r="186" spans="1:14" ht="15.75">
      <c r="A186" s="193" t="s">
        <v>308</v>
      </c>
      <c r="B186" s="181">
        <f>+SUMIF('New Master-List'!$AH$3:$AH$9995,'By Industries (NBC)'!A186,'New Master-List'!$L$3:$L$9995)</f>
        <v>0</v>
      </c>
      <c r="C186" s="1555">
        <f>+SUMIF('New Master-List'!$AH$3:$AH$9995,'By Industries (NBC)'!A186,'New Master-List'!$M$3:$M$9995)+SUMIF('New Master-List'!$AH$3:$AH$9995,'By Industries (NBC)'!A186,'New Master-List'!$N$3:$N$9995)++SUMIF('New Master-List'!$AH$3:$AH$9995,'By Industries (NBC)'!A186,'New Master-List'!$O$3:$O$9995)</f>
        <v>0</v>
      </c>
      <c r="D186" s="181">
        <f>+SUMIF('New Master-List'!$AH$3:$AH$9995,'By Industries (NBC)'!A186,'New Master-List'!$V$3:$V$9995)</f>
        <v>0</v>
      </c>
      <c r="E186" s="181">
        <f>+SUMIF('New Master-List'!$AH$199:$AH$9995,'By Industries (NBC)'!A186,'New Master-List'!$X$199:$X$9995)</f>
        <v>0</v>
      </c>
      <c r="G186" s="344">
        <f t="shared" ref="G186:G249" si="12">ROUND((B186*$J$1)/1000000,2)</f>
        <v>0</v>
      </c>
      <c r="H186" s="344">
        <f t="shared" ref="H186:H249" si="13">ROUND((C186*$J$1)/1000000,2)</f>
        <v>0</v>
      </c>
      <c r="I186" s="344">
        <f t="shared" si="10"/>
        <v>0</v>
      </c>
      <c r="J186" s="344">
        <f t="shared" si="11"/>
        <v>0</v>
      </c>
    </row>
    <row r="187" spans="1:14" ht="15.75">
      <c r="A187" s="193" t="s">
        <v>309</v>
      </c>
      <c r="B187" s="181">
        <f>+SUMIF('New Master-List'!$AH$3:$AH$9995,'By Industries (NBC)'!A187,'New Master-List'!$L$3:$L$9995)</f>
        <v>0</v>
      </c>
      <c r="C187" s="1555">
        <f>+SUMIF('New Master-List'!$AH$3:$AH$9995,'By Industries (NBC)'!A187,'New Master-List'!$M$3:$M$9995)+SUMIF('New Master-List'!$AH$3:$AH$9995,'By Industries (NBC)'!A187,'New Master-List'!$N$3:$N$9995)++SUMIF('New Master-List'!$AH$3:$AH$9995,'By Industries (NBC)'!A187,'New Master-List'!$O$3:$O$9995)</f>
        <v>0</v>
      </c>
      <c r="D187" s="181">
        <f>+SUMIF('New Master-List'!$AH$3:$AH$9995,'By Industries (NBC)'!A187,'New Master-List'!$V$3:$V$9995)</f>
        <v>0</v>
      </c>
      <c r="E187" s="181">
        <f>+SUMIF('New Master-List'!$AH$199:$AH$9995,'By Industries (NBC)'!A187,'New Master-List'!$X$199:$X$9995)</f>
        <v>0</v>
      </c>
      <c r="G187" s="344">
        <f t="shared" si="12"/>
        <v>0</v>
      </c>
      <c r="H187" s="344">
        <f t="shared" si="13"/>
        <v>0</v>
      </c>
      <c r="I187" s="344">
        <f t="shared" si="10"/>
        <v>0</v>
      </c>
      <c r="J187" s="344">
        <f t="shared" si="11"/>
        <v>0</v>
      </c>
    </row>
    <row r="188" spans="1:14" ht="15.75">
      <c r="A188" s="193" t="s">
        <v>310</v>
      </c>
      <c r="B188" s="181">
        <f>+SUMIF('New Master-List'!$AH$3:$AH$9995,'By Industries (NBC)'!A188,'New Master-List'!$L$3:$L$9995)</f>
        <v>50000</v>
      </c>
      <c r="C188" s="1555">
        <f>+SUMIF('New Master-List'!$AH$3:$AH$9995,'By Industries (NBC)'!A188,'New Master-List'!$M$3:$M$9995)+SUMIF('New Master-List'!$AH$3:$AH$9995,'By Industries (NBC)'!A188,'New Master-List'!$N$3:$N$9995)++SUMIF('New Master-List'!$AH$3:$AH$9995,'By Industries (NBC)'!A188,'New Master-List'!$O$3:$O$9995)</f>
        <v>33421.97</v>
      </c>
      <c r="D188" s="181">
        <f>+SUMIF('New Master-List'!$AH$3:$AH$9995,'By Industries (NBC)'!A188,'New Master-List'!$V$3:$V$9995)</f>
        <v>22.16</v>
      </c>
      <c r="E188" s="181">
        <f>+SUMIF('New Master-List'!$AH$199:$AH$9995,'By Industries (NBC)'!A188,'New Master-List'!$X$199:$X$9995)</f>
        <v>0</v>
      </c>
      <c r="G188" s="344">
        <f t="shared" si="12"/>
        <v>203.45</v>
      </c>
      <c r="H188" s="344">
        <f t="shared" si="13"/>
        <v>135.99</v>
      </c>
      <c r="I188" s="344">
        <f t="shared" si="10"/>
        <v>0.09</v>
      </c>
      <c r="J188" s="344">
        <f t="shared" si="11"/>
        <v>0</v>
      </c>
    </row>
    <row r="189" spans="1:14" ht="15.75">
      <c r="A189" s="197" t="s">
        <v>142</v>
      </c>
      <c r="B189" s="181">
        <f>+SUMIF('New Master-List'!$AH$3:$AH$9995,'By Industries (NBC)'!A189,'New Master-List'!$L$3:$L$9995)</f>
        <v>0</v>
      </c>
      <c r="C189" s="1555">
        <f>+SUMIF('New Master-List'!$AH$3:$AH$9995,'By Industries (NBC)'!A189,'New Master-List'!$M$3:$M$9995)+SUMIF('New Master-List'!$AH$3:$AH$9995,'By Industries (NBC)'!A189,'New Master-List'!$N$3:$N$9995)++SUMIF('New Master-List'!$AH$3:$AH$9995,'By Industries (NBC)'!A189,'New Master-List'!$O$3:$O$9995)</f>
        <v>0</v>
      </c>
      <c r="D189" s="181">
        <f>+SUMIF('New Master-List'!$AH$3:$AH$9995,'By Industries (NBC)'!A189,'New Master-List'!$V$3:$V$9995)</f>
        <v>0</v>
      </c>
      <c r="E189" s="181">
        <f>+SUMIF('New Master-List'!$AH$199:$AH$9995,'By Industries (NBC)'!A189,'New Master-List'!$X$199:$X$9995)</f>
        <v>0</v>
      </c>
      <c r="G189" s="344">
        <f t="shared" si="12"/>
        <v>0</v>
      </c>
      <c r="H189" s="344">
        <f t="shared" si="13"/>
        <v>0</v>
      </c>
      <c r="I189" s="344">
        <f t="shared" si="10"/>
        <v>0</v>
      </c>
      <c r="J189" s="344">
        <f t="shared" si="11"/>
        <v>0</v>
      </c>
      <c r="K189" s="174"/>
      <c r="L189" s="174"/>
      <c r="M189" s="174"/>
      <c r="N189" s="174"/>
    </row>
    <row r="190" spans="1:14" ht="15.75">
      <c r="A190" s="193" t="s">
        <v>311</v>
      </c>
      <c r="B190" s="181">
        <f>+SUMIF('New Master-List'!$AH$3:$AH$9995,'By Industries (NBC)'!A190,'New Master-List'!$L$3:$L$9995)</f>
        <v>0</v>
      </c>
      <c r="C190" s="1555">
        <f>+SUMIF('New Master-List'!$AH$3:$AH$9995,'By Industries (NBC)'!A190,'New Master-List'!$M$3:$M$9995)+SUMIF('New Master-List'!$AH$3:$AH$9995,'By Industries (NBC)'!A190,'New Master-List'!$N$3:$N$9995)++SUMIF('New Master-List'!$AH$3:$AH$9995,'By Industries (NBC)'!A190,'New Master-List'!$O$3:$O$9995)</f>
        <v>0</v>
      </c>
      <c r="D190" s="181">
        <f>+SUMIF('New Master-List'!$AH$3:$AH$9995,'By Industries (NBC)'!A190,'New Master-List'!$V$3:$V$9995)</f>
        <v>0</v>
      </c>
      <c r="E190" s="181">
        <f>+SUMIF('New Master-List'!$AH$199:$AH$9995,'By Industries (NBC)'!A190,'New Master-List'!$X$199:$X$9995)</f>
        <v>0</v>
      </c>
      <c r="G190" s="344">
        <f t="shared" si="12"/>
        <v>0</v>
      </c>
      <c r="H190" s="344">
        <f t="shared" si="13"/>
        <v>0</v>
      </c>
      <c r="I190" s="344">
        <f t="shared" si="10"/>
        <v>0</v>
      </c>
      <c r="J190" s="344">
        <f t="shared" si="11"/>
        <v>0</v>
      </c>
    </row>
    <row r="191" spans="1:14" ht="15.75">
      <c r="A191" s="193" t="s">
        <v>312</v>
      </c>
      <c r="B191" s="181">
        <f>+SUMIF('New Master-List'!$AH$3:$AH$9995,'By Industries (NBC)'!A191,'New Master-List'!$L$3:$L$9995)</f>
        <v>0</v>
      </c>
      <c r="C191" s="1555">
        <f>+SUMIF('New Master-List'!$AH$3:$AH$9995,'By Industries (NBC)'!A191,'New Master-List'!$M$3:$M$9995)+SUMIF('New Master-List'!$AH$3:$AH$9995,'By Industries (NBC)'!A191,'New Master-List'!$N$3:$N$9995)++SUMIF('New Master-List'!$AH$3:$AH$9995,'By Industries (NBC)'!A191,'New Master-List'!$O$3:$O$9995)</f>
        <v>0</v>
      </c>
      <c r="D191" s="181">
        <f>+SUMIF('New Master-List'!$AH$3:$AH$9995,'By Industries (NBC)'!A191,'New Master-List'!$V$3:$V$9995)</f>
        <v>0</v>
      </c>
      <c r="E191" s="181">
        <f>+SUMIF('New Master-List'!$AH$199:$AH$9995,'By Industries (NBC)'!A191,'New Master-List'!$X$199:$X$9995)</f>
        <v>0</v>
      </c>
      <c r="G191" s="344">
        <f t="shared" si="12"/>
        <v>0</v>
      </c>
      <c r="H191" s="344">
        <f t="shared" si="13"/>
        <v>0</v>
      </c>
      <c r="I191" s="344">
        <f t="shared" si="10"/>
        <v>0</v>
      </c>
      <c r="J191" s="344">
        <f t="shared" si="11"/>
        <v>0</v>
      </c>
    </row>
    <row r="192" spans="1:14" ht="15.75">
      <c r="A192" s="193" t="s">
        <v>313</v>
      </c>
      <c r="B192" s="181">
        <f>+SUMIF('New Master-List'!$AH$3:$AH$9995,'By Industries (NBC)'!A192,'New Master-List'!$L$3:$L$9995)</f>
        <v>0</v>
      </c>
      <c r="C192" s="1555">
        <f>+SUMIF('New Master-List'!$AH$3:$AH$9995,'By Industries (NBC)'!A192,'New Master-List'!$M$3:$M$9995)+SUMIF('New Master-List'!$AH$3:$AH$9995,'By Industries (NBC)'!A192,'New Master-List'!$N$3:$N$9995)++SUMIF('New Master-List'!$AH$3:$AH$9995,'By Industries (NBC)'!A192,'New Master-List'!$O$3:$O$9995)</f>
        <v>0</v>
      </c>
      <c r="D192" s="181">
        <f>+SUMIF('New Master-List'!$AH$3:$AH$9995,'By Industries (NBC)'!A192,'New Master-List'!$V$3:$V$9995)</f>
        <v>0</v>
      </c>
      <c r="E192" s="181">
        <f>+SUMIF('New Master-List'!$AH$199:$AH$9995,'By Industries (NBC)'!A192,'New Master-List'!$X$199:$X$9995)</f>
        <v>0</v>
      </c>
      <c r="G192" s="344">
        <f t="shared" si="12"/>
        <v>0</v>
      </c>
      <c r="H192" s="344">
        <f t="shared" si="13"/>
        <v>0</v>
      </c>
      <c r="I192" s="344">
        <f t="shared" si="10"/>
        <v>0</v>
      </c>
      <c r="J192" s="344">
        <f t="shared" si="11"/>
        <v>0</v>
      </c>
    </row>
    <row r="193" spans="1:14" ht="15.75">
      <c r="A193" s="193" t="s">
        <v>314</v>
      </c>
      <c r="B193" s="181">
        <f>+SUMIF('New Master-List'!$AH$3:$AH$9995,'By Industries (NBC)'!A193,'New Master-List'!$L$3:$L$9995)</f>
        <v>50000</v>
      </c>
      <c r="C193" s="1555">
        <f>+SUMIF('New Master-List'!$AH$3:$AH$9995,'By Industries (NBC)'!A193,'New Master-List'!$M$3:$M$9995)+SUMIF('New Master-List'!$AH$3:$AH$9995,'By Industries (NBC)'!A193,'New Master-List'!$N$3:$N$9995)++SUMIF('New Master-List'!$AH$3:$AH$9995,'By Industries (NBC)'!A193,'New Master-List'!$O$3:$O$9995)</f>
        <v>48399.07</v>
      </c>
      <c r="D193" s="181">
        <f>+SUMIF('New Master-List'!$AH$3:$AH$9995,'By Industries (NBC)'!A193,'New Master-List'!$V$3:$V$9995)</f>
        <v>0</v>
      </c>
      <c r="E193" s="181">
        <f>+SUMIF('New Master-List'!$AH$199:$AH$9995,'By Industries (NBC)'!A193,'New Master-List'!$X$199:$X$9995)</f>
        <v>0</v>
      </c>
      <c r="G193" s="344">
        <f t="shared" si="12"/>
        <v>203.45</v>
      </c>
      <c r="H193" s="344">
        <f t="shared" si="13"/>
        <v>196.94</v>
      </c>
      <c r="I193" s="344">
        <f t="shared" si="10"/>
        <v>0</v>
      </c>
      <c r="J193" s="344">
        <f t="shared" si="11"/>
        <v>0</v>
      </c>
    </row>
    <row r="194" spans="1:14" ht="15.75">
      <c r="A194" s="197" t="s">
        <v>143</v>
      </c>
      <c r="B194" s="181">
        <f>+SUMIF('New Master-List'!$AH$3:$AH$9995,'By Industries (NBC)'!A194,'New Master-List'!$L$3:$L$9995)</f>
        <v>0</v>
      </c>
      <c r="C194" s="1555">
        <f>+SUMIF('New Master-List'!$AH$3:$AH$9995,'By Industries (NBC)'!A194,'New Master-List'!$M$3:$M$9995)+SUMIF('New Master-List'!$AH$3:$AH$9995,'By Industries (NBC)'!A194,'New Master-List'!$N$3:$N$9995)++SUMIF('New Master-List'!$AH$3:$AH$9995,'By Industries (NBC)'!A194,'New Master-List'!$O$3:$O$9995)</f>
        <v>0</v>
      </c>
      <c r="D194" s="181">
        <f>+SUMIF('New Master-List'!$AH$3:$AH$9995,'By Industries (NBC)'!A194,'New Master-List'!$V$3:$V$9995)</f>
        <v>0</v>
      </c>
      <c r="E194" s="181">
        <f>+SUMIF('New Master-List'!$AH$199:$AH$9995,'By Industries (NBC)'!A194,'New Master-List'!$X$199:$X$9995)</f>
        <v>0</v>
      </c>
      <c r="G194" s="344">
        <f t="shared" si="12"/>
        <v>0</v>
      </c>
      <c r="H194" s="344">
        <f t="shared" si="13"/>
        <v>0</v>
      </c>
      <c r="I194" s="344">
        <f t="shared" si="10"/>
        <v>0</v>
      </c>
      <c r="J194" s="344">
        <f t="shared" si="11"/>
        <v>0</v>
      </c>
      <c r="K194" s="174"/>
      <c r="L194" s="174"/>
      <c r="M194" s="174"/>
      <c r="N194" s="174"/>
    </row>
    <row r="195" spans="1:14" ht="15.75">
      <c r="A195" s="193" t="s">
        <v>315</v>
      </c>
      <c r="B195" s="181">
        <f>+SUMIF('New Master-List'!$AH$3:$AH$9995,'By Industries (NBC)'!A195,'New Master-List'!$L$3:$L$9995)</f>
        <v>0</v>
      </c>
      <c r="C195" s="1555">
        <f>+SUMIF('New Master-List'!$AH$3:$AH$9995,'By Industries (NBC)'!A195,'New Master-List'!$M$3:$M$9995)+SUMIF('New Master-List'!$AH$3:$AH$9995,'By Industries (NBC)'!A195,'New Master-List'!$N$3:$N$9995)++SUMIF('New Master-List'!$AH$3:$AH$9995,'By Industries (NBC)'!A195,'New Master-List'!$O$3:$O$9995)</f>
        <v>0</v>
      </c>
      <c r="D195" s="181">
        <f>+SUMIF('New Master-List'!$AH$3:$AH$9995,'By Industries (NBC)'!A195,'New Master-List'!$V$3:$V$9995)</f>
        <v>0</v>
      </c>
      <c r="E195" s="181">
        <f>+SUMIF('New Master-List'!$AH$199:$AH$9995,'By Industries (NBC)'!A195,'New Master-List'!$X$199:$X$9995)</f>
        <v>0</v>
      </c>
      <c r="G195" s="344">
        <f t="shared" si="12"/>
        <v>0</v>
      </c>
      <c r="H195" s="344">
        <f t="shared" si="13"/>
        <v>0</v>
      </c>
      <c r="I195" s="344">
        <f t="shared" si="10"/>
        <v>0</v>
      </c>
      <c r="J195" s="344">
        <f t="shared" si="11"/>
        <v>0</v>
      </c>
    </row>
    <row r="196" spans="1:14" ht="15.75">
      <c r="A196" s="193" t="s">
        <v>316</v>
      </c>
      <c r="B196" s="181">
        <f>+SUMIF('New Master-List'!$AH$3:$AH$9995,'By Industries (NBC)'!A196,'New Master-List'!$L$3:$L$9995)</f>
        <v>0</v>
      </c>
      <c r="C196" s="1555">
        <f>+SUMIF('New Master-List'!$AH$3:$AH$9995,'By Industries (NBC)'!A196,'New Master-List'!$M$3:$M$9995)+SUMIF('New Master-List'!$AH$3:$AH$9995,'By Industries (NBC)'!A196,'New Master-List'!$N$3:$N$9995)++SUMIF('New Master-List'!$AH$3:$AH$9995,'By Industries (NBC)'!A196,'New Master-List'!$O$3:$O$9995)</f>
        <v>0</v>
      </c>
      <c r="D196" s="181">
        <f>+SUMIF('New Master-List'!$AH$3:$AH$9995,'By Industries (NBC)'!A196,'New Master-List'!$V$3:$V$9995)</f>
        <v>0</v>
      </c>
      <c r="E196" s="181">
        <f>+SUMIF('New Master-List'!$AH$199:$AH$9995,'By Industries (NBC)'!A196,'New Master-List'!$X$199:$X$9995)</f>
        <v>0</v>
      </c>
      <c r="G196" s="344">
        <f t="shared" si="12"/>
        <v>0</v>
      </c>
      <c r="H196" s="344">
        <f t="shared" si="13"/>
        <v>0</v>
      </c>
      <c r="I196" s="344">
        <f t="shared" si="10"/>
        <v>0</v>
      </c>
      <c r="J196" s="344">
        <f t="shared" si="11"/>
        <v>0</v>
      </c>
    </row>
    <row r="197" spans="1:14" ht="15.75">
      <c r="A197" s="193" t="s">
        <v>317</v>
      </c>
      <c r="B197" s="181">
        <f>+SUMIF('New Master-List'!$AH$3:$AH$9995,'By Industries (NBC)'!A197,'New Master-List'!$L$3:$L$9995)</f>
        <v>0</v>
      </c>
      <c r="C197" s="1555">
        <f>+SUMIF('New Master-List'!$AH$3:$AH$9995,'By Industries (NBC)'!A197,'New Master-List'!$M$3:$M$9995)+SUMIF('New Master-List'!$AH$3:$AH$9995,'By Industries (NBC)'!A197,'New Master-List'!$N$3:$N$9995)++SUMIF('New Master-List'!$AH$3:$AH$9995,'By Industries (NBC)'!A197,'New Master-List'!$O$3:$O$9995)</f>
        <v>0</v>
      </c>
      <c r="D197" s="181">
        <f>+SUMIF('New Master-List'!$AH$3:$AH$9995,'By Industries (NBC)'!A197,'New Master-List'!$V$3:$V$9995)</f>
        <v>0</v>
      </c>
      <c r="E197" s="181">
        <f>+SUMIF('New Master-List'!$AH$199:$AH$9995,'By Industries (NBC)'!A197,'New Master-List'!$X$199:$X$9995)</f>
        <v>0</v>
      </c>
      <c r="G197" s="344">
        <f t="shared" si="12"/>
        <v>0</v>
      </c>
      <c r="H197" s="344">
        <f t="shared" si="13"/>
        <v>0</v>
      </c>
      <c r="I197" s="344">
        <f t="shared" ref="I197:I260" si="14">ROUND((D197*$J$1)/1000000,2)</f>
        <v>0</v>
      </c>
      <c r="J197" s="344">
        <f t="shared" ref="J197:J260" si="15">ROUND((E197*$J$1)/1000000,2)</f>
        <v>0</v>
      </c>
    </row>
    <row r="198" spans="1:14" ht="15.75">
      <c r="A198" s="193" t="s">
        <v>318</v>
      </c>
      <c r="B198" s="181">
        <f>+SUMIF('New Master-List'!$AH$3:$AH$9995,'By Industries (NBC)'!A198,'New Master-List'!$L$3:$L$9995)</f>
        <v>0</v>
      </c>
      <c r="C198" s="1555">
        <f>+SUMIF('New Master-List'!$AH$3:$AH$9995,'By Industries (NBC)'!A198,'New Master-List'!$M$3:$M$9995)+SUMIF('New Master-List'!$AH$3:$AH$9995,'By Industries (NBC)'!A198,'New Master-List'!$N$3:$N$9995)++SUMIF('New Master-List'!$AH$3:$AH$9995,'By Industries (NBC)'!A198,'New Master-List'!$O$3:$O$9995)</f>
        <v>0</v>
      </c>
      <c r="D198" s="181">
        <f>+SUMIF('New Master-List'!$AH$3:$AH$9995,'By Industries (NBC)'!A198,'New Master-List'!$V$3:$V$9995)</f>
        <v>0</v>
      </c>
      <c r="E198" s="181">
        <f>+SUMIF('New Master-List'!$AH$199:$AH$9995,'By Industries (NBC)'!A198,'New Master-List'!$X$199:$X$9995)</f>
        <v>0</v>
      </c>
      <c r="G198" s="344">
        <f t="shared" si="12"/>
        <v>0</v>
      </c>
      <c r="H198" s="344">
        <f t="shared" si="13"/>
        <v>0</v>
      </c>
      <c r="I198" s="344">
        <f t="shared" si="14"/>
        <v>0</v>
      </c>
      <c r="J198" s="344">
        <f t="shared" si="15"/>
        <v>0</v>
      </c>
    </row>
    <row r="199" spans="1:14" ht="15.75">
      <c r="A199" s="197" t="s">
        <v>144</v>
      </c>
      <c r="B199" s="181">
        <f>+SUMIF('New Master-List'!$AH$3:$AH$9995,'By Industries (NBC)'!A199,'New Master-List'!$L$3:$L$9995)</f>
        <v>0</v>
      </c>
      <c r="C199" s="1555">
        <f>+SUMIF('New Master-List'!$AH$3:$AH$9995,'By Industries (NBC)'!A199,'New Master-List'!$M$3:$M$9995)+SUMIF('New Master-List'!$AH$3:$AH$9995,'By Industries (NBC)'!A199,'New Master-List'!$N$3:$N$9995)++SUMIF('New Master-List'!$AH$3:$AH$9995,'By Industries (NBC)'!A199,'New Master-List'!$O$3:$O$9995)</f>
        <v>0</v>
      </c>
      <c r="D199" s="181">
        <f>+SUMIF('New Master-List'!$AH$3:$AH$9995,'By Industries (NBC)'!A199,'New Master-List'!$V$3:$V$9995)</f>
        <v>0</v>
      </c>
      <c r="E199" s="181">
        <f>+SUMIF('New Master-List'!$AH$199:$AH$9995,'By Industries (NBC)'!A199,'New Master-List'!$X$199:$X$9995)</f>
        <v>0</v>
      </c>
      <c r="G199" s="344">
        <f t="shared" si="12"/>
        <v>0</v>
      </c>
      <c r="H199" s="344">
        <f t="shared" si="13"/>
        <v>0</v>
      </c>
      <c r="I199" s="344">
        <f t="shared" si="14"/>
        <v>0</v>
      </c>
      <c r="J199" s="344">
        <f t="shared" si="15"/>
        <v>0</v>
      </c>
      <c r="K199" s="174"/>
      <c r="L199" s="174"/>
      <c r="M199" s="174"/>
      <c r="N199" s="174"/>
    </row>
    <row r="200" spans="1:14" ht="15.75">
      <c r="A200" s="193" t="s">
        <v>320</v>
      </c>
      <c r="B200" s="181">
        <f>+SUMIF('New Master-List'!$AH$3:$AH$9995,'By Industries (NBC)'!A200,'New Master-List'!$L$3:$L$9995)</f>
        <v>0</v>
      </c>
      <c r="C200" s="1555">
        <f>+SUMIF('New Master-List'!$AH$3:$AH$9995,'By Industries (NBC)'!A200,'New Master-List'!$M$3:$M$9995)+SUMIF('New Master-List'!$AH$3:$AH$9995,'By Industries (NBC)'!A200,'New Master-List'!$N$3:$N$9995)++SUMIF('New Master-List'!$AH$3:$AH$9995,'By Industries (NBC)'!A200,'New Master-List'!$O$3:$O$9995)</f>
        <v>0</v>
      </c>
      <c r="D200" s="181">
        <f>+SUMIF('New Master-List'!$AH$3:$AH$9995,'By Industries (NBC)'!A200,'New Master-List'!$V$3:$V$9995)</f>
        <v>0</v>
      </c>
      <c r="E200" s="181">
        <f>+SUMIF('New Master-List'!$AH$199:$AH$9995,'By Industries (NBC)'!A200,'New Master-List'!$X$199:$X$9995)</f>
        <v>0</v>
      </c>
      <c r="G200" s="344">
        <f t="shared" si="12"/>
        <v>0</v>
      </c>
      <c r="H200" s="344">
        <f t="shared" si="13"/>
        <v>0</v>
      </c>
      <c r="I200" s="344">
        <f t="shared" si="14"/>
        <v>0</v>
      </c>
      <c r="J200" s="344">
        <f t="shared" si="15"/>
        <v>0</v>
      </c>
    </row>
    <row r="201" spans="1:14" ht="15.75">
      <c r="A201" s="193" t="s">
        <v>321</v>
      </c>
      <c r="B201" s="181">
        <f>+SUMIF('New Master-List'!$AH$3:$AH$9995,'By Industries (NBC)'!A201,'New Master-List'!$L$3:$L$9995)</f>
        <v>0</v>
      </c>
      <c r="C201" s="1555">
        <f>+SUMIF('New Master-List'!$AH$3:$AH$9995,'By Industries (NBC)'!A201,'New Master-List'!$M$3:$M$9995)+SUMIF('New Master-List'!$AH$3:$AH$9995,'By Industries (NBC)'!A201,'New Master-List'!$N$3:$N$9995)++SUMIF('New Master-List'!$AH$3:$AH$9995,'By Industries (NBC)'!A201,'New Master-List'!$O$3:$O$9995)</f>
        <v>0</v>
      </c>
      <c r="D201" s="181">
        <f>+SUMIF('New Master-List'!$AH$3:$AH$9995,'By Industries (NBC)'!A201,'New Master-List'!$V$3:$V$9995)</f>
        <v>0</v>
      </c>
      <c r="E201" s="181">
        <f>+SUMIF('New Master-List'!$AH$199:$AH$9995,'By Industries (NBC)'!A201,'New Master-List'!$X$199:$X$9995)</f>
        <v>0</v>
      </c>
      <c r="G201" s="344">
        <f t="shared" si="12"/>
        <v>0</v>
      </c>
      <c r="H201" s="344">
        <f t="shared" si="13"/>
        <v>0</v>
      </c>
      <c r="I201" s="344">
        <f t="shared" si="14"/>
        <v>0</v>
      </c>
      <c r="J201" s="344">
        <f t="shared" si="15"/>
        <v>0</v>
      </c>
    </row>
    <row r="202" spans="1:14" ht="15.75">
      <c r="A202" s="193" t="s">
        <v>322</v>
      </c>
      <c r="B202" s="181">
        <f>+SUMIF('New Master-List'!$AH$3:$AH$9995,'By Industries (NBC)'!A202,'New Master-List'!$L$3:$L$9995)</f>
        <v>0</v>
      </c>
      <c r="C202" s="1555">
        <f>+SUMIF('New Master-List'!$AH$3:$AH$9995,'By Industries (NBC)'!A202,'New Master-List'!$M$3:$M$9995)+SUMIF('New Master-List'!$AH$3:$AH$9995,'By Industries (NBC)'!A202,'New Master-List'!$N$3:$N$9995)++SUMIF('New Master-List'!$AH$3:$AH$9995,'By Industries (NBC)'!A202,'New Master-List'!$O$3:$O$9995)</f>
        <v>0</v>
      </c>
      <c r="D202" s="181">
        <f>+SUMIF('New Master-List'!$AH$3:$AH$9995,'By Industries (NBC)'!A202,'New Master-List'!$V$3:$V$9995)</f>
        <v>0</v>
      </c>
      <c r="E202" s="181">
        <f>+SUMIF('New Master-List'!$AH$199:$AH$9995,'By Industries (NBC)'!A202,'New Master-List'!$X$199:$X$9995)</f>
        <v>0</v>
      </c>
      <c r="G202" s="344">
        <f t="shared" si="12"/>
        <v>0</v>
      </c>
      <c r="H202" s="344">
        <f t="shared" si="13"/>
        <v>0</v>
      </c>
      <c r="I202" s="344">
        <f t="shared" si="14"/>
        <v>0</v>
      </c>
      <c r="J202" s="344">
        <f t="shared" si="15"/>
        <v>0</v>
      </c>
    </row>
    <row r="203" spans="1:14" ht="15.75">
      <c r="A203" s="193" t="s">
        <v>319</v>
      </c>
      <c r="B203" s="181">
        <f>+SUMIF('New Master-List'!$AH$3:$AH$9995,'By Industries (NBC)'!A203,'New Master-List'!$L$3:$L$9995)</f>
        <v>0</v>
      </c>
      <c r="C203" s="1555">
        <f>+SUMIF('New Master-List'!$AH$3:$AH$9995,'By Industries (NBC)'!A203,'New Master-List'!$M$3:$M$9995)+SUMIF('New Master-List'!$AH$3:$AH$9995,'By Industries (NBC)'!A203,'New Master-List'!$N$3:$N$9995)++SUMIF('New Master-List'!$AH$3:$AH$9995,'By Industries (NBC)'!A203,'New Master-List'!$O$3:$O$9995)</f>
        <v>0</v>
      </c>
      <c r="D203" s="181">
        <f>+SUMIF('New Master-List'!$AH$3:$AH$9995,'By Industries (NBC)'!A203,'New Master-List'!$V$3:$V$9995)</f>
        <v>0</v>
      </c>
      <c r="E203" s="181">
        <f>+SUMIF('New Master-List'!$AH$199:$AH$9995,'By Industries (NBC)'!A203,'New Master-List'!$X$199:$X$9995)</f>
        <v>0</v>
      </c>
      <c r="G203" s="344">
        <f t="shared" si="12"/>
        <v>0</v>
      </c>
      <c r="H203" s="344">
        <f t="shared" si="13"/>
        <v>0</v>
      </c>
      <c r="I203" s="344">
        <f t="shared" si="14"/>
        <v>0</v>
      </c>
      <c r="J203" s="344">
        <f t="shared" si="15"/>
        <v>0</v>
      </c>
    </row>
    <row r="204" spans="1:14" ht="15.75">
      <c r="A204" s="188" t="s">
        <v>145</v>
      </c>
      <c r="B204" s="181">
        <f>+SUMIF('New Master-List'!$AH$3:$AH$9995,'By Industries (NBC)'!A204,'New Master-List'!$L$3:$L$9995)</f>
        <v>0</v>
      </c>
      <c r="C204" s="1555">
        <f>+SUMIF('New Master-List'!$AH$3:$AH$9995,'By Industries (NBC)'!A204,'New Master-List'!$M$3:$M$9995)+SUMIF('New Master-List'!$AH$3:$AH$9995,'By Industries (NBC)'!A204,'New Master-List'!$N$3:$N$9995)++SUMIF('New Master-List'!$AH$3:$AH$9995,'By Industries (NBC)'!A204,'New Master-List'!$O$3:$O$9995)</f>
        <v>0</v>
      </c>
      <c r="D204" s="181">
        <f>+SUMIF('New Master-List'!$AH$3:$AH$9995,'By Industries (NBC)'!A204,'New Master-List'!$V$3:$V$9995)</f>
        <v>0</v>
      </c>
      <c r="E204" s="181">
        <f>+SUMIF('New Master-List'!$AH$199:$AH$9995,'By Industries (NBC)'!A204,'New Master-List'!$X$199:$X$9995)</f>
        <v>0</v>
      </c>
      <c r="G204" s="344">
        <f t="shared" si="12"/>
        <v>0</v>
      </c>
      <c r="H204" s="344">
        <f t="shared" si="13"/>
        <v>0</v>
      </c>
      <c r="I204" s="344">
        <f t="shared" si="14"/>
        <v>0</v>
      </c>
      <c r="J204" s="344">
        <f t="shared" si="15"/>
        <v>0</v>
      </c>
      <c r="K204" s="174"/>
      <c r="L204" s="174"/>
      <c r="M204" s="174"/>
      <c r="N204" s="174"/>
    </row>
    <row r="205" spans="1:14" ht="15.75">
      <c r="A205" s="186" t="s">
        <v>323</v>
      </c>
      <c r="B205" s="181">
        <f>+SUMIF('New Master-List'!$AH$3:$AH$9995,'By Industries (NBC)'!A205,'New Master-List'!$L$3:$L$9995)</f>
        <v>0</v>
      </c>
      <c r="C205" s="1555">
        <f>+SUMIF('New Master-List'!$AH$3:$AH$9995,'By Industries (NBC)'!A205,'New Master-List'!$M$3:$M$9995)+SUMIF('New Master-List'!$AH$3:$AH$9995,'By Industries (NBC)'!A205,'New Master-List'!$N$3:$N$9995)++SUMIF('New Master-List'!$AH$3:$AH$9995,'By Industries (NBC)'!A205,'New Master-List'!$O$3:$O$9995)</f>
        <v>0</v>
      </c>
      <c r="D205" s="181">
        <f>+SUMIF('New Master-List'!$AH$3:$AH$9995,'By Industries (NBC)'!A205,'New Master-List'!$V$3:$V$9995)</f>
        <v>0</v>
      </c>
      <c r="E205" s="181">
        <f>+SUMIF('New Master-List'!$AH$199:$AH$9995,'By Industries (NBC)'!A205,'New Master-List'!$X$199:$X$9995)</f>
        <v>0</v>
      </c>
      <c r="G205" s="344">
        <f t="shared" si="12"/>
        <v>0</v>
      </c>
      <c r="H205" s="344">
        <f t="shared" si="13"/>
        <v>0</v>
      </c>
      <c r="I205" s="344">
        <f t="shared" si="14"/>
        <v>0</v>
      </c>
      <c r="J205" s="344">
        <f t="shared" si="15"/>
        <v>0</v>
      </c>
    </row>
    <row r="206" spans="1:14" ht="15.75">
      <c r="A206" s="186" t="s">
        <v>324</v>
      </c>
      <c r="B206" s="181">
        <f>+SUMIF('New Master-List'!$AH$3:$AH$9995,'By Industries (NBC)'!A206,'New Master-List'!$L$3:$L$9995)</f>
        <v>0</v>
      </c>
      <c r="C206" s="1555">
        <f>+SUMIF('New Master-List'!$AH$3:$AH$9995,'By Industries (NBC)'!A206,'New Master-List'!$M$3:$M$9995)+SUMIF('New Master-List'!$AH$3:$AH$9995,'By Industries (NBC)'!A206,'New Master-List'!$N$3:$N$9995)++SUMIF('New Master-List'!$AH$3:$AH$9995,'By Industries (NBC)'!A206,'New Master-List'!$O$3:$O$9995)</f>
        <v>0</v>
      </c>
      <c r="D206" s="181">
        <f>+SUMIF('New Master-List'!$AH$3:$AH$9995,'By Industries (NBC)'!A206,'New Master-List'!$V$3:$V$9995)</f>
        <v>0</v>
      </c>
      <c r="E206" s="181">
        <f>+SUMIF('New Master-List'!$AH$199:$AH$9995,'By Industries (NBC)'!A206,'New Master-List'!$X$199:$X$9995)</f>
        <v>0</v>
      </c>
      <c r="G206" s="344">
        <f t="shared" si="12"/>
        <v>0</v>
      </c>
      <c r="H206" s="344">
        <f t="shared" si="13"/>
        <v>0</v>
      </c>
      <c r="I206" s="344">
        <f t="shared" si="14"/>
        <v>0</v>
      </c>
      <c r="J206" s="344">
        <f t="shared" si="15"/>
        <v>0</v>
      </c>
    </row>
    <row r="207" spans="1:14" ht="15.75">
      <c r="A207" s="186" t="s">
        <v>325</v>
      </c>
      <c r="B207" s="181">
        <f>+SUMIF('New Master-List'!$AH$3:$AH$9995,'By Industries (NBC)'!A207,'New Master-List'!$L$3:$L$9995)</f>
        <v>0</v>
      </c>
      <c r="C207" s="1555">
        <f>+SUMIF('New Master-List'!$AH$3:$AH$9995,'By Industries (NBC)'!A207,'New Master-List'!$M$3:$M$9995)+SUMIF('New Master-List'!$AH$3:$AH$9995,'By Industries (NBC)'!A207,'New Master-List'!$N$3:$N$9995)++SUMIF('New Master-List'!$AH$3:$AH$9995,'By Industries (NBC)'!A207,'New Master-List'!$O$3:$O$9995)</f>
        <v>0</v>
      </c>
      <c r="D207" s="181">
        <f>+SUMIF('New Master-List'!$AH$3:$AH$9995,'By Industries (NBC)'!A207,'New Master-List'!$V$3:$V$9995)</f>
        <v>0</v>
      </c>
      <c r="E207" s="181">
        <f>+SUMIF('New Master-List'!$AH$199:$AH$9995,'By Industries (NBC)'!A207,'New Master-List'!$X$199:$X$9995)</f>
        <v>0</v>
      </c>
      <c r="G207" s="344">
        <f t="shared" si="12"/>
        <v>0</v>
      </c>
      <c r="H207" s="344">
        <f t="shared" si="13"/>
        <v>0</v>
      </c>
      <c r="I207" s="344">
        <f t="shared" si="14"/>
        <v>0</v>
      </c>
      <c r="J207" s="344">
        <f t="shared" si="15"/>
        <v>0</v>
      </c>
    </row>
    <row r="208" spans="1:14" ht="15.75">
      <c r="A208" s="186" t="s">
        <v>326</v>
      </c>
      <c r="B208" s="181">
        <f>+SUMIF('New Master-List'!$AH$3:$AH$9995,'By Industries (NBC)'!A208,'New Master-List'!$L$3:$L$9995)</f>
        <v>385000</v>
      </c>
      <c r="C208" s="1555" t="e">
        <f>+SUMIF('New Master-List'!$AH$3:$AH$9995,'By Industries (NBC)'!A208,'New Master-List'!$M$3:$M$9995)+SUMIF('New Master-List'!$AH$3:$AH$9995,'By Industries (NBC)'!A208,'New Master-List'!$N$3:$N$9995)++SUMIF('New Master-List'!$AH$3:$AH$9995,'By Industries (NBC)'!A208,'New Master-List'!$O$3:$O$9995)</f>
        <v>#N/A</v>
      </c>
      <c r="D208" s="181">
        <f>+SUMIF('New Master-List'!$AH$3:$AH$9995,'By Industries (NBC)'!A208,'New Master-List'!$V$3:$V$9995)</f>
        <v>1645.3400000000001</v>
      </c>
      <c r="E208" s="181">
        <f>+SUMIF('New Master-List'!$AH$199:$AH$9995,'By Industries (NBC)'!A208,'New Master-List'!$X$199:$X$9995)</f>
        <v>0</v>
      </c>
      <c r="G208" s="344">
        <f t="shared" si="12"/>
        <v>1566.57</v>
      </c>
      <c r="H208" s="344" t="e">
        <f t="shared" si="13"/>
        <v>#N/A</v>
      </c>
      <c r="I208" s="344">
        <f t="shared" si="14"/>
        <v>6.69</v>
      </c>
      <c r="J208" s="344">
        <f t="shared" si="15"/>
        <v>0</v>
      </c>
    </row>
    <row r="209" spans="1:14" ht="15.75">
      <c r="A209" s="188" t="s">
        <v>146</v>
      </c>
      <c r="B209" s="181">
        <f>+SUMIF('New Master-List'!$AH$3:$AH$9995,'By Industries (NBC)'!A209,'New Master-List'!$L$3:$L$9995)</f>
        <v>0</v>
      </c>
      <c r="C209" s="1555">
        <f>+SUMIF('New Master-List'!$AH$3:$AH$9995,'By Industries (NBC)'!A209,'New Master-List'!$M$3:$M$9995)+SUMIF('New Master-List'!$AH$3:$AH$9995,'By Industries (NBC)'!A209,'New Master-List'!$N$3:$N$9995)++SUMIF('New Master-List'!$AH$3:$AH$9995,'By Industries (NBC)'!A209,'New Master-List'!$O$3:$O$9995)</f>
        <v>0</v>
      </c>
      <c r="D209" s="181">
        <f>+SUMIF('New Master-List'!$AH$3:$AH$9995,'By Industries (NBC)'!A209,'New Master-List'!$V$3:$V$9995)</f>
        <v>0</v>
      </c>
      <c r="E209" s="181">
        <f>+SUMIF('New Master-List'!$AH$199:$AH$9995,'By Industries (NBC)'!A209,'New Master-List'!$X$199:$X$9995)</f>
        <v>0</v>
      </c>
      <c r="G209" s="344">
        <f t="shared" si="12"/>
        <v>0</v>
      </c>
      <c r="H209" s="344">
        <f t="shared" si="13"/>
        <v>0</v>
      </c>
      <c r="I209" s="344">
        <f t="shared" si="14"/>
        <v>0</v>
      </c>
      <c r="J209" s="344">
        <f t="shared" si="15"/>
        <v>0</v>
      </c>
      <c r="K209" s="174"/>
      <c r="L209" s="174"/>
      <c r="M209" s="174"/>
      <c r="N209" s="174"/>
    </row>
    <row r="210" spans="1:14" ht="15.75">
      <c r="A210" s="186" t="s">
        <v>327</v>
      </c>
      <c r="B210" s="181">
        <f>+SUMIF('New Master-List'!$AH$3:$AH$9995,'By Industries (NBC)'!A210,'New Master-List'!$L$3:$L$9995)</f>
        <v>0</v>
      </c>
      <c r="C210" s="1555">
        <f>+SUMIF('New Master-List'!$AH$3:$AH$9995,'By Industries (NBC)'!A210,'New Master-List'!$M$3:$M$9995)+SUMIF('New Master-List'!$AH$3:$AH$9995,'By Industries (NBC)'!A210,'New Master-List'!$N$3:$N$9995)++SUMIF('New Master-List'!$AH$3:$AH$9995,'By Industries (NBC)'!A210,'New Master-List'!$O$3:$O$9995)</f>
        <v>0</v>
      </c>
      <c r="D210" s="181">
        <f>+SUMIF('New Master-List'!$AH$3:$AH$9995,'By Industries (NBC)'!A210,'New Master-List'!$V$3:$V$9995)</f>
        <v>0</v>
      </c>
      <c r="E210" s="181">
        <f>+SUMIF('New Master-List'!$AH$199:$AH$9995,'By Industries (NBC)'!A210,'New Master-List'!$X$199:$X$9995)</f>
        <v>0</v>
      </c>
      <c r="G210" s="344">
        <f t="shared" si="12"/>
        <v>0</v>
      </c>
      <c r="H210" s="344">
        <f t="shared" si="13"/>
        <v>0</v>
      </c>
      <c r="I210" s="344">
        <f t="shared" si="14"/>
        <v>0</v>
      </c>
      <c r="J210" s="344">
        <f t="shared" si="15"/>
        <v>0</v>
      </c>
    </row>
    <row r="211" spans="1:14" ht="15.75">
      <c r="A211" s="186" t="s">
        <v>328</v>
      </c>
      <c r="B211" s="181">
        <f>+SUMIF('New Master-List'!$AH$3:$AH$9995,'By Industries (NBC)'!A211,'New Master-List'!$L$3:$L$9995)</f>
        <v>0</v>
      </c>
      <c r="C211" s="1555">
        <f>+SUMIF('New Master-List'!$AH$3:$AH$9995,'By Industries (NBC)'!A211,'New Master-List'!$M$3:$M$9995)+SUMIF('New Master-List'!$AH$3:$AH$9995,'By Industries (NBC)'!A211,'New Master-List'!$N$3:$N$9995)++SUMIF('New Master-List'!$AH$3:$AH$9995,'By Industries (NBC)'!A211,'New Master-List'!$O$3:$O$9995)</f>
        <v>0</v>
      </c>
      <c r="D211" s="181">
        <f>+SUMIF('New Master-List'!$AH$3:$AH$9995,'By Industries (NBC)'!A211,'New Master-List'!$V$3:$V$9995)</f>
        <v>0</v>
      </c>
      <c r="E211" s="181">
        <f>+SUMIF('New Master-List'!$AH$199:$AH$9995,'By Industries (NBC)'!A211,'New Master-List'!$X$199:$X$9995)</f>
        <v>0</v>
      </c>
      <c r="G211" s="344">
        <f t="shared" si="12"/>
        <v>0</v>
      </c>
      <c r="H211" s="344">
        <f t="shared" si="13"/>
        <v>0</v>
      </c>
      <c r="I211" s="344">
        <f t="shared" si="14"/>
        <v>0</v>
      </c>
      <c r="J211" s="344">
        <f t="shared" si="15"/>
        <v>0</v>
      </c>
    </row>
    <row r="212" spans="1:14" ht="15.75">
      <c r="A212" s="186" t="s">
        <v>329</v>
      </c>
      <c r="B212" s="181">
        <f>+SUMIF('New Master-List'!$AH$3:$AH$9995,'By Industries (NBC)'!A212,'New Master-List'!$L$3:$L$9995)</f>
        <v>0</v>
      </c>
      <c r="C212" s="1555">
        <f>+SUMIF('New Master-List'!$AH$3:$AH$9995,'By Industries (NBC)'!A212,'New Master-List'!$M$3:$M$9995)+SUMIF('New Master-List'!$AH$3:$AH$9995,'By Industries (NBC)'!A212,'New Master-List'!$N$3:$N$9995)++SUMIF('New Master-List'!$AH$3:$AH$9995,'By Industries (NBC)'!A212,'New Master-List'!$O$3:$O$9995)</f>
        <v>0</v>
      </c>
      <c r="D212" s="181">
        <f>+SUMIF('New Master-List'!$AH$3:$AH$9995,'By Industries (NBC)'!A212,'New Master-List'!$V$3:$V$9995)</f>
        <v>0</v>
      </c>
      <c r="E212" s="181">
        <f>+SUMIF('New Master-List'!$AH$199:$AH$9995,'By Industries (NBC)'!A212,'New Master-List'!$X$199:$X$9995)</f>
        <v>0</v>
      </c>
      <c r="G212" s="344">
        <f t="shared" si="12"/>
        <v>0</v>
      </c>
      <c r="H212" s="344">
        <f t="shared" si="13"/>
        <v>0</v>
      </c>
      <c r="I212" s="344">
        <f t="shared" si="14"/>
        <v>0</v>
      </c>
      <c r="J212" s="344">
        <f t="shared" si="15"/>
        <v>0</v>
      </c>
    </row>
    <row r="213" spans="1:14" ht="15.75">
      <c r="A213" s="186" t="s">
        <v>330</v>
      </c>
      <c r="B213" s="181">
        <f>+SUMIF('New Master-List'!$AH$3:$AH$9995,'By Industries (NBC)'!A213,'New Master-List'!$L$3:$L$9995)</f>
        <v>0</v>
      </c>
      <c r="C213" s="1555">
        <f>+SUMIF('New Master-List'!$AH$3:$AH$9995,'By Industries (NBC)'!A213,'New Master-List'!$M$3:$M$9995)+SUMIF('New Master-List'!$AH$3:$AH$9995,'By Industries (NBC)'!A213,'New Master-List'!$N$3:$N$9995)++SUMIF('New Master-List'!$AH$3:$AH$9995,'By Industries (NBC)'!A213,'New Master-List'!$O$3:$O$9995)</f>
        <v>0</v>
      </c>
      <c r="D213" s="181">
        <f>+SUMIF('New Master-List'!$AH$3:$AH$9995,'By Industries (NBC)'!A213,'New Master-List'!$V$3:$V$9995)</f>
        <v>0</v>
      </c>
      <c r="E213" s="181">
        <f>+SUMIF('New Master-List'!$AH$199:$AH$9995,'By Industries (NBC)'!A213,'New Master-List'!$X$199:$X$9995)</f>
        <v>0</v>
      </c>
      <c r="G213" s="344">
        <f t="shared" si="12"/>
        <v>0</v>
      </c>
      <c r="H213" s="344">
        <f t="shared" si="13"/>
        <v>0</v>
      </c>
      <c r="I213" s="344">
        <f t="shared" si="14"/>
        <v>0</v>
      </c>
      <c r="J213" s="344">
        <f t="shared" si="15"/>
        <v>0</v>
      </c>
    </row>
    <row r="214" spans="1:14" ht="15.75">
      <c r="A214" s="188" t="s">
        <v>147</v>
      </c>
      <c r="B214" s="181">
        <f>+SUMIF('New Master-List'!$AH$3:$AH$9995,'By Industries (NBC)'!A214,'New Master-List'!$L$3:$L$9995)</f>
        <v>0</v>
      </c>
      <c r="C214" s="1555">
        <f>+SUMIF('New Master-List'!$AH$3:$AH$9995,'By Industries (NBC)'!A214,'New Master-List'!$M$3:$M$9995)+SUMIF('New Master-List'!$AH$3:$AH$9995,'By Industries (NBC)'!A214,'New Master-List'!$N$3:$N$9995)++SUMIF('New Master-List'!$AH$3:$AH$9995,'By Industries (NBC)'!A214,'New Master-List'!$O$3:$O$9995)</f>
        <v>0</v>
      </c>
      <c r="D214" s="181">
        <f>+SUMIF('New Master-List'!$AH$3:$AH$9995,'By Industries (NBC)'!A214,'New Master-List'!$V$3:$V$9995)</f>
        <v>0</v>
      </c>
      <c r="E214" s="181">
        <f>+SUMIF('New Master-List'!$AH$199:$AH$9995,'By Industries (NBC)'!A214,'New Master-List'!$X$199:$X$9995)</f>
        <v>0</v>
      </c>
      <c r="G214" s="344">
        <f t="shared" si="12"/>
        <v>0</v>
      </c>
      <c r="H214" s="344">
        <f t="shared" si="13"/>
        <v>0</v>
      </c>
      <c r="I214" s="344">
        <f t="shared" si="14"/>
        <v>0</v>
      </c>
      <c r="J214" s="344">
        <f t="shared" si="15"/>
        <v>0</v>
      </c>
      <c r="K214" s="174"/>
      <c r="L214" s="174"/>
      <c r="M214" s="174"/>
      <c r="N214" s="174"/>
    </row>
    <row r="215" spans="1:14" ht="15.75">
      <c r="A215" s="186" t="s">
        <v>331</v>
      </c>
      <c r="B215" s="181">
        <f>+SUMIF('New Master-List'!$AH$3:$AH$9995,'By Industries (NBC)'!A215,'New Master-List'!$L$3:$L$9995)</f>
        <v>0</v>
      </c>
      <c r="C215" s="1555">
        <f>+SUMIF('New Master-List'!$AH$3:$AH$9995,'By Industries (NBC)'!A215,'New Master-List'!$M$3:$M$9995)+SUMIF('New Master-List'!$AH$3:$AH$9995,'By Industries (NBC)'!A215,'New Master-List'!$N$3:$N$9995)++SUMIF('New Master-List'!$AH$3:$AH$9995,'By Industries (NBC)'!A215,'New Master-List'!$O$3:$O$9995)</f>
        <v>0</v>
      </c>
      <c r="D215" s="181">
        <f>+SUMIF('New Master-List'!$AH$3:$AH$9995,'By Industries (NBC)'!A215,'New Master-List'!$V$3:$V$9995)</f>
        <v>0</v>
      </c>
      <c r="E215" s="181">
        <f>+SUMIF('New Master-List'!$AH$199:$AH$9995,'By Industries (NBC)'!A215,'New Master-List'!$X$199:$X$9995)</f>
        <v>0</v>
      </c>
      <c r="G215" s="344">
        <f t="shared" si="12"/>
        <v>0</v>
      </c>
      <c r="H215" s="344">
        <f t="shared" si="13"/>
        <v>0</v>
      </c>
      <c r="I215" s="344">
        <f t="shared" si="14"/>
        <v>0</v>
      </c>
      <c r="J215" s="344">
        <f t="shared" si="15"/>
        <v>0</v>
      </c>
    </row>
    <row r="216" spans="1:14" ht="15.75">
      <c r="A216" s="186" t="s">
        <v>332</v>
      </c>
      <c r="B216" s="181">
        <f>+SUMIF('New Master-List'!$AH$3:$AH$9995,'By Industries (NBC)'!A216,'New Master-List'!$L$3:$L$9995)</f>
        <v>0</v>
      </c>
      <c r="C216" s="1555">
        <f>+SUMIF('New Master-List'!$AH$3:$AH$9995,'By Industries (NBC)'!A216,'New Master-List'!$M$3:$M$9995)+SUMIF('New Master-List'!$AH$3:$AH$9995,'By Industries (NBC)'!A216,'New Master-List'!$N$3:$N$9995)++SUMIF('New Master-List'!$AH$3:$AH$9995,'By Industries (NBC)'!A216,'New Master-List'!$O$3:$O$9995)</f>
        <v>0</v>
      </c>
      <c r="D216" s="181">
        <f>+SUMIF('New Master-List'!$AH$3:$AH$9995,'By Industries (NBC)'!A216,'New Master-List'!$V$3:$V$9995)</f>
        <v>0</v>
      </c>
      <c r="E216" s="181">
        <f>+SUMIF('New Master-List'!$AH$199:$AH$9995,'By Industries (NBC)'!A216,'New Master-List'!$X$199:$X$9995)</f>
        <v>0</v>
      </c>
      <c r="G216" s="344">
        <f t="shared" si="12"/>
        <v>0</v>
      </c>
      <c r="H216" s="344">
        <f t="shared" si="13"/>
        <v>0</v>
      </c>
      <c r="I216" s="344">
        <f t="shared" si="14"/>
        <v>0</v>
      </c>
      <c r="J216" s="344">
        <f t="shared" si="15"/>
        <v>0</v>
      </c>
    </row>
    <row r="217" spans="1:14" ht="15.75">
      <c r="A217" s="186" t="s">
        <v>333</v>
      </c>
      <c r="B217" s="181">
        <f>+SUMIF('New Master-List'!$AH$3:$AH$9995,'By Industries (NBC)'!A217,'New Master-List'!$L$3:$L$9995)</f>
        <v>0</v>
      </c>
      <c r="C217" s="1555">
        <f>+SUMIF('New Master-List'!$AH$3:$AH$9995,'By Industries (NBC)'!A217,'New Master-List'!$M$3:$M$9995)+SUMIF('New Master-List'!$AH$3:$AH$9995,'By Industries (NBC)'!A217,'New Master-List'!$N$3:$N$9995)++SUMIF('New Master-List'!$AH$3:$AH$9995,'By Industries (NBC)'!A217,'New Master-List'!$O$3:$O$9995)</f>
        <v>0</v>
      </c>
      <c r="D217" s="181">
        <f>+SUMIF('New Master-List'!$AH$3:$AH$9995,'By Industries (NBC)'!A217,'New Master-List'!$V$3:$V$9995)</f>
        <v>0</v>
      </c>
      <c r="E217" s="181">
        <f>+SUMIF('New Master-List'!$AH$199:$AH$9995,'By Industries (NBC)'!A217,'New Master-List'!$X$199:$X$9995)</f>
        <v>0</v>
      </c>
      <c r="G217" s="344">
        <f t="shared" si="12"/>
        <v>0</v>
      </c>
      <c r="H217" s="344">
        <f t="shared" si="13"/>
        <v>0</v>
      </c>
      <c r="I217" s="344">
        <f t="shared" si="14"/>
        <v>0</v>
      </c>
      <c r="J217" s="344">
        <f t="shared" si="15"/>
        <v>0</v>
      </c>
    </row>
    <row r="218" spans="1:14" ht="15.75">
      <c r="A218" s="186" t="s">
        <v>334</v>
      </c>
      <c r="B218" s="181">
        <f>+SUMIF('New Master-List'!$AH$3:$AH$9995,'By Industries (NBC)'!A218,'New Master-List'!$L$3:$L$9995)</f>
        <v>0</v>
      </c>
      <c r="C218" s="1555">
        <f>+SUMIF('New Master-List'!$AH$3:$AH$9995,'By Industries (NBC)'!A218,'New Master-List'!$M$3:$M$9995)+SUMIF('New Master-List'!$AH$3:$AH$9995,'By Industries (NBC)'!A218,'New Master-List'!$N$3:$N$9995)++SUMIF('New Master-List'!$AH$3:$AH$9995,'By Industries (NBC)'!A218,'New Master-List'!$O$3:$O$9995)</f>
        <v>0</v>
      </c>
      <c r="D218" s="181">
        <f>+SUMIF('New Master-List'!$AH$3:$AH$9995,'By Industries (NBC)'!A218,'New Master-List'!$V$3:$V$9995)</f>
        <v>0</v>
      </c>
      <c r="E218" s="181">
        <f>+SUMIF('New Master-List'!$AH$199:$AH$9995,'By Industries (NBC)'!A218,'New Master-List'!$X$199:$X$9995)</f>
        <v>0</v>
      </c>
      <c r="G218" s="344">
        <f t="shared" si="12"/>
        <v>0</v>
      </c>
      <c r="H218" s="344">
        <f t="shared" si="13"/>
        <v>0</v>
      </c>
      <c r="I218" s="344">
        <f t="shared" si="14"/>
        <v>0</v>
      </c>
      <c r="J218" s="344">
        <f t="shared" si="15"/>
        <v>0</v>
      </c>
    </row>
    <row r="219" spans="1:14" ht="15.75">
      <c r="A219" s="188" t="s">
        <v>148</v>
      </c>
      <c r="B219" s="181">
        <f>+SUMIF('New Master-List'!$AH$3:$AH$9995,'By Industries (NBC)'!A219,'New Master-List'!$L$3:$L$9995)</f>
        <v>0</v>
      </c>
      <c r="C219" s="1555">
        <f>+SUMIF('New Master-List'!$AH$3:$AH$9995,'By Industries (NBC)'!A219,'New Master-List'!$M$3:$M$9995)+SUMIF('New Master-List'!$AH$3:$AH$9995,'By Industries (NBC)'!A219,'New Master-List'!$N$3:$N$9995)++SUMIF('New Master-List'!$AH$3:$AH$9995,'By Industries (NBC)'!A219,'New Master-List'!$O$3:$O$9995)</f>
        <v>0</v>
      </c>
      <c r="D219" s="181">
        <f>+SUMIF('New Master-List'!$AH$3:$AH$9995,'By Industries (NBC)'!A219,'New Master-List'!$V$3:$V$9995)</f>
        <v>0</v>
      </c>
      <c r="E219" s="181">
        <f>+SUMIF('New Master-List'!$AH$199:$AH$9995,'By Industries (NBC)'!A219,'New Master-List'!$X$199:$X$9995)</f>
        <v>0</v>
      </c>
      <c r="G219" s="344">
        <f t="shared" si="12"/>
        <v>0</v>
      </c>
      <c r="H219" s="344">
        <f t="shared" si="13"/>
        <v>0</v>
      </c>
      <c r="I219" s="344">
        <f t="shared" si="14"/>
        <v>0</v>
      </c>
      <c r="J219" s="344">
        <f t="shared" si="15"/>
        <v>0</v>
      </c>
      <c r="K219" s="174"/>
      <c r="L219" s="174"/>
      <c r="M219" s="174"/>
      <c r="N219" s="174"/>
    </row>
    <row r="220" spans="1:14" ht="15.75">
      <c r="A220" s="186" t="s">
        <v>335</v>
      </c>
      <c r="B220" s="181">
        <f>+SUMIF('New Master-List'!$AH$3:$AH$9995,'By Industries (NBC)'!A220,'New Master-List'!$L$3:$L$9995)</f>
        <v>0</v>
      </c>
      <c r="C220" s="1555">
        <f>+SUMIF('New Master-List'!$AH$3:$AH$9995,'By Industries (NBC)'!A220,'New Master-List'!$M$3:$M$9995)+SUMIF('New Master-List'!$AH$3:$AH$9995,'By Industries (NBC)'!A220,'New Master-List'!$N$3:$N$9995)++SUMIF('New Master-List'!$AH$3:$AH$9995,'By Industries (NBC)'!A220,'New Master-List'!$O$3:$O$9995)</f>
        <v>0</v>
      </c>
      <c r="D220" s="181">
        <f>+SUMIF('New Master-List'!$AH$3:$AH$9995,'By Industries (NBC)'!A220,'New Master-List'!$V$3:$V$9995)</f>
        <v>0</v>
      </c>
      <c r="E220" s="181">
        <f>+SUMIF('New Master-List'!$AH$199:$AH$9995,'By Industries (NBC)'!A220,'New Master-List'!$X$199:$X$9995)</f>
        <v>0</v>
      </c>
      <c r="G220" s="344">
        <f t="shared" si="12"/>
        <v>0</v>
      </c>
      <c r="H220" s="344">
        <f t="shared" si="13"/>
        <v>0</v>
      </c>
      <c r="I220" s="344">
        <f t="shared" si="14"/>
        <v>0</v>
      </c>
      <c r="J220" s="344">
        <f t="shared" si="15"/>
        <v>0</v>
      </c>
    </row>
    <row r="221" spans="1:14" ht="15.75">
      <c r="A221" s="186" t="s">
        <v>336</v>
      </c>
      <c r="B221" s="181">
        <f>+SUMIF('New Master-List'!$AH$3:$AH$9995,'By Industries (NBC)'!A221,'New Master-List'!$L$3:$L$9995)</f>
        <v>0</v>
      </c>
      <c r="C221" s="1555">
        <f>+SUMIF('New Master-List'!$AH$3:$AH$9995,'By Industries (NBC)'!A221,'New Master-List'!$M$3:$M$9995)+SUMIF('New Master-List'!$AH$3:$AH$9995,'By Industries (NBC)'!A221,'New Master-List'!$N$3:$N$9995)++SUMIF('New Master-List'!$AH$3:$AH$9995,'By Industries (NBC)'!A221,'New Master-List'!$O$3:$O$9995)</f>
        <v>0</v>
      </c>
      <c r="D221" s="181">
        <f>+SUMIF('New Master-List'!$AH$3:$AH$9995,'By Industries (NBC)'!A221,'New Master-List'!$V$3:$V$9995)</f>
        <v>0</v>
      </c>
      <c r="E221" s="181">
        <f>+SUMIF('New Master-List'!$AH$199:$AH$9995,'By Industries (NBC)'!A221,'New Master-List'!$X$199:$X$9995)</f>
        <v>0</v>
      </c>
      <c r="G221" s="344">
        <f t="shared" si="12"/>
        <v>0</v>
      </c>
      <c r="H221" s="344">
        <f t="shared" si="13"/>
        <v>0</v>
      </c>
      <c r="I221" s="344">
        <f t="shared" si="14"/>
        <v>0</v>
      </c>
      <c r="J221" s="344">
        <f t="shared" si="15"/>
        <v>0</v>
      </c>
    </row>
    <row r="222" spans="1:14" ht="15.75">
      <c r="A222" s="186" t="s">
        <v>337</v>
      </c>
      <c r="B222" s="181">
        <f>+SUMIF('New Master-List'!$AH$3:$AH$9995,'By Industries (NBC)'!A222,'New Master-List'!$L$3:$L$9995)</f>
        <v>0</v>
      </c>
      <c r="C222" s="1555">
        <f>+SUMIF('New Master-List'!$AH$3:$AH$9995,'By Industries (NBC)'!A222,'New Master-List'!$M$3:$M$9995)+SUMIF('New Master-List'!$AH$3:$AH$9995,'By Industries (NBC)'!A222,'New Master-List'!$N$3:$N$9995)++SUMIF('New Master-List'!$AH$3:$AH$9995,'By Industries (NBC)'!A222,'New Master-List'!$O$3:$O$9995)</f>
        <v>0</v>
      </c>
      <c r="D222" s="181">
        <f>+SUMIF('New Master-List'!$AH$3:$AH$9995,'By Industries (NBC)'!A222,'New Master-List'!$V$3:$V$9995)</f>
        <v>0</v>
      </c>
      <c r="E222" s="181">
        <f>+SUMIF('New Master-List'!$AH$199:$AH$9995,'By Industries (NBC)'!A222,'New Master-List'!$X$199:$X$9995)</f>
        <v>0</v>
      </c>
      <c r="G222" s="344">
        <f t="shared" si="12"/>
        <v>0</v>
      </c>
      <c r="H222" s="344">
        <f t="shared" si="13"/>
        <v>0</v>
      </c>
      <c r="I222" s="344">
        <f t="shared" si="14"/>
        <v>0</v>
      </c>
      <c r="J222" s="344">
        <f t="shared" si="15"/>
        <v>0</v>
      </c>
    </row>
    <row r="223" spans="1:14" ht="15.75">
      <c r="A223" s="186" t="s">
        <v>338</v>
      </c>
      <c r="B223" s="181">
        <f>+SUMIF('New Master-List'!$AH$3:$AH$9995,'By Industries (NBC)'!A223,'New Master-List'!$L$3:$L$9995)</f>
        <v>0</v>
      </c>
      <c r="C223" s="1555">
        <f>+SUMIF('New Master-List'!$AH$3:$AH$9995,'By Industries (NBC)'!A223,'New Master-List'!$M$3:$M$9995)+SUMIF('New Master-List'!$AH$3:$AH$9995,'By Industries (NBC)'!A223,'New Master-List'!$N$3:$N$9995)++SUMIF('New Master-List'!$AH$3:$AH$9995,'By Industries (NBC)'!A223,'New Master-List'!$O$3:$O$9995)</f>
        <v>0</v>
      </c>
      <c r="D223" s="181">
        <f>+SUMIF('New Master-List'!$AH$3:$AH$9995,'By Industries (NBC)'!A223,'New Master-List'!$V$3:$V$9995)</f>
        <v>0</v>
      </c>
      <c r="E223" s="181">
        <f>+SUMIF('New Master-List'!$AH$199:$AH$9995,'By Industries (NBC)'!A223,'New Master-List'!$X$199:$X$9995)</f>
        <v>0</v>
      </c>
      <c r="G223" s="344">
        <f t="shared" si="12"/>
        <v>0</v>
      </c>
      <c r="H223" s="344">
        <f t="shared" si="13"/>
        <v>0</v>
      </c>
      <c r="I223" s="344">
        <f t="shared" si="14"/>
        <v>0</v>
      </c>
      <c r="J223" s="344">
        <f t="shared" si="15"/>
        <v>0</v>
      </c>
      <c r="L223" s="343"/>
    </row>
    <row r="224" spans="1:14" ht="15.75">
      <c r="A224" s="195" t="s">
        <v>149</v>
      </c>
      <c r="B224" s="181">
        <f>+SUMIF('New Master-List'!$AH$3:$AH$9995,'By Industries (NBC)'!A224,'New Master-List'!$L$3:$L$9995)</f>
        <v>0</v>
      </c>
      <c r="C224" s="1555">
        <f>+SUMIF('New Master-List'!$AH$3:$AH$9995,'By Industries (NBC)'!A224,'New Master-List'!$M$3:$M$9995)+SUMIF('New Master-List'!$AH$3:$AH$9995,'By Industries (NBC)'!A224,'New Master-List'!$N$3:$N$9995)++SUMIF('New Master-List'!$AH$3:$AH$9995,'By Industries (NBC)'!A224,'New Master-List'!$O$3:$O$9995)</f>
        <v>0</v>
      </c>
      <c r="D224" s="181">
        <f>+SUMIF('New Master-List'!$AH$3:$AH$9995,'By Industries (NBC)'!A224,'New Master-List'!$V$3:$V$9995)</f>
        <v>0</v>
      </c>
      <c r="E224" s="181">
        <f>+SUMIF('New Master-List'!$AH$199:$AH$9995,'By Industries (NBC)'!A224,'New Master-List'!$X$199:$X$9995)</f>
        <v>0</v>
      </c>
      <c r="G224" s="344">
        <f t="shared" si="12"/>
        <v>0</v>
      </c>
      <c r="H224" s="344">
        <f t="shared" si="13"/>
        <v>0</v>
      </c>
      <c r="I224" s="344">
        <f t="shared" si="14"/>
        <v>0</v>
      </c>
      <c r="J224" s="344">
        <f t="shared" si="15"/>
        <v>0</v>
      </c>
      <c r="K224" s="174"/>
      <c r="L224" s="174"/>
      <c r="M224" s="174"/>
      <c r="N224" s="174"/>
    </row>
    <row r="225" spans="1:14" ht="15.75">
      <c r="A225" s="191" t="s">
        <v>339</v>
      </c>
      <c r="B225" s="181">
        <f>+SUMIF('New Master-List'!$AH$3:$AH$9995,'By Industries (NBC)'!A225,'New Master-List'!$L$3:$L$9995)</f>
        <v>0</v>
      </c>
      <c r="C225" s="1555">
        <f>+SUMIF('New Master-List'!$AH$3:$AH$9995,'By Industries (NBC)'!A225,'New Master-List'!$M$3:$M$9995)+SUMIF('New Master-List'!$AH$3:$AH$9995,'By Industries (NBC)'!A225,'New Master-List'!$N$3:$N$9995)++SUMIF('New Master-List'!$AH$3:$AH$9995,'By Industries (NBC)'!A225,'New Master-List'!$O$3:$O$9995)</f>
        <v>0</v>
      </c>
      <c r="D225" s="181">
        <f>+SUMIF('New Master-List'!$AH$3:$AH$9995,'By Industries (NBC)'!A225,'New Master-List'!$V$3:$V$9995)</f>
        <v>0</v>
      </c>
      <c r="E225" s="181">
        <f>+SUMIF('New Master-List'!$AH$199:$AH$9995,'By Industries (NBC)'!A225,'New Master-List'!$X$199:$X$9995)</f>
        <v>0</v>
      </c>
      <c r="G225" s="344">
        <f t="shared" si="12"/>
        <v>0</v>
      </c>
      <c r="H225" s="344">
        <f t="shared" si="13"/>
        <v>0</v>
      </c>
      <c r="I225" s="344">
        <f t="shared" si="14"/>
        <v>0</v>
      </c>
      <c r="J225" s="344">
        <f t="shared" si="15"/>
        <v>0</v>
      </c>
    </row>
    <row r="226" spans="1:14" ht="15.75">
      <c r="A226" s="191" t="s">
        <v>340</v>
      </c>
      <c r="B226" s="181">
        <f>+SUMIF('New Master-List'!$AH$3:$AH$9995,'By Industries (NBC)'!A226,'New Master-List'!$L$3:$L$9995)</f>
        <v>0</v>
      </c>
      <c r="C226" s="1555">
        <f>+SUMIF('New Master-List'!$AH$3:$AH$9995,'By Industries (NBC)'!A226,'New Master-List'!$M$3:$M$9995)+SUMIF('New Master-List'!$AH$3:$AH$9995,'By Industries (NBC)'!A226,'New Master-List'!$N$3:$N$9995)++SUMIF('New Master-List'!$AH$3:$AH$9995,'By Industries (NBC)'!A226,'New Master-List'!$O$3:$O$9995)</f>
        <v>0</v>
      </c>
      <c r="D226" s="181">
        <f>+SUMIF('New Master-List'!$AH$3:$AH$9995,'By Industries (NBC)'!A226,'New Master-List'!$V$3:$V$9995)</f>
        <v>0</v>
      </c>
      <c r="E226" s="181">
        <f>+SUMIF('New Master-List'!$AH$199:$AH$9995,'By Industries (NBC)'!A226,'New Master-List'!$X$199:$X$9995)</f>
        <v>0</v>
      </c>
      <c r="G226" s="344">
        <f t="shared" si="12"/>
        <v>0</v>
      </c>
      <c r="H226" s="344">
        <f t="shared" si="13"/>
        <v>0</v>
      </c>
      <c r="I226" s="344">
        <f t="shared" si="14"/>
        <v>0</v>
      </c>
      <c r="J226" s="344">
        <f t="shared" si="15"/>
        <v>0</v>
      </c>
    </row>
    <row r="227" spans="1:14" ht="15.75">
      <c r="A227" s="191" t="s">
        <v>341</v>
      </c>
      <c r="B227" s="181">
        <f>+SUMIF('New Master-List'!$AH$3:$AH$9995,'By Industries (NBC)'!A227,'New Master-List'!$L$3:$L$9995)</f>
        <v>0</v>
      </c>
      <c r="C227" s="1555">
        <f>+SUMIF('New Master-List'!$AH$3:$AH$9995,'By Industries (NBC)'!A227,'New Master-List'!$M$3:$M$9995)+SUMIF('New Master-List'!$AH$3:$AH$9995,'By Industries (NBC)'!A227,'New Master-List'!$N$3:$N$9995)++SUMIF('New Master-List'!$AH$3:$AH$9995,'By Industries (NBC)'!A227,'New Master-List'!$O$3:$O$9995)</f>
        <v>0</v>
      </c>
      <c r="D227" s="181">
        <f>+SUMIF('New Master-List'!$AH$3:$AH$9995,'By Industries (NBC)'!A227,'New Master-List'!$V$3:$V$9995)</f>
        <v>0</v>
      </c>
      <c r="E227" s="181">
        <f>+SUMIF('New Master-List'!$AH$199:$AH$9995,'By Industries (NBC)'!A227,'New Master-List'!$X$199:$X$9995)</f>
        <v>0</v>
      </c>
      <c r="G227" s="344">
        <f t="shared" si="12"/>
        <v>0</v>
      </c>
      <c r="H227" s="344">
        <f t="shared" si="13"/>
        <v>0</v>
      </c>
      <c r="I227" s="344">
        <f t="shared" si="14"/>
        <v>0</v>
      </c>
      <c r="J227" s="344">
        <f t="shared" si="15"/>
        <v>0</v>
      </c>
    </row>
    <row r="228" spans="1:14" ht="15.75">
      <c r="A228" s="191" t="s">
        <v>342</v>
      </c>
      <c r="B228" s="181">
        <f>+SUMIF('New Master-List'!$AH$3:$AH$9995,'By Industries (NBC)'!A228,'New Master-List'!$L$3:$L$9995)</f>
        <v>40000</v>
      </c>
      <c r="C228" s="1555">
        <f>+SUMIF('New Master-List'!$AH$3:$AH$9995,'By Industries (NBC)'!A228,'New Master-List'!$M$3:$M$9995)+SUMIF('New Master-List'!$AH$3:$AH$9995,'By Industries (NBC)'!A228,'New Master-List'!$N$3:$N$9995)++SUMIF('New Master-List'!$AH$3:$AH$9995,'By Industries (NBC)'!A228,'New Master-List'!$O$3:$O$9995)</f>
        <v>32646.66</v>
      </c>
      <c r="D228" s="181">
        <f>+SUMIF('New Master-List'!$AH$3:$AH$9995,'By Industries (NBC)'!A228,'New Master-List'!$V$3:$V$9995)</f>
        <v>211.19</v>
      </c>
      <c r="E228" s="181">
        <f>+SUMIF('New Master-List'!$AH$199:$AH$9995,'By Industries (NBC)'!A228,'New Master-List'!$X$199:$X$9995)</f>
        <v>0</v>
      </c>
      <c r="G228" s="344">
        <f t="shared" si="12"/>
        <v>162.76</v>
      </c>
      <c r="H228" s="344">
        <f t="shared" si="13"/>
        <v>132.84</v>
      </c>
      <c r="I228" s="344">
        <f t="shared" si="14"/>
        <v>0.86</v>
      </c>
      <c r="J228" s="344">
        <f t="shared" si="15"/>
        <v>0</v>
      </c>
    </row>
    <row r="229" spans="1:14" ht="15.75">
      <c r="A229" s="188" t="s">
        <v>150</v>
      </c>
      <c r="B229" s="181">
        <f>+SUMIF('New Master-List'!$AH$3:$AH$9995,'By Industries (NBC)'!A229,'New Master-List'!$L$3:$L$9995)</f>
        <v>0</v>
      </c>
      <c r="C229" s="1555">
        <f>+SUMIF('New Master-List'!$AH$3:$AH$9995,'By Industries (NBC)'!A229,'New Master-List'!$M$3:$M$9995)+SUMIF('New Master-List'!$AH$3:$AH$9995,'By Industries (NBC)'!A229,'New Master-List'!$N$3:$N$9995)++SUMIF('New Master-List'!$AH$3:$AH$9995,'By Industries (NBC)'!A229,'New Master-List'!$O$3:$O$9995)</f>
        <v>0</v>
      </c>
      <c r="D229" s="181">
        <f>+SUMIF('New Master-List'!$AH$3:$AH$9995,'By Industries (NBC)'!A229,'New Master-List'!$V$3:$V$9995)</f>
        <v>0</v>
      </c>
      <c r="E229" s="181">
        <f>+SUMIF('New Master-List'!$AH$199:$AH$9995,'By Industries (NBC)'!A229,'New Master-List'!$X$199:$X$9995)</f>
        <v>0</v>
      </c>
      <c r="G229" s="344">
        <f t="shared" si="12"/>
        <v>0</v>
      </c>
      <c r="H229" s="344">
        <f t="shared" si="13"/>
        <v>0</v>
      </c>
      <c r="I229" s="344">
        <f t="shared" si="14"/>
        <v>0</v>
      </c>
      <c r="J229" s="344">
        <f t="shared" si="15"/>
        <v>0</v>
      </c>
      <c r="K229" s="174"/>
      <c r="L229" s="174"/>
      <c r="M229" s="174"/>
      <c r="N229" s="174"/>
    </row>
    <row r="230" spans="1:14" ht="15.75">
      <c r="A230" s="186" t="s">
        <v>343</v>
      </c>
      <c r="B230" s="181">
        <f>+SUMIF('New Master-List'!$AH$3:$AH$9995,'By Industries (NBC)'!A230,'New Master-List'!$L$3:$L$9995)</f>
        <v>0</v>
      </c>
      <c r="C230" s="1555">
        <f>+SUMIF('New Master-List'!$AH$3:$AH$9995,'By Industries (NBC)'!A230,'New Master-List'!$M$3:$M$9995)+SUMIF('New Master-List'!$AH$3:$AH$9995,'By Industries (NBC)'!A230,'New Master-List'!$N$3:$N$9995)++SUMIF('New Master-List'!$AH$3:$AH$9995,'By Industries (NBC)'!A230,'New Master-List'!$O$3:$O$9995)</f>
        <v>0</v>
      </c>
      <c r="D230" s="181">
        <f>+SUMIF('New Master-List'!$AH$3:$AH$9995,'By Industries (NBC)'!A230,'New Master-List'!$V$3:$V$9995)</f>
        <v>0</v>
      </c>
      <c r="E230" s="181">
        <f>+SUMIF('New Master-List'!$AH$199:$AH$9995,'By Industries (NBC)'!A230,'New Master-List'!$X$199:$X$9995)</f>
        <v>0</v>
      </c>
      <c r="G230" s="344">
        <f t="shared" si="12"/>
        <v>0</v>
      </c>
      <c r="H230" s="344">
        <f t="shared" si="13"/>
        <v>0</v>
      </c>
      <c r="I230" s="344">
        <f t="shared" si="14"/>
        <v>0</v>
      </c>
      <c r="J230" s="344">
        <f t="shared" si="15"/>
        <v>0</v>
      </c>
    </row>
    <row r="231" spans="1:14" ht="15.75">
      <c r="A231" s="186" t="s">
        <v>344</v>
      </c>
      <c r="B231" s="181">
        <f>+SUMIF('New Master-List'!$AH$3:$AH$9995,'By Industries (NBC)'!A231,'New Master-List'!$L$3:$L$9995)</f>
        <v>0</v>
      </c>
      <c r="C231" s="1555">
        <f>+SUMIF('New Master-List'!$AH$3:$AH$9995,'By Industries (NBC)'!A231,'New Master-List'!$M$3:$M$9995)+SUMIF('New Master-List'!$AH$3:$AH$9995,'By Industries (NBC)'!A231,'New Master-List'!$N$3:$N$9995)++SUMIF('New Master-List'!$AH$3:$AH$9995,'By Industries (NBC)'!A231,'New Master-List'!$O$3:$O$9995)</f>
        <v>0</v>
      </c>
      <c r="D231" s="181">
        <f>+SUMIF('New Master-List'!$AH$3:$AH$9995,'By Industries (NBC)'!A231,'New Master-List'!$V$3:$V$9995)</f>
        <v>0</v>
      </c>
      <c r="E231" s="181">
        <f>+SUMIF('New Master-List'!$AH$199:$AH$9995,'By Industries (NBC)'!A231,'New Master-List'!$X$199:$X$9995)</f>
        <v>0</v>
      </c>
      <c r="G231" s="344">
        <f t="shared" si="12"/>
        <v>0</v>
      </c>
      <c r="H231" s="344">
        <f t="shared" si="13"/>
        <v>0</v>
      </c>
      <c r="I231" s="344">
        <f t="shared" si="14"/>
        <v>0</v>
      </c>
      <c r="J231" s="344">
        <f t="shared" si="15"/>
        <v>0</v>
      </c>
    </row>
    <row r="232" spans="1:14" ht="15.75">
      <c r="A232" s="186" t="s">
        <v>345</v>
      </c>
      <c r="B232" s="181">
        <f>+SUMIF('New Master-List'!$AH$3:$AH$9995,'By Industries (NBC)'!A232,'New Master-List'!$L$3:$L$9995)</f>
        <v>0</v>
      </c>
      <c r="C232" s="1555">
        <f>+SUMIF('New Master-List'!$AH$3:$AH$9995,'By Industries (NBC)'!A232,'New Master-List'!$M$3:$M$9995)+SUMIF('New Master-List'!$AH$3:$AH$9995,'By Industries (NBC)'!A232,'New Master-List'!$N$3:$N$9995)++SUMIF('New Master-List'!$AH$3:$AH$9995,'By Industries (NBC)'!A232,'New Master-List'!$O$3:$O$9995)</f>
        <v>0</v>
      </c>
      <c r="D232" s="181">
        <f>+SUMIF('New Master-List'!$AH$3:$AH$9995,'By Industries (NBC)'!A232,'New Master-List'!$V$3:$V$9995)</f>
        <v>0</v>
      </c>
      <c r="E232" s="181">
        <f>+SUMIF('New Master-List'!$AH$199:$AH$9995,'By Industries (NBC)'!A232,'New Master-List'!$X$199:$X$9995)</f>
        <v>0</v>
      </c>
      <c r="G232" s="344">
        <f t="shared" si="12"/>
        <v>0</v>
      </c>
      <c r="H232" s="344">
        <f t="shared" si="13"/>
        <v>0</v>
      </c>
      <c r="I232" s="344">
        <f t="shared" si="14"/>
        <v>0</v>
      </c>
      <c r="J232" s="344">
        <f t="shared" si="15"/>
        <v>0</v>
      </c>
    </row>
    <row r="233" spans="1:14" ht="15.75">
      <c r="A233" s="186" t="s">
        <v>346</v>
      </c>
      <c r="B233" s="181">
        <f>+SUMIF('New Master-List'!$AH$3:$AH$9995,'By Industries (NBC)'!A233,'New Master-List'!$L$3:$L$9995)</f>
        <v>0</v>
      </c>
      <c r="C233" s="1555">
        <f>+SUMIF('New Master-List'!$AH$3:$AH$9995,'By Industries (NBC)'!A233,'New Master-List'!$M$3:$M$9995)+SUMIF('New Master-List'!$AH$3:$AH$9995,'By Industries (NBC)'!A233,'New Master-List'!$N$3:$N$9995)++SUMIF('New Master-List'!$AH$3:$AH$9995,'By Industries (NBC)'!A233,'New Master-List'!$O$3:$O$9995)</f>
        <v>0</v>
      </c>
      <c r="D233" s="181">
        <f>+SUMIF('New Master-List'!$AH$3:$AH$9995,'By Industries (NBC)'!A233,'New Master-List'!$V$3:$V$9995)</f>
        <v>0</v>
      </c>
      <c r="E233" s="181">
        <f>+SUMIF('New Master-List'!$AH$199:$AH$9995,'By Industries (NBC)'!A233,'New Master-List'!$X$199:$X$9995)</f>
        <v>0</v>
      </c>
      <c r="G233" s="344">
        <f t="shared" si="12"/>
        <v>0</v>
      </c>
      <c r="H233" s="344">
        <f t="shared" si="13"/>
        <v>0</v>
      </c>
      <c r="I233" s="344">
        <f t="shared" si="14"/>
        <v>0</v>
      </c>
      <c r="J233" s="344">
        <f t="shared" si="15"/>
        <v>0</v>
      </c>
    </row>
    <row r="234" spans="1:14" ht="15.75">
      <c r="A234" s="188" t="s">
        <v>151</v>
      </c>
      <c r="B234" s="181">
        <f>+SUMIF('New Master-List'!$AH$3:$AH$9995,'By Industries (NBC)'!A234,'New Master-List'!$L$3:$L$9995)</f>
        <v>0</v>
      </c>
      <c r="C234" s="1555">
        <f>+SUMIF('New Master-List'!$AH$3:$AH$9995,'By Industries (NBC)'!A234,'New Master-List'!$M$3:$M$9995)+SUMIF('New Master-List'!$AH$3:$AH$9995,'By Industries (NBC)'!A234,'New Master-List'!$N$3:$N$9995)++SUMIF('New Master-List'!$AH$3:$AH$9995,'By Industries (NBC)'!A234,'New Master-List'!$O$3:$O$9995)</f>
        <v>0</v>
      </c>
      <c r="D234" s="181">
        <f>+SUMIF('New Master-List'!$AH$3:$AH$9995,'By Industries (NBC)'!A234,'New Master-List'!$V$3:$V$9995)</f>
        <v>0</v>
      </c>
      <c r="E234" s="181">
        <f>+SUMIF('New Master-List'!$AH$199:$AH$9995,'By Industries (NBC)'!A234,'New Master-List'!$X$199:$X$9995)</f>
        <v>0</v>
      </c>
      <c r="G234" s="344">
        <f t="shared" si="12"/>
        <v>0</v>
      </c>
      <c r="H234" s="344">
        <f t="shared" si="13"/>
        <v>0</v>
      </c>
      <c r="I234" s="344">
        <f t="shared" si="14"/>
        <v>0</v>
      </c>
      <c r="J234" s="344">
        <f t="shared" si="15"/>
        <v>0</v>
      </c>
      <c r="K234" s="174"/>
      <c r="L234" s="174"/>
      <c r="M234" s="174"/>
      <c r="N234" s="174"/>
    </row>
    <row r="235" spans="1:14" ht="15.75">
      <c r="A235" s="186" t="s">
        <v>347</v>
      </c>
      <c r="B235" s="181">
        <f>+SUMIF('New Master-List'!$AH$3:$AH$9995,'By Industries (NBC)'!A235,'New Master-List'!$L$3:$L$9995)</f>
        <v>0</v>
      </c>
      <c r="C235" s="1555">
        <f>+SUMIF('New Master-List'!$AH$3:$AH$9995,'By Industries (NBC)'!A235,'New Master-List'!$M$3:$M$9995)+SUMIF('New Master-List'!$AH$3:$AH$9995,'By Industries (NBC)'!A235,'New Master-List'!$N$3:$N$9995)++SUMIF('New Master-List'!$AH$3:$AH$9995,'By Industries (NBC)'!A235,'New Master-List'!$O$3:$O$9995)</f>
        <v>0</v>
      </c>
      <c r="D235" s="181">
        <f>+SUMIF('New Master-List'!$AH$3:$AH$9995,'By Industries (NBC)'!A235,'New Master-List'!$V$3:$V$9995)</f>
        <v>0</v>
      </c>
      <c r="E235" s="181">
        <f>+SUMIF('New Master-List'!$AH$199:$AH$9995,'By Industries (NBC)'!A235,'New Master-List'!$X$199:$X$9995)</f>
        <v>0</v>
      </c>
      <c r="G235" s="344">
        <f t="shared" si="12"/>
        <v>0</v>
      </c>
      <c r="H235" s="344">
        <f t="shared" si="13"/>
        <v>0</v>
      </c>
      <c r="I235" s="344">
        <f t="shared" si="14"/>
        <v>0</v>
      </c>
      <c r="J235" s="344">
        <f t="shared" si="15"/>
        <v>0</v>
      </c>
    </row>
    <row r="236" spans="1:14" ht="15.75">
      <c r="A236" s="186" t="s">
        <v>348</v>
      </c>
      <c r="B236" s="181">
        <f>+SUMIF('New Master-List'!$AH$3:$AH$9995,'By Industries (NBC)'!A236,'New Master-List'!$L$3:$L$9995)</f>
        <v>0</v>
      </c>
      <c r="C236" s="1555">
        <f>+SUMIF('New Master-List'!$AH$3:$AH$9995,'By Industries (NBC)'!A236,'New Master-List'!$M$3:$M$9995)+SUMIF('New Master-List'!$AH$3:$AH$9995,'By Industries (NBC)'!A236,'New Master-List'!$N$3:$N$9995)++SUMIF('New Master-List'!$AH$3:$AH$9995,'By Industries (NBC)'!A236,'New Master-List'!$O$3:$O$9995)</f>
        <v>0</v>
      </c>
      <c r="D236" s="181">
        <f>+SUMIF('New Master-List'!$AH$3:$AH$9995,'By Industries (NBC)'!A236,'New Master-List'!$V$3:$V$9995)</f>
        <v>0</v>
      </c>
      <c r="E236" s="181">
        <f>+SUMIF('New Master-List'!$AH$199:$AH$9995,'By Industries (NBC)'!A236,'New Master-List'!$X$199:$X$9995)</f>
        <v>0</v>
      </c>
      <c r="G236" s="344">
        <f t="shared" si="12"/>
        <v>0</v>
      </c>
      <c r="H236" s="344">
        <f t="shared" si="13"/>
        <v>0</v>
      </c>
      <c r="I236" s="344">
        <f t="shared" si="14"/>
        <v>0</v>
      </c>
      <c r="J236" s="344">
        <f t="shared" si="15"/>
        <v>0</v>
      </c>
    </row>
    <row r="237" spans="1:14" ht="15.75">
      <c r="A237" s="186" t="s">
        <v>349</v>
      </c>
      <c r="B237" s="181">
        <f>+SUMIF('New Master-List'!$AH$3:$AH$9995,'By Industries (NBC)'!A237,'New Master-List'!$L$3:$L$9995)</f>
        <v>0</v>
      </c>
      <c r="C237" s="1555">
        <f>+SUMIF('New Master-List'!$AH$3:$AH$9995,'By Industries (NBC)'!A237,'New Master-List'!$M$3:$M$9995)+SUMIF('New Master-List'!$AH$3:$AH$9995,'By Industries (NBC)'!A237,'New Master-List'!$N$3:$N$9995)++SUMIF('New Master-List'!$AH$3:$AH$9995,'By Industries (NBC)'!A237,'New Master-List'!$O$3:$O$9995)</f>
        <v>0</v>
      </c>
      <c r="D237" s="181">
        <f>+SUMIF('New Master-List'!$AH$3:$AH$9995,'By Industries (NBC)'!A237,'New Master-List'!$V$3:$V$9995)</f>
        <v>0</v>
      </c>
      <c r="E237" s="181">
        <f>+SUMIF('New Master-List'!$AH$199:$AH$9995,'By Industries (NBC)'!A237,'New Master-List'!$X$199:$X$9995)</f>
        <v>0</v>
      </c>
      <c r="G237" s="344">
        <f t="shared" si="12"/>
        <v>0</v>
      </c>
      <c r="H237" s="344">
        <f t="shared" si="13"/>
        <v>0</v>
      </c>
      <c r="I237" s="344">
        <f t="shared" si="14"/>
        <v>0</v>
      </c>
      <c r="J237" s="344">
        <f t="shared" si="15"/>
        <v>0</v>
      </c>
    </row>
    <row r="238" spans="1:14" ht="15.75">
      <c r="A238" s="186" t="s">
        <v>350</v>
      </c>
      <c r="B238" s="181">
        <f>+SUMIF('New Master-List'!$AH$3:$AH$9995,'By Industries (NBC)'!A238,'New Master-List'!$L$3:$L$9995)</f>
        <v>0</v>
      </c>
      <c r="C238" s="1555">
        <f>+SUMIF('New Master-List'!$AH$3:$AH$9995,'By Industries (NBC)'!A238,'New Master-List'!$M$3:$M$9995)+SUMIF('New Master-List'!$AH$3:$AH$9995,'By Industries (NBC)'!A238,'New Master-List'!$N$3:$N$9995)++SUMIF('New Master-List'!$AH$3:$AH$9995,'By Industries (NBC)'!A238,'New Master-List'!$O$3:$O$9995)</f>
        <v>0</v>
      </c>
      <c r="D238" s="181">
        <f>+SUMIF('New Master-List'!$AH$3:$AH$9995,'By Industries (NBC)'!A238,'New Master-List'!$V$3:$V$9995)</f>
        <v>0</v>
      </c>
      <c r="E238" s="181">
        <f>+SUMIF('New Master-List'!$AH$199:$AH$9995,'By Industries (NBC)'!A238,'New Master-List'!$X$199:$X$9995)</f>
        <v>0</v>
      </c>
      <c r="G238" s="344">
        <f t="shared" si="12"/>
        <v>0</v>
      </c>
      <c r="H238" s="344">
        <f t="shared" si="13"/>
        <v>0</v>
      </c>
      <c r="I238" s="344">
        <f t="shared" si="14"/>
        <v>0</v>
      </c>
      <c r="J238" s="344">
        <f t="shared" si="15"/>
        <v>0</v>
      </c>
    </row>
    <row r="239" spans="1:14" ht="15.75">
      <c r="A239" s="188" t="s">
        <v>152</v>
      </c>
      <c r="B239" s="181">
        <f>+SUMIF('New Master-List'!$AH$3:$AH$9995,'By Industries (NBC)'!A239,'New Master-List'!$L$3:$L$9995)</f>
        <v>0</v>
      </c>
      <c r="C239" s="1555">
        <f>+SUMIF('New Master-List'!$AH$3:$AH$9995,'By Industries (NBC)'!A239,'New Master-List'!$M$3:$M$9995)+SUMIF('New Master-List'!$AH$3:$AH$9995,'By Industries (NBC)'!A239,'New Master-List'!$N$3:$N$9995)++SUMIF('New Master-List'!$AH$3:$AH$9995,'By Industries (NBC)'!A239,'New Master-List'!$O$3:$O$9995)</f>
        <v>0</v>
      </c>
      <c r="D239" s="181">
        <f>+SUMIF('New Master-List'!$AH$3:$AH$9995,'By Industries (NBC)'!A239,'New Master-List'!$V$3:$V$9995)</f>
        <v>0</v>
      </c>
      <c r="E239" s="181">
        <f>+SUMIF('New Master-List'!$AH$199:$AH$9995,'By Industries (NBC)'!A239,'New Master-List'!$X$199:$X$9995)</f>
        <v>0</v>
      </c>
      <c r="G239" s="344">
        <f t="shared" si="12"/>
        <v>0</v>
      </c>
      <c r="H239" s="344">
        <f t="shared" si="13"/>
        <v>0</v>
      </c>
      <c r="I239" s="344">
        <f t="shared" si="14"/>
        <v>0</v>
      </c>
      <c r="J239" s="344">
        <f t="shared" si="15"/>
        <v>0</v>
      </c>
      <c r="K239" s="174"/>
      <c r="L239" s="174"/>
      <c r="M239" s="174"/>
      <c r="N239" s="174"/>
    </row>
    <row r="240" spans="1:14" ht="15.75">
      <c r="A240" s="186" t="s">
        <v>351</v>
      </c>
      <c r="B240" s="181">
        <f>+SUMIF('New Master-List'!$AH$3:$AH$9995,'By Industries (NBC)'!A240,'New Master-List'!$L$3:$L$9995)</f>
        <v>0</v>
      </c>
      <c r="C240" s="1555">
        <f>+SUMIF('New Master-List'!$AH$3:$AH$9995,'By Industries (NBC)'!A240,'New Master-List'!$M$3:$M$9995)+SUMIF('New Master-List'!$AH$3:$AH$9995,'By Industries (NBC)'!A240,'New Master-List'!$N$3:$N$9995)++SUMIF('New Master-List'!$AH$3:$AH$9995,'By Industries (NBC)'!A240,'New Master-List'!$O$3:$O$9995)</f>
        <v>0</v>
      </c>
      <c r="D240" s="181">
        <f>+SUMIF('New Master-List'!$AH$3:$AH$9995,'By Industries (NBC)'!A240,'New Master-List'!$V$3:$V$9995)</f>
        <v>0</v>
      </c>
      <c r="E240" s="181">
        <f>+SUMIF('New Master-List'!$AH$199:$AH$9995,'By Industries (NBC)'!A240,'New Master-List'!$X$199:$X$9995)</f>
        <v>0</v>
      </c>
      <c r="G240" s="344">
        <f t="shared" si="12"/>
        <v>0</v>
      </c>
      <c r="H240" s="344">
        <f t="shared" si="13"/>
        <v>0</v>
      </c>
      <c r="I240" s="344">
        <f t="shared" si="14"/>
        <v>0</v>
      </c>
      <c r="J240" s="344">
        <f t="shared" si="15"/>
        <v>0</v>
      </c>
    </row>
    <row r="241" spans="1:14" ht="15.75">
      <c r="A241" s="186" t="s">
        <v>352</v>
      </c>
      <c r="B241" s="181">
        <f>+SUMIF('New Master-List'!$AH$3:$AH$9995,'By Industries (NBC)'!A241,'New Master-List'!$L$3:$L$9995)</f>
        <v>0</v>
      </c>
      <c r="C241" s="1555">
        <f>+SUMIF('New Master-List'!$AH$3:$AH$9995,'By Industries (NBC)'!A241,'New Master-List'!$M$3:$M$9995)+SUMIF('New Master-List'!$AH$3:$AH$9995,'By Industries (NBC)'!A241,'New Master-List'!$N$3:$N$9995)++SUMIF('New Master-List'!$AH$3:$AH$9995,'By Industries (NBC)'!A241,'New Master-List'!$O$3:$O$9995)</f>
        <v>0</v>
      </c>
      <c r="D241" s="181">
        <f>+SUMIF('New Master-List'!$AH$3:$AH$9995,'By Industries (NBC)'!A241,'New Master-List'!$V$3:$V$9995)</f>
        <v>0</v>
      </c>
      <c r="E241" s="181">
        <f>+SUMIF('New Master-List'!$AH$199:$AH$9995,'By Industries (NBC)'!A241,'New Master-List'!$X$199:$X$9995)</f>
        <v>0</v>
      </c>
      <c r="G241" s="344">
        <f t="shared" si="12"/>
        <v>0</v>
      </c>
      <c r="H241" s="344">
        <f t="shared" si="13"/>
        <v>0</v>
      </c>
      <c r="I241" s="344">
        <f t="shared" si="14"/>
        <v>0</v>
      </c>
      <c r="J241" s="344">
        <f t="shared" si="15"/>
        <v>0</v>
      </c>
    </row>
    <row r="242" spans="1:14" ht="15.75">
      <c r="A242" s="186" t="s">
        <v>353</v>
      </c>
      <c r="B242" s="181">
        <f>+SUMIF('New Master-List'!$AH$3:$AH$9995,'By Industries (NBC)'!A242,'New Master-List'!$L$3:$L$9995)</f>
        <v>0</v>
      </c>
      <c r="C242" s="1555">
        <f>+SUMIF('New Master-List'!$AH$3:$AH$9995,'By Industries (NBC)'!A242,'New Master-List'!$M$3:$M$9995)+SUMIF('New Master-List'!$AH$3:$AH$9995,'By Industries (NBC)'!A242,'New Master-List'!$N$3:$N$9995)++SUMIF('New Master-List'!$AH$3:$AH$9995,'By Industries (NBC)'!A242,'New Master-List'!$O$3:$O$9995)</f>
        <v>0</v>
      </c>
      <c r="D242" s="181">
        <f>+SUMIF('New Master-List'!$AH$3:$AH$9995,'By Industries (NBC)'!A242,'New Master-List'!$V$3:$V$9995)</f>
        <v>0</v>
      </c>
      <c r="E242" s="181">
        <f>+SUMIF('New Master-List'!$AH$199:$AH$9995,'By Industries (NBC)'!A242,'New Master-List'!$X$199:$X$9995)</f>
        <v>0</v>
      </c>
      <c r="G242" s="344">
        <f t="shared" si="12"/>
        <v>0</v>
      </c>
      <c r="H242" s="344">
        <f t="shared" si="13"/>
        <v>0</v>
      </c>
      <c r="I242" s="344">
        <f t="shared" si="14"/>
        <v>0</v>
      </c>
      <c r="J242" s="344">
        <f t="shared" si="15"/>
        <v>0</v>
      </c>
    </row>
    <row r="243" spans="1:14" ht="15.75">
      <c r="A243" s="186" t="s">
        <v>354</v>
      </c>
      <c r="B243" s="181">
        <f>+SUMIF('New Master-List'!$AH$3:$AH$9995,'By Industries (NBC)'!A243,'New Master-List'!$L$3:$L$9995)</f>
        <v>0</v>
      </c>
      <c r="C243" s="1555">
        <f>+SUMIF('New Master-List'!$AH$3:$AH$9995,'By Industries (NBC)'!A243,'New Master-List'!$M$3:$M$9995)+SUMIF('New Master-List'!$AH$3:$AH$9995,'By Industries (NBC)'!A243,'New Master-List'!$N$3:$N$9995)++SUMIF('New Master-List'!$AH$3:$AH$9995,'By Industries (NBC)'!A243,'New Master-List'!$O$3:$O$9995)</f>
        <v>0</v>
      </c>
      <c r="D243" s="181">
        <f>+SUMIF('New Master-List'!$AH$3:$AH$9995,'By Industries (NBC)'!A243,'New Master-List'!$V$3:$V$9995)</f>
        <v>0</v>
      </c>
      <c r="E243" s="181">
        <f>+SUMIF('New Master-List'!$AH$199:$AH$9995,'By Industries (NBC)'!A243,'New Master-List'!$X$199:$X$9995)</f>
        <v>0</v>
      </c>
      <c r="G243" s="344">
        <f t="shared" si="12"/>
        <v>0</v>
      </c>
      <c r="H243" s="344">
        <f t="shared" si="13"/>
        <v>0</v>
      </c>
      <c r="I243" s="344">
        <f t="shared" si="14"/>
        <v>0</v>
      </c>
      <c r="J243" s="344">
        <f t="shared" si="15"/>
        <v>0</v>
      </c>
    </row>
    <row r="244" spans="1:14" ht="15.75">
      <c r="A244" s="188" t="s">
        <v>153</v>
      </c>
      <c r="B244" s="181">
        <f>+SUMIF('New Master-List'!$AH$3:$AH$9995,'By Industries (NBC)'!A244,'New Master-List'!$L$3:$L$9995)</f>
        <v>0</v>
      </c>
      <c r="C244" s="1555">
        <f>+SUMIF('New Master-List'!$AH$3:$AH$9995,'By Industries (NBC)'!A244,'New Master-List'!$M$3:$M$9995)+SUMIF('New Master-List'!$AH$3:$AH$9995,'By Industries (NBC)'!A244,'New Master-List'!$N$3:$N$9995)++SUMIF('New Master-List'!$AH$3:$AH$9995,'By Industries (NBC)'!A244,'New Master-List'!$O$3:$O$9995)</f>
        <v>0</v>
      </c>
      <c r="D244" s="181">
        <f>+SUMIF('New Master-List'!$AH$3:$AH$9995,'By Industries (NBC)'!A244,'New Master-List'!$V$3:$V$9995)</f>
        <v>0</v>
      </c>
      <c r="E244" s="181">
        <f>+SUMIF('New Master-List'!$AH$199:$AH$9995,'By Industries (NBC)'!A244,'New Master-List'!$X$199:$X$9995)</f>
        <v>0</v>
      </c>
      <c r="G244" s="344">
        <f t="shared" si="12"/>
        <v>0</v>
      </c>
      <c r="H244" s="344">
        <f t="shared" si="13"/>
        <v>0</v>
      </c>
      <c r="I244" s="344">
        <f t="shared" si="14"/>
        <v>0</v>
      </c>
      <c r="J244" s="344">
        <f t="shared" si="15"/>
        <v>0</v>
      </c>
      <c r="K244" s="174"/>
      <c r="L244" s="174"/>
      <c r="M244" s="174"/>
      <c r="N244" s="174"/>
    </row>
    <row r="245" spans="1:14" ht="15.75">
      <c r="A245" s="186" t="s">
        <v>355</v>
      </c>
      <c r="B245" s="181">
        <f>+SUMIF('New Master-List'!$AH$3:$AH$9995,'By Industries (NBC)'!A245,'New Master-List'!$L$3:$L$9995)</f>
        <v>0</v>
      </c>
      <c r="C245" s="1555">
        <f>+SUMIF('New Master-List'!$AH$3:$AH$9995,'By Industries (NBC)'!A245,'New Master-List'!$M$3:$M$9995)+SUMIF('New Master-List'!$AH$3:$AH$9995,'By Industries (NBC)'!A245,'New Master-List'!$N$3:$N$9995)++SUMIF('New Master-List'!$AH$3:$AH$9995,'By Industries (NBC)'!A245,'New Master-List'!$O$3:$O$9995)</f>
        <v>0</v>
      </c>
      <c r="D245" s="181">
        <f>+SUMIF('New Master-List'!$AH$3:$AH$9995,'By Industries (NBC)'!A245,'New Master-List'!$V$3:$V$9995)</f>
        <v>0</v>
      </c>
      <c r="E245" s="181">
        <f>+SUMIF('New Master-List'!$AH$199:$AH$9995,'By Industries (NBC)'!A245,'New Master-List'!$X$199:$X$9995)</f>
        <v>0</v>
      </c>
      <c r="G245" s="344">
        <f t="shared" si="12"/>
        <v>0</v>
      </c>
      <c r="H245" s="344">
        <f t="shared" si="13"/>
        <v>0</v>
      </c>
      <c r="I245" s="344">
        <f t="shared" si="14"/>
        <v>0</v>
      </c>
      <c r="J245" s="344">
        <f t="shared" si="15"/>
        <v>0</v>
      </c>
    </row>
    <row r="246" spans="1:14" ht="15.75">
      <c r="A246" s="186" t="s">
        <v>356</v>
      </c>
      <c r="B246" s="181">
        <f>+SUMIF('New Master-List'!$AH$3:$AH$9995,'By Industries (NBC)'!A246,'New Master-List'!$L$3:$L$9995)</f>
        <v>0</v>
      </c>
      <c r="C246" s="1555">
        <f>+SUMIF('New Master-List'!$AH$3:$AH$9995,'By Industries (NBC)'!A246,'New Master-List'!$M$3:$M$9995)+SUMIF('New Master-List'!$AH$3:$AH$9995,'By Industries (NBC)'!A246,'New Master-List'!$N$3:$N$9995)++SUMIF('New Master-List'!$AH$3:$AH$9995,'By Industries (NBC)'!A246,'New Master-List'!$O$3:$O$9995)</f>
        <v>0</v>
      </c>
      <c r="D246" s="181">
        <f>+SUMIF('New Master-List'!$AH$3:$AH$9995,'By Industries (NBC)'!A246,'New Master-List'!$V$3:$V$9995)</f>
        <v>0</v>
      </c>
      <c r="E246" s="181">
        <f>+SUMIF('New Master-List'!$AH$199:$AH$9995,'By Industries (NBC)'!A246,'New Master-List'!$X$199:$X$9995)</f>
        <v>0</v>
      </c>
      <c r="G246" s="344">
        <f t="shared" si="12"/>
        <v>0</v>
      </c>
      <c r="H246" s="344">
        <f t="shared" si="13"/>
        <v>0</v>
      </c>
      <c r="I246" s="344">
        <f t="shared" si="14"/>
        <v>0</v>
      </c>
      <c r="J246" s="344">
        <f t="shared" si="15"/>
        <v>0</v>
      </c>
    </row>
    <row r="247" spans="1:14" ht="15.75">
      <c r="A247" s="186" t="s">
        <v>357</v>
      </c>
      <c r="B247" s="181">
        <f>+SUMIF('New Master-List'!$AH$3:$AH$9995,'By Industries (NBC)'!A247,'New Master-List'!$L$3:$L$9995)</f>
        <v>0</v>
      </c>
      <c r="C247" s="1555">
        <f>+SUMIF('New Master-List'!$AH$3:$AH$9995,'By Industries (NBC)'!A247,'New Master-List'!$M$3:$M$9995)+SUMIF('New Master-List'!$AH$3:$AH$9995,'By Industries (NBC)'!A247,'New Master-List'!$N$3:$N$9995)++SUMIF('New Master-List'!$AH$3:$AH$9995,'By Industries (NBC)'!A247,'New Master-List'!$O$3:$O$9995)</f>
        <v>0</v>
      </c>
      <c r="D247" s="181">
        <f>+SUMIF('New Master-List'!$AH$3:$AH$9995,'By Industries (NBC)'!A247,'New Master-List'!$V$3:$V$9995)</f>
        <v>0</v>
      </c>
      <c r="E247" s="181">
        <f>+SUMIF('New Master-List'!$AH$199:$AH$9995,'By Industries (NBC)'!A247,'New Master-List'!$X$199:$X$9995)</f>
        <v>0</v>
      </c>
      <c r="G247" s="344">
        <f t="shared" si="12"/>
        <v>0</v>
      </c>
      <c r="H247" s="344">
        <f t="shared" si="13"/>
        <v>0</v>
      </c>
      <c r="I247" s="344">
        <f t="shared" si="14"/>
        <v>0</v>
      </c>
      <c r="J247" s="344">
        <f t="shared" si="15"/>
        <v>0</v>
      </c>
    </row>
    <row r="248" spans="1:14" ht="15.75">
      <c r="A248" s="186" t="s">
        <v>358</v>
      </c>
      <c r="B248" s="181">
        <f>+SUMIF('New Master-List'!$AH$3:$AH$9995,'By Industries (NBC)'!A248,'New Master-List'!$L$3:$L$9995)</f>
        <v>20000</v>
      </c>
      <c r="C248" s="1555">
        <f>+SUMIF('New Master-List'!$AH$3:$AH$9995,'By Industries (NBC)'!A248,'New Master-List'!$M$3:$M$9995)+SUMIF('New Master-List'!$AH$3:$AH$9995,'By Industries (NBC)'!A248,'New Master-List'!$N$3:$N$9995)++SUMIF('New Master-List'!$AH$3:$AH$9995,'By Industries (NBC)'!A248,'New Master-List'!$O$3:$O$9995)</f>
        <v>7154.88</v>
      </c>
      <c r="D248" s="181">
        <f>+SUMIF('New Master-List'!$AH$3:$AH$9995,'By Industries (NBC)'!A248,'New Master-List'!$V$3:$V$9995)</f>
        <v>9.2800000000000011</v>
      </c>
      <c r="E248" s="181">
        <f>+SUMIF('New Master-List'!$AH$199:$AH$9995,'By Industries (NBC)'!A248,'New Master-List'!$X$199:$X$9995)</f>
        <v>0</v>
      </c>
      <c r="G248" s="344">
        <f t="shared" si="12"/>
        <v>81.38</v>
      </c>
      <c r="H248" s="344">
        <f t="shared" si="13"/>
        <v>29.11</v>
      </c>
      <c r="I248" s="344">
        <f t="shared" si="14"/>
        <v>0.04</v>
      </c>
      <c r="J248" s="344">
        <f t="shared" si="15"/>
        <v>0</v>
      </c>
    </row>
    <row r="249" spans="1:14" ht="15.75">
      <c r="A249" s="188" t="s">
        <v>154</v>
      </c>
      <c r="B249" s="181">
        <f>+SUMIF('New Master-List'!$AH$3:$AH$9995,'By Industries (NBC)'!A249,'New Master-List'!$L$3:$L$9995)</f>
        <v>0</v>
      </c>
      <c r="C249" s="1555">
        <f>+SUMIF('New Master-List'!$AH$3:$AH$9995,'By Industries (NBC)'!A249,'New Master-List'!$M$3:$M$9995)+SUMIF('New Master-List'!$AH$3:$AH$9995,'By Industries (NBC)'!A249,'New Master-List'!$N$3:$N$9995)++SUMIF('New Master-List'!$AH$3:$AH$9995,'By Industries (NBC)'!A249,'New Master-List'!$O$3:$O$9995)</f>
        <v>0</v>
      </c>
      <c r="D249" s="181">
        <f>+SUMIF('New Master-List'!$AH$3:$AH$9995,'By Industries (NBC)'!A249,'New Master-List'!$V$3:$V$9995)</f>
        <v>0</v>
      </c>
      <c r="E249" s="181">
        <f>+SUMIF('New Master-List'!$AH$199:$AH$9995,'By Industries (NBC)'!A249,'New Master-List'!$X$199:$X$9995)</f>
        <v>0</v>
      </c>
      <c r="G249" s="344">
        <f t="shared" si="12"/>
        <v>0</v>
      </c>
      <c r="H249" s="344">
        <f t="shared" si="13"/>
        <v>0</v>
      </c>
      <c r="I249" s="344">
        <f t="shared" si="14"/>
        <v>0</v>
      </c>
      <c r="J249" s="344">
        <f t="shared" si="15"/>
        <v>0</v>
      </c>
      <c r="K249" s="174"/>
      <c r="L249" s="174"/>
      <c r="M249" s="174"/>
      <c r="N249" s="174"/>
    </row>
    <row r="250" spans="1:14" ht="15.75">
      <c r="A250" s="186" t="s">
        <v>359</v>
      </c>
      <c r="B250" s="181">
        <f>+SUMIF('New Master-List'!$AH$3:$AH$9995,'By Industries (NBC)'!A250,'New Master-List'!$L$3:$L$9995)</f>
        <v>0</v>
      </c>
      <c r="C250" s="1555">
        <f>+SUMIF('New Master-List'!$AH$3:$AH$9995,'By Industries (NBC)'!A250,'New Master-List'!$M$3:$M$9995)+SUMIF('New Master-List'!$AH$3:$AH$9995,'By Industries (NBC)'!A250,'New Master-List'!$N$3:$N$9995)++SUMIF('New Master-List'!$AH$3:$AH$9995,'By Industries (NBC)'!A250,'New Master-List'!$O$3:$O$9995)</f>
        <v>0</v>
      </c>
      <c r="D250" s="181">
        <f>+SUMIF('New Master-List'!$AH$3:$AH$9995,'By Industries (NBC)'!A250,'New Master-List'!$V$3:$V$9995)</f>
        <v>0</v>
      </c>
      <c r="E250" s="181">
        <f>+SUMIF('New Master-List'!$AH$199:$AH$9995,'By Industries (NBC)'!A250,'New Master-List'!$X$199:$X$9995)</f>
        <v>0</v>
      </c>
      <c r="G250" s="344">
        <f t="shared" ref="G250:G288" si="16">ROUND((B250*$J$1)/1000000,2)</f>
        <v>0</v>
      </c>
      <c r="H250" s="344">
        <f t="shared" ref="H250:H288" si="17">ROUND((C250*$J$1)/1000000,2)</f>
        <v>0</v>
      </c>
      <c r="I250" s="344">
        <f t="shared" si="14"/>
        <v>0</v>
      </c>
      <c r="J250" s="344">
        <f t="shared" si="15"/>
        <v>0</v>
      </c>
    </row>
    <row r="251" spans="1:14" ht="15.75">
      <c r="A251" s="186" t="s">
        <v>360</v>
      </c>
      <c r="B251" s="181">
        <f>+SUMIF('New Master-List'!$AH$3:$AH$9995,'By Industries (NBC)'!A251,'New Master-List'!$L$3:$L$9995)</f>
        <v>0</v>
      </c>
      <c r="C251" s="1555">
        <f>+SUMIF('New Master-List'!$AH$3:$AH$9995,'By Industries (NBC)'!A251,'New Master-List'!$M$3:$M$9995)+SUMIF('New Master-List'!$AH$3:$AH$9995,'By Industries (NBC)'!A251,'New Master-List'!$N$3:$N$9995)++SUMIF('New Master-List'!$AH$3:$AH$9995,'By Industries (NBC)'!A251,'New Master-List'!$O$3:$O$9995)</f>
        <v>0</v>
      </c>
      <c r="D251" s="181">
        <f>+SUMIF('New Master-List'!$AH$3:$AH$9995,'By Industries (NBC)'!A251,'New Master-List'!$V$3:$V$9995)</f>
        <v>0</v>
      </c>
      <c r="E251" s="181">
        <f>+SUMIF('New Master-List'!$AH$199:$AH$9995,'By Industries (NBC)'!A251,'New Master-List'!$X$199:$X$9995)</f>
        <v>0</v>
      </c>
      <c r="G251" s="344">
        <f t="shared" si="16"/>
        <v>0</v>
      </c>
      <c r="H251" s="344">
        <f t="shared" si="17"/>
        <v>0</v>
      </c>
      <c r="I251" s="344">
        <f t="shared" si="14"/>
        <v>0</v>
      </c>
      <c r="J251" s="344">
        <f t="shared" si="15"/>
        <v>0</v>
      </c>
    </row>
    <row r="252" spans="1:14" ht="15.75">
      <c r="A252" s="186" t="s">
        <v>361</v>
      </c>
      <c r="B252" s="181">
        <f>+SUMIF('New Master-List'!$AH$3:$AH$9995,'By Industries (NBC)'!A252,'New Master-List'!$L$3:$L$9995)</f>
        <v>0</v>
      </c>
      <c r="C252" s="1555">
        <f>+SUMIF('New Master-List'!$AH$3:$AH$9995,'By Industries (NBC)'!A252,'New Master-List'!$M$3:$M$9995)+SUMIF('New Master-List'!$AH$3:$AH$9995,'By Industries (NBC)'!A252,'New Master-List'!$N$3:$N$9995)++SUMIF('New Master-List'!$AH$3:$AH$9995,'By Industries (NBC)'!A252,'New Master-List'!$O$3:$O$9995)</f>
        <v>0</v>
      </c>
      <c r="D252" s="181">
        <f>+SUMIF('New Master-List'!$AH$3:$AH$9995,'By Industries (NBC)'!A252,'New Master-List'!$V$3:$V$9995)</f>
        <v>0</v>
      </c>
      <c r="E252" s="181">
        <f>+SUMIF('New Master-List'!$AH$199:$AH$9995,'By Industries (NBC)'!A252,'New Master-List'!$X$199:$X$9995)</f>
        <v>0</v>
      </c>
      <c r="G252" s="344">
        <f t="shared" si="16"/>
        <v>0</v>
      </c>
      <c r="H252" s="344">
        <f t="shared" si="17"/>
        <v>0</v>
      </c>
      <c r="I252" s="344">
        <f t="shared" si="14"/>
        <v>0</v>
      </c>
      <c r="J252" s="344">
        <f t="shared" si="15"/>
        <v>0</v>
      </c>
    </row>
    <row r="253" spans="1:14" ht="15.75">
      <c r="A253" s="186" t="s">
        <v>362</v>
      </c>
      <c r="B253" s="181">
        <f>+SUMIF('New Master-List'!$AH$3:$AH$9995,'By Industries (NBC)'!A253,'New Master-List'!$L$3:$L$9995)</f>
        <v>0</v>
      </c>
      <c r="C253" s="1555">
        <f>+SUMIF('New Master-List'!$AH$3:$AH$9995,'By Industries (NBC)'!A253,'New Master-List'!$M$3:$M$9995)+SUMIF('New Master-List'!$AH$3:$AH$9995,'By Industries (NBC)'!A253,'New Master-List'!$N$3:$N$9995)++SUMIF('New Master-List'!$AH$3:$AH$9995,'By Industries (NBC)'!A253,'New Master-List'!$O$3:$O$9995)</f>
        <v>0</v>
      </c>
      <c r="D253" s="181">
        <f>+SUMIF('New Master-List'!$AH$3:$AH$9995,'By Industries (NBC)'!A253,'New Master-List'!$V$3:$V$9995)</f>
        <v>0</v>
      </c>
      <c r="E253" s="181">
        <f>+SUMIF('New Master-List'!$AH$199:$AH$9995,'By Industries (NBC)'!A253,'New Master-List'!$X$199:$X$9995)</f>
        <v>0</v>
      </c>
      <c r="G253" s="344">
        <f t="shared" si="16"/>
        <v>0</v>
      </c>
      <c r="H253" s="344">
        <f t="shared" si="17"/>
        <v>0</v>
      </c>
      <c r="I253" s="344">
        <f t="shared" si="14"/>
        <v>0</v>
      </c>
      <c r="J253" s="344">
        <f t="shared" si="15"/>
        <v>0</v>
      </c>
    </row>
    <row r="254" spans="1:14" ht="15.75">
      <c r="A254" s="188" t="s">
        <v>155</v>
      </c>
      <c r="B254" s="181">
        <f>+SUMIF('New Master-List'!$AH$3:$AH$9995,'By Industries (NBC)'!A254,'New Master-List'!$L$3:$L$9995)</f>
        <v>0</v>
      </c>
      <c r="C254" s="1555">
        <f>+SUMIF('New Master-List'!$AH$3:$AH$9995,'By Industries (NBC)'!A254,'New Master-List'!$M$3:$M$9995)+SUMIF('New Master-List'!$AH$3:$AH$9995,'By Industries (NBC)'!A254,'New Master-List'!$N$3:$N$9995)++SUMIF('New Master-List'!$AH$3:$AH$9995,'By Industries (NBC)'!A254,'New Master-List'!$O$3:$O$9995)</f>
        <v>0</v>
      </c>
      <c r="D254" s="181">
        <f>+SUMIF('New Master-List'!$AH$3:$AH$9995,'By Industries (NBC)'!A254,'New Master-List'!$V$3:$V$9995)</f>
        <v>0</v>
      </c>
      <c r="E254" s="181">
        <f>+SUMIF('New Master-List'!$AH$199:$AH$9995,'By Industries (NBC)'!A254,'New Master-List'!$X$199:$X$9995)</f>
        <v>0</v>
      </c>
      <c r="G254" s="344">
        <f t="shared" si="16"/>
        <v>0</v>
      </c>
      <c r="H254" s="344">
        <f t="shared" si="17"/>
        <v>0</v>
      </c>
      <c r="I254" s="344">
        <f t="shared" si="14"/>
        <v>0</v>
      </c>
      <c r="J254" s="344">
        <f t="shared" si="15"/>
        <v>0</v>
      </c>
      <c r="K254" s="174"/>
      <c r="L254" s="174"/>
      <c r="M254" s="174"/>
      <c r="N254" s="174"/>
    </row>
    <row r="255" spans="1:14" ht="15.75">
      <c r="A255" s="186" t="s">
        <v>363</v>
      </c>
      <c r="B255" s="181">
        <f>+SUMIF('New Master-List'!$AH$3:$AH$9995,'By Industries (NBC)'!A255,'New Master-List'!$L$3:$L$9995)</f>
        <v>0</v>
      </c>
      <c r="C255" s="1555">
        <f>+SUMIF('New Master-List'!$AH$3:$AH$9995,'By Industries (NBC)'!A255,'New Master-List'!$M$3:$M$9995)+SUMIF('New Master-List'!$AH$3:$AH$9995,'By Industries (NBC)'!A255,'New Master-List'!$N$3:$N$9995)++SUMIF('New Master-List'!$AH$3:$AH$9995,'By Industries (NBC)'!A255,'New Master-List'!$O$3:$O$9995)</f>
        <v>0</v>
      </c>
      <c r="D255" s="181">
        <f>+SUMIF('New Master-List'!$AH$3:$AH$9995,'By Industries (NBC)'!A255,'New Master-List'!$V$3:$V$9995)</f>
        <v>0</v>
      </c>
      <c r="E255" s="181">
        <f>+SUMIF('New Master-List'!$AH$199:$AH$9995,'By Industries (NBC)'!A255,'New Master-List'!$X$199:$X$9995)</f>
        <v>0</v>
      </c>
      <c r="G255" s="344">
        <f t="shared" si="16"/>
        <v>0</v>
      </c>
      <c r="H255" s="344">
        <f t="shared" si="17"/>
        <v>0</v>
      </c>
      <c r="I255" s="344">
        <f t="shared" si="14"/>
        <v>0</v>
      </c>
      <c r="J255" s="344">
        <f t="shared" si="15"/>
        <v>0</v>
      </c>
    </row>
    <row r="256" spans="1:14" ht="15.75">
      <c r="A256" s="186" t="s">
        <v>364</v>
      </c>
      <c r="B256" s="181">
        <f>+SUMIF('New Master-List'!$AH$3:$AH$9995,'By Industries (NBC)'!A256,'New Master-List'!$L$3:$L$9995)</f>
        <v>0</v>
      </c>
      <c r="C256" s="1555">
        <f>+SUMIF('New Master-List'!$AH$3:$AH$9995,'By Industries (NBC)'!A256,'New Master-List'!$M$3:$M$9995)+SUMIF('New Master-List'!$AH$3:$AH$9995,'By Industries (NBC)'!A256,'New Master-List'!$N$3:$N$9995)++SUMIF('New Master-List'!$AH$3:$AH$9995,'By Industries (NBC)'!A256,'New Master-List'!$O$3:$O$9995)</f>
        <v>0</v>
      </c>
      <c r="D256" s="181">
        <f>+SUMIF('New Master-List'!$AH$3:$AH$9995,'By Industries (NBC)'!A256,'New Master-List'!$V$3:$V$9995)</f>
        <v>0</v>
      </c>
      <c r="E256" s="181">
        <f>+SUMIF('New Master-List'!$AH$199:$AH$9995,'By Industries (NBC)'!A256,'New Master-List'!$X$199:$X$9995)</f>
        <v>0</v>
      </c>
      <c r="G256" s="344">
        <f t="shared" si="16"/>
        <v>0</v>
      </c>
      <c r="H256" s="344">
        <f t="shared" si="17"/>
        <v>0</v>
      </c>
      <c r="I256" s="344">
        <f t="shared" si="14"/>
        <v>0</v>
      </c>
      <c r="J256" s="344">
        <f t="shared" si="15"/>
        <v>0</v>
      </c>
    </row>
    <row r="257" spans="1:14" ht="15.75">
      <c r="A257" s="186" t="s">
        <v>365</v>
      </c>
      <c r="B257" s="181">
        <f>+SUMIF('New Master-List'!$AH$3:$AH$9995,'By Industries (NBC)'!A257,'New Master-List'!$L$3:$L$9995)</f>
        <v>0</v>
      </c>
      <c r="C257" s="1555">
        <f>+SUMIF('New Master-List'!$AH$3:$AH$9995,'By Industries (NBC)'!A257,'New Master-List'!$M$3:$M$9995)+SUMIF('New Master-List'!$AH$3:$AH$9995,'By Industries (NBC)'!A257,'New Master-List'!$N$3:$N$9995)++SUMIF('New Master-List'!$AH$3:$AH$9995,'By Industries (NBC)'!A257,'New Master-List'!$O$3:$O$9995)</f>
        <v>0</v>
      </c>
      <c r="D257" s="181">
        <f>+SUMIF('New Master-List'!$AH$3:$AH$9995,'By Industries (NBC)'!A257,'New Master-List'!$V$3:$V$9995)</f>
        <v>0</v>
      </c>
      <c r="E257" s="181">
        <f>+SUMIF('New Master-List'!$AH$199:$AH$9995,'By Industries (NBC)'!A257,'New Master-List'!$X$199:$X$9995)</f>
        <v>0</v>
      </c>
      <c r="G257" s="344">
        <f t="shared" si="16"/>
        <v>0</v>
      </c>
      <c r="H257" s="344">
        <f t="shared" si="17"/>
        <v>0</v>
      </c>
      <c r="I257" s="344">
        <f t="shared" si="14"/>
        <v>0</v>
      </c>
      <c r="J257" s="344">
        <f t="shared" si="15"/>
        <v>0</v>
      </c>
    </row>
    <row r="258" spans="1:14" ht="15.75">
      <c r="A258" s="186" t="s">
        <v>366</v>
      </c>
      <c r="B258" s="181">
        <f>+SUMIF('New Master-List'!$AH$3:$AH$9995,'By Industries (NBC)'!A258,'New Master-List'!$L$3:$L$9995)</f>
        <v>0</v>
      </c>
      <c r="C258" s="1555">
        <f>+SUMIF('New Master-List'!$AH$3:$AH$9995,'By Industries (NBC)'!A258,'New Master-List'!$M$3:$M$9995)+SUMIF('New Master-List'!$AH$3:$AH$9995,'By Industries (NBC)'!A258,'New Master-List'!$N$3:$N$9995)++SUMIF('New Master-List'!$AH$3:$AH$9995,'By Industries (NBC)'!A258,'New Master-List'!$O$3:$O$9995)</f>
        <v>0</v>
      </c>
      <c r="D258" s="181">
        <f>+SUMIF('New Master-List'!$AH$3:$AH$9995,'By Industries (NBC)'!A258,'New Master-List'!$V$3:$V$9995)</f>
        <v>0</v>
      </c>
      <c r="E258" s="181">
        <f>+SUMIF('New Master-List'!$AH$199:$AH$9995,'By Industries (NBC)'!A258,'New Master-List'!$X$199:$X$9995)</f>
        <v>0</v>
      </c>
      <c r="G258" s="344">
        <f t="shared" si="16"/>
        <v>0</v>
      </c>
      <c r="H258" s="344">
        <f t="shared" si="17"/>
        <v>0</v>
      </c>
      <c r="I258" s="344">
        <f t="shared" si="14"/>
        <v>0</v>
      </c>
      <c r="J258" s="344">
        <f t="shared" si="15"/>
        <v>0</v>
      </c>
    </row>
    <row r="259" spans="1:14" ht="15.75">
      <c r="A259" s="196" t="s">
        <v>156</v>
      </c>
      <c r="B259" s="181">
        <f>+SUMIF('New Master-List'!$AH$3:$AH$9995,'By Industries (NBC)'!A259,'New Master-List'!$L$3:$L$9995)</f>
        <v>0</v>
      </c>
      <c r="C259" s="1555">
        <f>+SUMIF('New Master-List'!$AH$3:$AH$9995,'By Industries (NBC)'!A259,'New Master-List'!$M$3:$M$9995)+SUMIF('New Master-List'!$AH$3:$AH$9995,'By Industries (NBC)'!A259,'New Master-List'!$N$3:$N$9995)++SUMIF('New Master-List'!$AH$3:$AH$9995,'By Industries (NBC)'!A259,'New Master-List'!$O$3:$O$9995)</f>
        <v>0</v>
      </c>
      <c r="D259" s="181">
        <f>+SUMIF('New Master-List'!$AH$3:$AH$9995,'By Industries (NBC)'!A259,'New Master-List'!$V$3:$V$9995)</f>
        <v>0</v>
      </c>
      <c r="E259" s="181">
        <f>+SUMIF('New Master-List'!$AH$199:$AH$9995,'By Industries (NBC)'!A259,'New Master-List'!$X$199:$X$9995)</f>
        <v>0</v>
      </c>
      <c r="G259" s="344">
        <f t="shared" si="16"/>
        <v>0</v>
      </c>
      <c r="H259" s="344">
        <f t="shared" si="17"/>
        <v>0</v>
      </c>
      <c r="I259" s="344">
        <f t="shared" si="14"/>
        <v>0</v>
      </c>
      <c r="J259" s="344">
        <f t="shared" si="15"/>
        <v>0</v>
      </c>
      <c r="K259" s="174"/>
      <c r="L259" s="174"/>
      <c r="M259" s="174"/>
      <c r="N259" s="174"/>
    </row>
    <row r="260" spans="1:14" ht="15.75">
      <c r="A260" s="192" t="s">
        <v>367</v>
      </c>
      <c r="B260" s="181">
        <f>+SUMIF('New Master-List'!$AH$3:$AH$9995,'By Industries (NBC)'!A260,'New Master-List'!$L$3:$L$9995)</f>
        <v>0</v>
      </c>
      <c r="C260" s="1555">
        <f>+SUMIF('New Master-List'!$AH$3:$AH$9995,'By Industries (NBC)'!A260,'New Master-List'!$M$3:$M$9995)+SUMIF('New Master-List'!$AH$3:$AH$9995,'By Industries (NBC)'!A260,'New Master-List'!$N$3:$N$9995)++SUMIF('New Master-List'!$AH$3:$AH$9995,'By Industries (NBC)'!A260,'New Master-List'!$O$3:$O$9995)</f>
        <v>0</v>
      </c>
      <c r="D260" s="181">
        <f>+SUMIF('New Master-List'!$AH$3:$AH$9995,'By Industries (NBC)'!A260,'New Master-List'!$V$3:$V$9995)</f>
        <v>0</v>
      </c>
      <c r="E260" s="181">
        <f>+SUMIF('New Master-List'!$AH$199:$AH$9995,'By Industries (NBC)'!A260,'New Master-List'!$X$199:$X$9995)</f>
        <v>0</v>
      </c>
      <c r="G260" s="344">
        <f t="shared" si="16"/>
        <v>0</v>
      </c>
      <c r="H260" s="344">
        <f t="shared" si="17"/>
        <v>0</v>
      </c>
      <c r="I260" s="344">
        <f t="shared" si="14"/>
        <v>0</v>
      </c>
      <c r="J260" s="344">
        <f t="shared" si="15"/>
        <v>0</v>
      </c>
    </row>
    <row r="261" spans="1:14" ht="15.75">
      <c r="A261" s="192" t="s">
        <v>368</v>
      </c>
      <c r="B261" s="181">
        <f>+SUMIF('New Master-List'!$AH$3:$AH$9995,'By Industries (NBC)'!A261,'New Master-List'!$L$3:$L$9995)</f>
        <v>0</v>
      </c>
      <c r="C261" s="1555">
        <f>+SUMIF('New Master-List'!$AH$3:$AH$9995,'By Industries (NBC)'!A261,'New Master-List'!$M$3:$M$9995)+SUMIF('New Master-List'!$AH$3:$AH$9995,'By Industries (NBC)'!A261,'New Master-List'!$N$3:$N$9995)++SUMIF('New Master-List'!$AH$3:$AH$9995,'By Industries (NBC)'!A261,'New Master-List'!$O$3:$O$9995)</f>
        <v>0</v>
      </c>
      <c r="D261" s="181">
        <f>+SUMIF('New Master-List'!$AH$3:$AH$9995,'By Industries (NBC)'!A261,'New Master-List'!$V$3:$V$9995)</f>
        <v>0</v>
      </c>
      <c r="E261" s="181">
        <f>+SUMIF('New Master-List'!$AH$199:$AH$9995,'By Industries (NBC)'!A261,'New Master-List'!$X$199:$X$9995)</f>
        <v>0</v>
      </c>
      <c r="G261" s="344">
        <f t="shared" si="16"/>
        <v>0</v>
      </c>
      <c r="H261" s="344">
        <f t="shared" si="17"/>
        <v>0</v>
      </c>
      <c r="I261" s="344">
        <f t="shared" ref="I261:I284" si="18">ROUND((D261*$J$1)/1000000,2)</f>
        <v>0</v>
      </c>
      <c r="J261" s="344">
        <f t="shared" ref="J261:J284" si="19">ROUND((E261*$J$1)/1000000,2)</f>
        <v>0</v>
      </c>
    </row>
    <row r="262" spans="1:14" ht="15.75">
      <c r="A262" s="192" t="s">
        <v>369</v>
      </c>
      <c r="B262" s="181">
        <f>+SUMIF('New Master-List'!$AH$3:$AH$9995,'By Industries (NBC)'!A262,'New Master-List'!$L$3:$L$9995)</f>
        <v>0</v>
      </c>
      <c r="C262" s="1555">
        <f>+SUMIF('New Master-List'!$AH$3:$AH$9995,'By Industries (NBC)'!A262,'New Master-List'!$M$3:$M$9995)+SUMIF('New Master-List'!$AH$3:$AH$9995,'By Industries (NBC)'!A262,'New Master-List'!$N$3:$N$9995)++SUMIF('New Master-List'!$AH$3:$AH$9995,'By Industries (NBC)'!A262,'New Master-List'!$O$3:$O$9995)</f>
        <v>0</v>
      </c>
      <c r="D262" s="181">
        <f>+SUMIF('New Master-List'!$AH$3:$AH$9995,'By Industries (NBC)'!A262,'New Master-List'!$V$3:$V$9995)</f>
        <v>0</v>
      </c>
      <c r="E262" s="181">
        <f>+SUMIF('New Master-List'!$AH$199:$AH$9995,'By Industries (NBC)'!A262,'New Master-List'!$X$199:$X$9995)</f>
        <v>0</v>
      </c>
      <c r="G262" s="344">
        <f t="shared" si="16"/>
        <v>0</v>
      </c>
      <c r="H262" s="344">
        <f t="shared" si="17"/>
        <v>0</v>
      </c>
      <c r="I262" s="344">
        <f t="shared" si="18"/>
        <v>0</v>
      </c>
      <c r="J262" s="344">
        <f t="shared" si="19"/>
        <v>0</v>
      </c>
    </row>
    <row r="263" spans="1:14" ht="15.75">
      <c r="A263" s="192" t="s">
        <v>370</v>
      </c>
      <c r="B263" s="181">
        <f>+SUMIF('New Master-List'!$AH$3:$AH$9995,'By Industries (NBC)'!A263,'New Master-List'!$L$3:$L$9995)</f>
        <v>0</v>
      </c>
      <c r="C263" s="1555">
        <f>+SUMIF('New Master-List'!$AH$3:$AH$9995,'By Industries (NBC)'!A263,'New Master-List'!$M$3:$M$9995)+SUMIF('New Master-List'!$AH$3:$AH$9995,'By Industries (NBC)'!A263,'New Master-List'!$N$3:$N$9995)++SUMIF('New Master-List'!$AH$3:$AH$9995,'By Industries (NBC)'!A263,'New Master-List'!$O$3:$O$9995)</f>
        <v>0</v>
      </c>
      <c r="D263" s="181">
        <f>+SUMIF('New Master-List'!$AH$3:$AH$9995,'By Industries (NBC)'!A263,'New Master-List'!$V$3:$V$9995)</f>
        <v>0</v>
      </c>
      <c r="E263" s="181">
        <f>+SUMIF('New Master-List'!$AH$199:$AH$9995,'By Industries (NBC)'!A263,'New Master-List'!$X$199:$X$9995)</f>
        <v>0</v>
      </c>
      <c r="G263" s="344">
        <f t="shared" si="16"/>
        <v>0</v>
      </c>
      <c r="H263" s="344">
        <f t="shared" si="17"/>
        <v>0</v>
      </c>
      <c r="I263" s="344">
        <f t="shared" si="18"/>
        <v>0</v>
      </c>
      <c r="J263" s="344">
        <f t="shared" si="19"/>
        <v>0</v>
      </c>
    </row>
    <row r="264" spans="1:14" ht="15.75">
      <c r="A264" s="195" t="s">
        <v>157</v>
      </c>
      <c r="B264" s="181">
        <f>+SUMIF('New Master-List'!$AH$3:$AH$9995,'By Industries (NBC)'!A264,'New Master-List'!$L$3:$L$9995)</f>
        <v>0</v>
      </c>
      <c r="C264" s="1555">
        <f>+SUMIF('New Master-List'!$AH$3:$AH$9995,'By Industries (NBC)'!A264,'New Master-List'!$M$3:$M$9995)+SUMIF('New Master-List'!$AH$3:$AH$9995,'By Industries (NBC)'!A264,'New Master-List'!$N$3:$N$9995)++SUMIF('New Master-List'!$AH$3:$AH$9995,'By Industries (NBC)'!A264,'New Master-List'!$O$3:$O$9995)</f>
        <v>0</v>
      </c>
      <c r="D264" s="181">
        <f>+SUMIF('New Master-List'!$AH$3:$AH$9995,'By Industries (NBC)'!A264,'New Master-List'!$V$3:$V$9995)</f>
        <v>0</v>
      </c>
      <c r="E264" s="181">
        <f>+SUMIF('New Master-List'!$AH$199:$AH$9995,'By Industries (NBC)'!A264,'New Master-List'!$X$199:$X$9995)</f>
        <v>0</v>
      </c>
      <c r="G264" s="344">
        <f t="shared" si="16"/>
        <v>0</v>
      </c>
      <c r="H264" s="344">
        <f t="shared" si="17"/>
        <v>0</v>
      </c>
      <c r="I264" s="344">
        <f t="shared" si="18"/>
        <v>0</v>
      </c>
      <c r="J264" s="344">
        <f t="shared" si="19"/>
        <v>0</v>
      </c>
      <c r="K264" s="174"/>
      <c r="L264" s="174"/>
      <c r="M264" s="174"/>
      <c r="N264" s="174"/>
    </row>
    <row r="265" spans="1:14" ht="15.75">
      <c r="A265" s="191" t="s">
        <v>371</v>
      </c>
      <c r="B265" s="181">
        <f>+SUMIF('New Master-List'!$AH$3:$AH$9995,'By Industries (NBC)'!A265,'New Master-List'!$L$3:$L$9995)</f>
        <v>0</v>
      </c>
      <c r="C265" s="1555">
        <f>+SUMIF('New Master-List'!$AH$3:$AH$9995,'By Industries (NBC)'!A265,'New Master-List'!$M$3:$M$9995)+SUMIF('New Master-List'!$AH$3:$AH$9995,'By Industries (NBC)'!A265,'New Master-List'!$N$3:$N$9995)++SUMIF('New Master-List'!$AH$3:$AH$9995,'By Industries (NBC)'!A265,'New Master-List'!$O$3:$O$9995)</f>
        <v>0</v>
      </c>
      <c r="D265" s="181">
        <f>+SUMIF('New Master-List'!$AH$3:$AH$9995,'By Industries (NBC)'!A265,'New Master-List'!$V$3:$V$9995)</f>
        <v>0</v>
      </c>
      <c r="E265" s="181">
        <f>+SUMIF('New Master-List'!$AH$199:$AH$9995,'By Industries (NBC)'!A265,'New Master-List'!$X$199:$X$9995)</f>
        <v>0</v>
      </c>
      <c r="G265" s="344">
        <f t="shared" si="16"/>
        <v>0</v>
      </c>
      <c r="H265" s="344">
        <f t="shared" si="17"/>
        <v>0</v>
      </c>
      <c r="I265" s="344">
        <f t="shared" si="18"/>
        <v>0</v>
      </c>
      <c r="J265" s="344">
        <f t="shared" si="19"/>
        <v>0</v>
      </c>
    </row>
    <row r="266" spans="1:14" ht="15.75">
      <c r="A266" s="191" t="s">
        <v>372</v>
      </c>
      <c r="B266" s="181">
        <f>+SUMIF('New Master-List'!$AH$3:$AH$9995,'By Industries (NBC)'!A266,'New Master-List'!$L$3:$L$9995)</f>
        <v>0</v>
      </c>
      <c r="C266" s="1555">
        <f>+SUMIF('New Master-List'!$AH$3:$AH$9995,'By Industries (NBC)'!A266,'New Master-List'!$M$3:$M$9995)+SUMIF('New Master-List'!$AH$3:$AH$9995,'By Industries (NBC)'!A266,'New Master-List'!$N$3:$N$9995)++SUMIF('New Master-List'!$AH$3:$AH$9995,'By Industries (NBC)'!A266,'New Master-List'!$O$3:$O$9995)</f>
        <v>0</v>
      </c>
      <c r="D266" s="181">
        <f>+SUMIF('New Master-List'!$AH$3:$AH$9995,'By Industries (NBC)'!A266,'New Master-List'!$V$3:$V$9995)</f>
        <v>0</v>
      </c>
      <c r="E266" s="181">
        <f>+SUMIF('New Master-List'!$AH$199:$AH$9995,'By Industries (NBC)'!A266,'New Master-List'!$X$199:$X$9995)</f>
        <v>0</v>
      </c>
      <c r="G266" s="344">
        <f t="shared" si="16"/>
        <v>0</v>
      </c>
      <c r="H266" s="344">
        <f t="shared" si="17"/>
        <v>0</v>
      </c>
      <c r="I266" s="344">
        <f t="shared" si="18"/>
        <v>0</v>
      </c>
      <c r="J266" s="344">
        <f t="shared" si="19"/>
        <v>0</v>
      </c>
    </row>
    <row r="267" spans="1:14" ht="15.75">
      <c r="A267" s="191" t="s">
        <v>373</v>
      </c>
      <c r="B267" s="181">
        <f>+SUMIF('New Master-List'!$AH$3:$AH$9995,'By Industries (NBC)'!A267,'New Master-List'!$L$3:$L$9995)</f>
        <v>0</v>
      </c>
      <c r="C267" s="1555">
        <f>+SUMIF('New Master-List'!$AH$3:$AH$9995,'By Industries (NBC)'!A267,'New Master-List'!$M$3:$M$9995)+SUMIF('New Master-List'!$AH$3:$AH$9995,'By Industries (NBC)'!A267,'New Master-List'!$N$3:$N$9995)++SUMIF('New Master-List'!$AH$3:$AH$9995,'By Industries (NBC)'!A267,'New Master-List'!$O$3:$O$9995)</f>
        <v>0</v>
      </c>
      <c r="D267" s="181">
        <f>+SUMIF('New Master-List'!$AH$3:$AH$9995,'By Industries (NBC)'!A267,'New Master-List'!$V$3:$V$9995)</f>
        <v>0</v>
      </c>
      <c r="E267" s="181">
        <f>+SUMIF('New Master-List'!$AH$199:$AH$9995,'By Industries (NBC)'!A267,'New Master-List'!$X$199:$X$9995)</f>
        <v>0</v>
      </c>
      <c r="G267" s="344">
        <f t="shared" si="16"/>
        <v>0</v>
      </c>
      <c r="H267" s="344">
        <f t="shared" si="17"/>
        <v>0</v>
      </c>
      <c r="I267" s="344">
        <f t="shared" si="18"/>
        <v>0</v>
      </c>
      <c r="J267" s="344">
        <f t="shared" si="19"/>
        <v>0</v>
      </c>
    </row>
    <row r="268" spans="1:14" ht="15.75">
      <c r="A268" s="191" t="s">
        <v>374</v>
      </c>
      <c r="B268" s="181" t="e">
        <f>+SUMIF('New Master-List'!$AH$3:$AH$9995,'By Industries (NBC)'!A268,'New Master-List'!$L$3:$L$9995)</f>
        <v>#N/A</v>
      </c>
      <c r="C268" s="1555" t="e">
        <f>+SUMIF('New Master-List'!$AH$3:$AH$9995,'By Industries (NBC)'!A268,'New Master-List'!$M$3:$M$9995)+SUMIF('New Master-List'!$AH$3:$AH$9995,'By Industries (NBC)'!A268,'New Master-List'!$N$3:$N$9995)++SUMIF('New Master-List'!$AH$3:$AH$9995,'By Industries (NBC)'!A268,'New Master-List'!$O$3:$O$9995)</f>
        <v>#N/A</v>
      </c>
      <c r="D268" s="181" t="e">
        <f>+SUMIF('New Master-List'!$AH$3:$AH$9995,'By Industries (NBC)'!A268,'New Master-List'!$V$3:$V$9995)</f>
        <v>#N/A</v>
      </c>
      <c r="E268" s="181">
        <f>+SUMIF('New Master-List'!$AH$199:$AH$9995,'By Industries (NBC)'!A268,'New Master-List'!$X$199:$X$9995)</f>
        <v>10701.274000000001</v>
      </c>
      <c r="G268" s="344" t="e">
        <f t="shared" si="16"/>
        <v>#N/A</v>
      </c>
      <c r="H268" s="344" t="e">
        <f t="shared" si="17"/>
        <v>#N/A</v>
      </c>
      <c r="I268" s="344" t="e">
        <f t="shared" si="18"/>
        <v>#N/A</v>
      </c>
      <c r="J268" s="344">
        <f t="shared" si="19"/>
        <v>43.54</v>
      </c>
    </row>
    <row r="269" spans="1:14" ht="15.75">
      <c r="A269" s="188" t="s">
        <v>158</v>
      </c>
      <c r="B269" s="181">
        <f>+SUMIF('New Master-List'!$AH$3:$AH$9995,'By Industries (NBC)'!A269,'New Master-List'!$L$3:$L$9995)</f>
        <v>0</v>
      </c>
      <c r="C269" s="1555">
        <f>+SUMIF('New Master-List'!$AH$3:$AH$9995,'By Industries (NBC)'!A269,'New Master-List'!$M$3:$M$9995)+SUMIF('New Master-List'!$AH$3:$AH$9995,'By Industries (NBC)'!A269,'New Master-List'!$N$3:$N$9995)++SUMIF('New Master-List'!$AH$3:$AH$9995,'By Industries (NBC)'!A269,'New Master-List'!$O$3:$O$9995)</f>
        <v>0</v>
      </c>
      <c r="D269" s="181">
        <f>+SUMIF('New Master-List'!$AH$3:$AH$9995,'By Industries (NBC)'!A269,'New Master-List'!$V$3:$V$9995)</f>
        <v>0</v>
      </c>
      <c r="E269" s="181">
        <f>+SUMIF('New Master-List'!$AH$199:$AH$9995,'By Industries (NBC)'!A269,'New Master-List'!$X$199:$X$9995)</f>
        <v>0</v>
      </c>
      <c r="G269" s="344">
        <f t="shared" si="16"/>
        <v>0</v>
      </c>
      <c r="H269" s="344">
        <f t="shared" si="17"/>
        <v>0</v>
      </c>
      <c r="I269" s="344">
        <f t="shared" si="18"/>
        <v>0</v>
      </c>
      <c r="J269" s="344">
        <f t="shared" si="19"/>
        <v>0</v>
      </c>
      <c r="K269" s="174"/>
      <c r="L269" s="174"/>
      <c r="M269" s="174"/>
      <c r="N269" s="174"/>
    </row>
    <row r="270" spans="1:14" ht="15.75">
      <c r="A270" s="186" t="s">
        <v>375</v>
      </c>
      <c r="B270" s="181">
        <f>+SUMIF('New Master-List'!$AH$3:$AH$9995,'By Industries (NBC)'!A270,'New Master-List'!$L$3:$L$9995)</f>
        <v>0</v>
      </c>
      <c r="C270" s="1555">
        <f>+SUMIF('New Master-List'!$AH$3:$AH$9995,'By Industries (NBC)'!A270,'New Master-List'!$M$3:$M$9995)+SUMIF('New Master-List'!$AH$3:$AH$9995,'By Industries (NBC)'!A270,'New Master-List'!$N$3:$N$9995)++SUMIF('New Master-List'!$AH$3:$AH$9995,'By Industries (NBC)'!A270,'New Master-List'!$O$3:$O$9995)</f>
        <v>0</v>
      </c>
      <c r="D270" s="181">
        <f>+SUMIF('New Master-List'!$AH$3:$AH$9995,'By Industries (NBC)'!A270,'New Master-List'!$V$3:$V$9995)</f>
        <v>0</v>
      </c>
      <c r="E270" s="181">
        <f>+SUMIF('New Master-List'!$AH$199:$AH$9995,'By Industries (NBC)'!A270,'New Master-List'!$X$199:$X$9995)</f>
        <v>0</v>
      </c>
      <c r="G270" s="344">
        <f t="shared" si="16"/>
        <v>0</v>
      </c>
      <c r="H270" s="344">
        <f t="shared" si="17"/>
        <v>0</v>
      </c>
      <c r="I270" s="344">
        <f t="shared" si="18"/>
        <v>0</v>
      </c>
      <c r="J270" s="344">
        <f t="shared" si="19"/>
        <v>0</v>
      </c>
    </row>
    <row r="271" spans="1:14" ht="15.75">
      <c r="A271" s="186" t="s">
        <v>376</v>
      </c>
      <c r="B271" s="181">
        <f>+SUMIF('New Master-List'!$AH$3:$AH$9995,'By Industries (NBC)'!A271,'New Master-List'!$L$3:$L$9995)</f>
        <v>0</v>
      </c>
      <c r="C271" s="1555">
        <f>+SUMIF('New Master-List'!$AH$3:$AH$9995,'By Industries (NBC)'!A271,'New Master-List'!$M$3:$M$9995)+SUMIF('New Master-List'!$AH$3:$AH$9995,'By Industries (NBC)'!A271,'New Master-List'!$N$3:$N$9995)++SUMIF('New Master-List'!$AH$3:$AH$9995,'By Industries (NBC)'!A271,'New Master-List'!$O$3:$O$9995)</f>
        <v>0</v>
      </c>
      <c r="D271" s="181">
        <f>+SUMIF('New Master-List'!$AH$3:$AH$9995,'By Industries (NBC)'!A271,'New Master-List'!$V$3:$V$9995)</f>
        <v>0</v>
      </c>
      <c r="E271" s="181">
        <f>+SUMIF('New Master-List'!$AH$199:$AH$9995,'By Industries (NBC)'!A271,'New Master-List'!$X$199:$X$9995)</f>
        <v>0</v>
      </c>
      <c r="G271" s="344">
        <f t="shared" si="16"/>
        <v>0</v>
      </c>
      <c r="H271" s="344">
        <f t="shared" si="17"/>
        <v>0</v>
      </c>
      <c r="I271" s="344">
        <f t="shared" si="18"/>
        <v>0</v>
      </c>
      <c r="J271" s="344">
        <f t="shared" si="19"/>
        <v>0</v>
      </c>
    </row>
    <row r="272" spans="1:14" ht="15.75">
      <c r="A272" s="186" t="s">
        <v>377</v>
      </c>
      <c r="B272" s="181">
        <f>+SUMIF('New Master-List'!$AH$3:$AH$9995,'By Industries (NBC)'!A272,'New Master-List'!$L$3:$L$9995)</f>
        <v>0</v>
      </c>
      <c r="C272" s="1555">
        <f>+SUMIF('New Master-List'!$AH$3:$AH$9995,'By Industries (NBC)'!A272,'New Master-List'!$M$3:$M$9995)+SUMIF('New Master-List'!$AH$3:$AH$9995,'By Industries (NBC)'!A272,'New Master-List'!$N$3:$N$9995)++SUMIF('New Master-List'!$AH$3:$AH$9995,'By Industries (NBC)'!A272,'New Master-List'!$O$3:$O$9995)</f>
        <v>0</v>
      </c>
      <c r="D272" s="181">
        <f>+SUMIF('New Master-List'!$AH$3:$AH$9995,'By Industries (NBC)'!A272,'New Master-List'!$V$3:$V$9995)</f>
        <v>0</v>
      </c>
      <c r="E272" s="181">
        <f>+SUMIF('New Master-List'!$AH$199:$AH$9995,'By Industries (NBC)'!A272,'New Master-List'!$X$199:$X$9995)</f>
        <v>0</v>
      </c>
      <c r="G272" s="344">
        <f t="shared" si="16"/>
        <v>0</v>
      </c>
      <c r="H272" s="344">
        <f t="shared" si="17"/>
        <v>0</v>
      </c>
      <c r="I272" s="344">
        <f t="shared" si="18"/>
        <v>0</v>
      </c>
      <c r="J272" s="344">
        <f t="shared" si="19"/>
        <v>0</v>
      </c>
    </row>
    <row r="273" spans="1:14" ht="15.75">
      <c r="A273" s="186" t="s">
        <v>378</v>
      </c>
      <c r="B273" s="181">
        <f>+SUMIF('New Master-List'!$AH$3:$AH$9995,'By Industries (NBC)'!A273,'New Master-List'!$L$3:$L$9995)</f>
        <v>4000</v>
      </c>
      <c r="C273" s="1555">
        <f>+SUMIF('New Master-List'!$AH$3:$AH$9995,'By Industries (NBC)'!A273,'New Master-List'!$M$3:$M$9995)+SUMIF('New Master-List'!$AH$3:$AH$9995,'By Industries (NBC)'!A273,'New Master-List'!$N$3:$N$9995)++SUMIF('New Master-List'!$AH$3:$AH$9995,'By Industries (NBC)'!A273,'New Master-List'!$O$3:$O$9995)</f>
        <v>2846.35</v>
      </c>
      <c r="D273" s="181">
        <f>+SUMIF('New Master-List'!$AH$3:$AH$9995,'By Industries (NBC)'!A273,'New Master-List'!$V$3:$V$9995)</f>
        <v>3.89</v>
      </c>
      <c r="E273" s="181">
        <f>+SUMIF('New Master-List'!$AH$199:$AH$9995,'By Industries (NBC)'!A273,'New Master-List'!$X$199:$X$9995)</f>
        <v>0</v>
      </c>
      <c r="G273" s="344">
        <f t="shared" si="16"/>
        <v>16.28</v>
      </c>
      <c r="H273" s="344">
        <f t="shared" si="17"/>
        <v>11.58</v>
      </c>
      <c r="I273" s="344">
        <f t="shared" si="18"/>
        <v>0.02</v>
      </c>
      <c r="J273" s="344">
        <f t="shared" si="19"/>
        <v>0</v>
      </c>
    </row>
    <row r="274" spans="1:14" ht="15.75">
      <c r="A274" s="188" t="s">
        <v>159</v>
      </c>
      <c r="B274" s="181">
        <f>+SUMIF('New Master-List'!$AH$3:$AH$9995,'By Industries (NBC)'!A274,'New Master-List'!$L$3:$L$9995)</f>
        <v>0</v>
      </c>
      <c r="C274" s="1555">
        <f>+SUMIF('New Master-List'!$AH$3:$AH$9995,'By Industries (NBC)'!A274,'New Master-List'!$M$3:$M$9995)+SUMIF('New Master-List'!$AH$3:$AH$9995,'By Industries (NBC)'!A274,'New Master-List'!$N$3:$N$9995)++SUMIF('New Master-List'!$AH$3:$AH$9995,'By Industries (NBC)'!A274,'New Master-List'!$O$3:$O$9995)</f>
        <v>0</v>
      </c>
      <c r="D274" s="181">
        <f>+SUMIF('New Master-List'!$AH$3:$AH$9995,'By Industries (NBC)'!A274,'New Master-List'!$V$3:$V$9995)</f>
        <v>0</v>
      </c>
      <c r="E274" s="181">
        <f>+SUMIF('New Master-List'!$AH$199:$AH$9995,'By Industries (NBC)'!A274,'New Master-List'!$X$199:$X$9995)</f>
        <v>0</v>
      </c>
      <c r="G274" s="344">
        <f t="shared" si="16"/>
        <v>0</v>
      </c>
      <c r="H274" s="344">
        <f t="shared" si="17"/>
        <v>0</v>
      </c>
      <c r="I274" s="344">
        <f t="shared" si="18"/>
        <v>0</v>
      </c>
      <c r="J274" s="344">
        <f t="shared" si="19"/>
        <v>0</v>
      </c>
      <c r="K274" s="174"/>
      <c r="L274" s="174"/>
      <c r="M274" s="174"/>
      <c r="N274" s="174"/>
    </row>
    <row r="275" spans="1:14" ht="15.75">
      <c r="A275" s="186" t="s">
        <v>379</v>
      </c>
      <c r="B275" s="181">
        <f>+SUMIF('New Master-List'!$AH$3:$AH$9995,'By Industries (NBC)'!A275,'New Master-List'!$L$3:$L$9995)</f>
        <v>0</v>
      </c>
      <c r="C275" s="1555">
        <f>+SUMIF('New Master-List'!$AH$3:$AH$9995,'By Industries (NBC)'!A275,'New Master-List'!$M$3:$M$9995)+SUMIF('New Master-List'!$AH$3:$AH$9995,'By Industries (NBC)'!A275,'New Master-List'!$N$3:$N$9995)++SUMIF('New Master-List'!$AH$3:$AH$9995,'By Industries (NBC)'!A275,'New Master-List'!$O$3:$O$9995)</f>
        <v>0</v>
      </c>
      <c r="D275" s="181">
        <f>+SUMIF('New Master-List'!$AH$3:$AH$9995,'By Industries (NBC)'!A275,'New Master-List'!$V$3:$V$9995)</f>
        <v>0</v>
      </c>
      <c r="E275" s="181">
        <f>+SUMIF('New Master-List'!$AH$199:$AH$9995,'By Industries (NBC)'!A275,'New Master-List'!$X$199:$X$9995)</f>
        <v>0</v>
      </c>
      <c r="G275" s="344">
        <f t="shared" si="16"/>
        <v>0</v>
      </c>
      <c r="H275" s="344">
        <f t="shared" si="17"/>
        <v>0</v>
      </c>
      <c r="I275" s="344">
        <f t="shared" si="18"/>
        <v>0</v>
      </c>
      <c r="J275" s="344">
        <f t="shared" si="19"/>
        <v>0</v>
      </c>
    </row>
    <row r="276" spans="1:14" ht="15.75">
      <c r="A276" s="186" t="s">
        <v>380</v>
      </c>
      <c r="B276" s="181">
        <f>+SUMIF('New Master-List'!$AH$3:$AH$9995,'By Industries (NBC)'!A276,'New Master-List'!$L$3:$L$9995)</f>
        <v>0</v>
      </c>
      <c r="C276" s="1555">
        <f ca="1">+SUMIF('New Master-List'!$AH$3:$AH$247,'By Industries (NBC)'!A276,'New Master-List'!$M$3:$M$247)+SUMIF('New Master-List'!$AH$3:$AH$247,'By Industries (NBC)'!A276,'New Master-List'!$N$3:$N$9995)++SUMIF('New Master-List'!$AH$3:$AH$9995,'By Industries (NBC)'!A276,'New Master-List'!$O$3:$O$247)</f>
        <v>0</v>
      </c>
      <c r="D276" s="181">
        <f>+SUMIF('New Master-List'!$AH$3:$AH$9995,'By Industries (NBC)'!A276,'New Master-List'!$V$3:$V$9995)</f>
        <v>0</v>
      </c>
      <c r="E276" s="181">
        <f>+SUMIF('New Master-List'!$AH$199:$AH$9995,'By Industries (NBC)'!A276,'New Master-List'!$X$199:$X$9995)</f>
        <v>0</v>
      </c>
      <c r="G276" s="344">
        <f t="shared" si="16"/>
        <v>0</v>
      </c>
      <c r="H276" s="344">
        <f t="shared" ca="1" si="17"/>
        <v>0</v>
      </c>
      <c r="I276" s="344">
        <f t="shared" si="18"/>
        <v>0</v>
      </c>
      <c r="J276" s="344">
        <f t="shared" si="19"/>
        <v>0</v>
      </c>
    </row>
    <row r="277" spans="1:14" ht="15.75">
      <c r="A277" s="186" t="s">
        <v>381</v>
      </c>
      <c r="B277" s="181">
        <f>+SUMIF('New Master-List'!$AH$3:$AH$9995,'By Industries (NBC)'!A277,'New Master-List'!$L$3:$L$9995)</f>
        <v>0</v>
      </c>
      <c r="C277" s="1555">
        <f>+SUMIF('New Master-List'!$AH$3:$AH$9995,'By Industries (NBC)'!A277,'New Master-List'!$M$3:$M$9995)+SUMIF('New Master-List'!$AH$3:$AH$9995,'By Industries (NBC)'!A277,'New Master-List'!$N$3:$N$9995)++SUMIF('New Master-List'!$AH$3:$AH$9995,'By Industries (NBC)'!A277,'New Master-List'!$O$3:$O$9995)</f>
        <v>0</v>
      </c>
      <c r="D277" s="181">
        <f>+SUMIF('New Master-List'!$AH$3:$AH$9995,'By Industries (NBC)'!A277,'New Master-List'!$V$3:$V$9995)</f>
        <v>0</v>
      </c>
      <c r="E277" s="181">
        <f>+SUMIF('New Master-List'!$AH$199:$AH$9995,'By Industries (NBC)'!A277,'New Master-List'!$X$199:$X$9995)</f>
        <v>0</v>
      </c>
      <c r="G277" s="344">
        <f t="shared" si="16"/>
        <v>0</v>
      </c>
      <c r="H277" s="344">
        <f t="shared" si="17"/>
        <v>0</v>
      </c>
      <c r="I277" s="344">
        <f t="shared" si="18"/>
        <v>0</v>
      </c>
      <c r="J277" s="344">
        <f t="shared" si="19"/>
        <v>0</v>
      </c>
    </row>
    <row r="278" spans="1:14" ht="15.75">
      <c r="A278" s="186" t="s">
        <v>382</v>
      </c>
      <c r="B278" s="181">
        <f>+SUMIF('New Master-List'!$AH$3:$AH$9995,'By Industries (NBC)'!A278,'New Master-List'!$L$3:$L$9995)</f>
        <v>0</v>
      </c>
      <c r="C278" s="1555">
        <f>+SUMIF('New Master-List'!$AH$3:$AH$9995,'By Industries (NBC)'!A278,'New Master-List'!$M$3:$M$9995)+SUMIF('New Master-List'!$AH$3:$AH$9995,'By Industries (NBC)'!A278,'New Master-List'!$N$3:$N$9995)++SUMIF('New Master-List'!$AH$3:$AH$9995,'By Industries (NBC)'!A278,'New Master-List'!$O$3:$O$9995)</f>
        <v>0</v>
      </c>
      <c r="D278" s="181">
        <f>+SUMIF('New Master-List'!$AH$3:$AH$9995,'By Industries (NBC)'!A278,'New Master-List'!$V$3:$V$9995)</f>
        <v>0</v>
      </c>
      <c r="E278" s="181">
        <f>+SUMIF('New Master-List'!$AH$199:$AH$9995,'By Industries (NBC)'!A278,'New Master-List'!$X$199:$X$9995)</f>
        <v>0</v>
      </c>
      <c r="G278" s="344">
        <f t="shared" si="16"/>
        <v>0</v>
      </c>
      <c r="H278" s="344">
        <f t="shared" si="17"/>
        <v>0</v>
      </c>
      <c r="I278" s="344">
        <f t="shared" si="18"/>
        <v>0</v>
      </c>
      <c r="J278" s="344">
        <f t="shared" si="19"/>
        <v>0</v>
      </c>
    </row>
    <row r="279" spans="1:14" ht="15.75">
      <c r="A279" s="188" t="s">
        <v>160</v>
      </c>
      <c r="B279" s="181">
        <f>+SUMIF('New Master-List'!$AH$3:$AH$9995,'By Industries (NBC)'!A279,'New Master-List'!$L$3:$L$9995)</f>
        <v>0</v>
      </c>
      <c r="C279" s="1555">
        <f>+SUMIF('New Master-List'!$AH$3:$AH$9995,'By Industries (NBC)'!A279,'New Master-List'!$M$3:$M$9995)+SUMIF('New Master-List'!$AH$3:$AH$9995,'By Industries (NBC)'!A279,'New Master-List'!$N$3:$N$9995)++SUMIF('New Master-List'!$AH$3:$AH$9995,'By Industries (NBC)'!A279,'New Master-List'!$O$3:$O$9995)</f>
        <v>0</v>
      </c>
      <c r="D279" s="181">
        <f>+SUMIF('New Master-List'!$AH$3:$AH$9995,'By Industries (NBC)'!A279,'New Master-List'!$V$3:$V$9995)</f>
        <v>0</v>
      </c>
      <c r="E279" s="181">
        <f>+SUMIF('New Master-List'!$AH$199:$AH$9995,'By Industries (NBC)'!A279,'New Master-List'!$X$199:$X$9995)</f>
        <v>0</v>
      </c>
      <c r="G279" s="344">
        <f t="shared" si="16"/>
        <v>0</v>
      </c>
      <c r="H279" s="344">
        <f t="shared" si="17"/>
        <v>0</v>
      </c>
      <c r="I279" s="344">
        <f t="shared" si="18"/>
        <v>0</v>
      </c>
      <c r="J279" s="344">
        <f t="shared" si="19"/>
        <v>0</v>
      </c>
      <c r="K279" s="174"/>
      <c r="L279" s="174"/>
      <c r="M279" s="174"/>
      <c r="N279" s="174"/>
    </row>
    <row r="280" spans="1:14" ht="15.75">
      <c r="A280" s="186" t="s">
        <v>383</v>
      </c>
      <c r="B280" s="181">
        <f>+SUMIF('New Master-List'!$AH$3:$AH$9995,'By Industries (NBC)'!A280,'New Master-List'!$L$3:$L$9995)</f>
        <v>0</v>
      </c>
      <c r="C280" s="1555">
        <f>+SUMIF('New Master-List'!$AH$3:$AH$9995,'By Industries (NBC)'!A280,'New Master-List'!$M$3:$M$9995)+SUMIF('New Master-List'!$AH$3:$AH$9995,'By Industries (NBC)'!A280,'New Master-List'!$N$3:$N$9995)++SUMIF('New Master-List'!$AH$3:$AH$9995,'By Industries (NBC)'!A280,'New Master-List'!$O$3:$O$9995)</f>
        <v>0</v>
      </c>
      <c r="D280" s="181">
        <f>+SUMIF('New Master-List'!$AH$3:$AH$9995,'By Industries (NBC)'!A280,'New Master-List'!$V$3:$V$9995)</f>
        <v>0</v>
      </c>
      <c r="E280" s="181">
        <f>+SUMIF('New Master-List'!$AH$199:$AH$9995,'By Industries (NBC)'!A280,'New Master-List'!$X$199:$X$9995)</f>
        <v>0</v>
      </c>
      <c r="G280" s="344">
        <f t="shared" si="16"/>
        <v>0</v>
      </c>
      <c r="H280" s="344">
        <f t="shared" si="17"/>
        <v>0</v>
      </c>
      <c r="I280" s="344">
        <f t="shared" si="18"/>
        <v>0</v>
      </c>
      <c r="J280" s="344">
        <f t="shared" si="19"/>
        <v>0</v>
      </c>
    </row>
    <row r="281" spans="1:14" ht="15.75">
      <c r="A281" s="186" t="s">
        <v>384</v>
      </c>
      <c r="B281" s="181">
        <f>+SUMIF('New Master-List'!$AH$3:$AH$9995,'By Industries (NBC)'!A281,'New Master-List'!$L$3:$L$9995)</f>
        <v>0</v>
      </c>
      <c r="C281" s="1555">
        <f>+SUMIF('New Master-List'!$AH$3:$AH$9995,'By Industries (NBC)'!A281,'New Master-List'!$M$3:$M$9995)+SUMIF('New Master-List'!$AH$3:$AH$9995,'By Industries (NBC)'!A281,'New Master-List'!$N$3:$N$9995)++SUMIF('New Master-List'!$AH$3:$AH$9995,'By Industries (NBC)'!A281,'New Master-List'!$O$3:$O$9995)</f>
        <v>0</v>
      </c>
      <c r="D281" s="181">
        <f>+SUMIF('New Master-List'!$AH$3:$AH$9995,'By Industries (NBC)'!A281,'New Master-List'!$V$3:$V$9995)</f>
        <v>0</v>
      </c>
      <c r="E281" s="181">
        <f>+SUMIF('New Master-List'!$AH$199:$AH$9995,'By Industries (NBC)'!A281,'New Master-List'!$X$199:$X$9995)</f>
        <v>0</v>
      </c>
      <c r="G281" s="344">
        <f t="shared" si="16"/>
        <v>0</v>
      </c>
      <c r="H281" s="344">
        <f t="shared" si="17"/>
        <v>0</v>
      </c>
      <c r="I281" s="344">
        <f t="shared" si="18"/>
        <v>0</v>
      </c>
      <c r="J281" s="344">
        <f t="shared" si="19"/>
        <v>0</v>
      </c>
    </row>
    <row r="282" spans="1:14" ht="15.75">
      <c r="A282" s="186" t="s">
        <v>385</v>
      </c>
      <c r="B282" s="181">
        <f>+SUMIF('New Master-List'!$AH$3:$AH$9995,'By Industries (NBC)'!A282,'New Master-List'!$L$3:$L$9995)</f>
        <v>0</v>
      </c>
      <c r="C282" s="1555">
        <f>+SUMIF('New Master-List'!$AH$3:$AH$9995,'By Industries (NBC)'!A282,'New Master-List'!$M$3:$M$9995)+SUMIF('New Master-List'!$AH$3:$AH$9995,'By Industries (NBC)'!A282,'New Master-List'!$N$3:$N$9995)++SUMIF('New Master-List'!$AH$3:$AH$9995,'By Industries (NBC)'!A282,'New Master-List'!$O$3:$O$9995)</f>
        <v>0</v>
      </c>
      <c r="D282" s="181">
        <f>+SUMIF('New Master-List'!$AH$3:$AH$9995,'By Industries (NBC)'!A282,'New Master-List'!$V$3:$V$9995)</f>
        <v>0</v>
      </c>
      <c r="E282" s="181">
        <f>+SUMIF('New Master-List'!$AH$199:$AH$9995,'By Industries (NBC)'!A282,'New Master-List'!$X$199:$X$9995)</f>
        <v>0</v>
      </c>
      <c r="G282" s="344">
        <f t="shared" si="16"/>
        <v>0</v>
      </c>
      <c r="H282" s="344">
        <f t="shared" si="17"/>
        <v>0</v>
      </c>
      <c r="I282" s="344">
        <f t="shared" si="18"/>
        <v>0</v>
      </c>
      <c r="J282" s="344">
        <f t="shared" si="19"/>
        <v>0</v>
      </c>
    </row>
    <row r="283" spans="1:14" ht="15.75">
      <c r="A283" s="186" t="s">
        <v>386</v>
      </c>
      <c r="B283" s="181" t="e">
        <f>+SUMIF('New Master-List'!$AH$3:$AH$9995,'By Industries (NBC)'!A283,'New Master-List'!$L$3:$L$9995)</f>
        <v>#N/A</v>
      </c>
      <c r="C283" s="1555" t="e">
        <f>+SUMIF('New Master-List'!$AH$3:$AH$9995,'By Industries (NBC)'!A283,'New Master-List'!$M$3:$M$9995)+SUMIF('New Master-List'!$AH$3:$AH$9995,'By Industries (NBC)'!A283,'New Master-List'!$N$3:$N$9995)++SUMIF('New Master-List'!$AH$3:$AH$9995,'By Industries (NBC)'!A283,'New Master-List'!$O$3:$O$9995)</f>
        <v>#N/A</v>
      </c>
      <c r="D283" s="181" t="e">
        <f>+SUMIF('New Master-List'!$AH$3:$AH$9995,'By Industries (NBC)'!A283,'New Master-List'!$V$3:$V$9995)</f>
        <v>#N/A</v>
      </c>
      <c r="E283" s="181">
        <f>+SUMIF('New Master-List'!$AH$199:$AH$9995,'By Industries (NBC)'!A283,'New Master-List'!$X$199:$X$9995)</f>
        <v>0</v>
      </c>
      <c r="G283" s="344" t="e">
        <f t="shared" si="16"/>
        <v>#N/A</v>
      </c>
      <c r="H283" s="344" t="e">
        <f t="shared" si="17"/>
        <v>#N/A</v>
      </c>
      <c r="I283" s="344" t="e">
        <f t="shared" si="18"/>
        <v>#N/A</v>
      </c>
      <c r="J283" s="344">
        <f t="shared" si="19"/>
        <v>0</v>
      </c>
    </row>
    <row r="284" spans="1:14" ht="15.75">
      <c r="A284" s="194" t="s">
        <v>161</v>
      </c>
      <c r="B284" s="181">
        <f>+SUMIF('New Master-List'!$AH$3:$AH$9995,'By Industries (NBC)'!A284,'New Master-List'!$L$3:$L$9995)</f>
        <v>0</v>
      </c>
      <c r="C284" s="1555"/>
      <c r="D284" s="181">
        <f>+SUMIF('New Master-List'!$AH$3:$AH$9995,'By Industries (NBC)'!A284,'New Master-List'!$V$3:$V$9995)</f>
        <v>0</v>
      </c>
      <c r="E284" s="181">
        <f>+SUMIF('New Master-List'!$AH$199:$AH$9995,'By Industries (NBC)'!A284,'New Master-List'!$X$199:$X$9995)</f>
        <v>0</v>
      </c>
      <c r="G284" s="344">
        <f t="shared" si="16"/>
        <v>0</v>
      </c>
      <c r="H284" s="344">
        <f t="shared" si="17"/>
        <v>0</v>
      </c>
      <c r="I284" s="344">
        <f t="shared" si="18"/>
        <v>0</v>
      </c>
      <c r="J284" s="344">
        <f t="shared" si="19"/>
        <v>0</v>
      </c>
      <c r="K284" s="174"/>
      <c r="L284" s="174"/>
      <c r="M284" s="174"/>
      <c r="N284" s="174"/>
    </row>
    <row r="285" spans="1:14" ht="11.25" customHeight="1">
      <c r="A285" s="186" t="s">
        <v>489</v>
      </c>
      <c r="B285" s="181">
        <f>+SUMIF('New Master-List'!$AH$3:$AH$9995,'By Industries (NBC)'!A285,'New Master-List'!$L$3:$L$9995)</f>
        <v>0</v>
      </c>
      <c r="C285" s="1555">
        <f>+SUMIF('New Master-List'!$AH$3:$AH$9995,'By Industries (NBC)'!A285,'New Master-List'!$M$3:$M$9995)+SUMIF('New Master-List'!$AH$3:$AH$9995,'By Industries (NBC)'!A285,'New Master-List'!$N$3:$N$9995)++SUMIF('New Master-List'!$AH$3:$AH$9995,'By Industries (NBC)'!A285,'New Master-List'!$O$3:$O$9995)</f>
        <v>0</v>
      </c>
      <c r="D285" s="181">
        <f>+SUMIF('New Master-List'!$AH$3:$AH$9995,'By Industries (NBC)'!A285,'New Master-List'!$V$3:$V$9995)</f>
        <v>0</v>
      </c>
      <c r="E285" s="181">
        <f>+SUMIF('New Master-List'!$AH$199:$AH$9995,'By Industries (NBC)'!A285,'New Master-List'!$X$199:$X$9995)</f>
        <v>0</v>
      </c>
      <c r="G285" s="344">
        <f t="shared" si="16"/>
        <v>0</v>
      </c>
      <c r="H285" s="344">
        <f t="shared" si="17"/>
        <v>0</v>
      </c>
      <c r="I285" s="181">
        <v>0</v>
      </c>
      <c r="J285" s="181">
        <v>0</v>
      </c>
      <c r="K285" s="174"/>
      <c r="L285" s="174"/>
      <c r="M285" s="174"/>
      <c r="N285" s="174"/>
    </row>
    <row r="286" spans="1:14" ht="12.75" customHeight="1">
      <c r="A286" s="186" t="s">
        <v>490</v>
      </c>
      <c r="B286" s="181">
        <f>+SUMIF('New Master-List'!$AH$3:$AH$9995,'By Industries (NBC)'!A286,'New Master-List'!$L$3:$L$9995)</f>
        <v>0</v>
      </c>
      <c r="C286" s="181">
        <f>+SUMIF('New Master-List'!$AH$3:$AH$9995,'By Industries (NBC)'!A286,'New Master-List'!$M$3:$M$9995)+SUMIF('New Master-List'!$AH$3:$AH$9995,'By Industries (NBC)'!A286,'New Master-List'!$N$3:$N$9995)++SUMIF('New Master-List'!$AH$3:$AH$9995,'By Industries (NBC)'!A286,'New Master-List'!$O$3:$O$9995)</f>
        <v>0</v>
      </c>
      <c r="D286" s="181">
        <f>+SUMIF('New Master-List'!$AH$3:$AH$9995,'By Industries (NBC)'!A286,'New Master-List'!$V$3:$V$9995)</f>
        <v>0</v>
      </c>
      <c r="E286" s="181">
        <f>+SUMIF('New Master-List'!$AH$199:$AH$9995,'By Industries (NBC)'!A286,'New Master-List'!$X$199:$X$9995)</f>
        <v>0</v>
      </c>
      <c r="G286" s="344">
        <f t="shared" si="16"/>
        <v>0</v>
      </c>
      <c r="H286" s="344">
        <f t="shared" si="17"/>
        <v>0</v>
      </c>
      <c r="I286" s="181">
        <v>0</v>
      </c>
      <c r="J286" s="181">
        <v>0</v>
      </c>
      <c r="K286" s="174"/>
      <c r="L286" s="174"/>
      <c r="M286" s="174"/>
      <c r="N286" s="174"/>
    </row>
    <row r="287" spans="1:14" ht="12.75" customHeight="1">
      <c r="A287" s="186" t="s">
        <v>491</v>
      </c>
      <c r="B287" s="181">
        <f>+SUMIF('New Master-List'!$AH$3:$AH$9995,'By Industries (NBC)'!A287,'New Master-List'!$L$3:$L$9995)</f>
        <v>0</v>
      </c>
      <c r="C287" s="181">
        <f>+SUMIF('New Master-List'!$AH$3:$AH$9995,'By Industries (NBC)'!A287,'New Master-List'!$M$3:$M$9995)+SUMIF('New Master-List'!$AH$3:$AH$9995,'By Industries (NBC)'!A287,'New Master-List'!$N$3:$N$9995)++SUMIF('New Master-List'!$AH$3:$AH$9995,'By Industries (NBC)'!A287,'New Master-List'!$O$3:$O$9995)</f>
        <v>0</v>
      </c>
      <c r="D287" s="181">
        <f>+SUMIF('New Master-List'!$AH$3:$AH$9995,'By Industries (NBC)'!A287,'New Master-List'!$V$3:$V$9995)</f>
        <v>0</v>
      </c>
      <c r="E287" s="181">
        <f>+SUMIF('New Master-List'!$AH$199:$AH$9995,'By Industries (NBC)'!A287,'New Master-List'!$X$199:$X$9995)</f>
        <v>0</v>
      </c>
      <c r="G287" s="344">
        <f t="shared" si="16"/>
        <v>0</v>
      </c>
      <c r="H287" s="344">
        <f t="shared" si="17"/>
        <v>0</v>
      </c>
      <c r="I287" s="181">
        <v>0</v>
      </c>
      <c r="J287" s="181">
        <v>0</v>
      </c>
      <c r="K287" s="174"/>
      <c r="L287" s="174"/>
      <c r="M287" s="174"/>
      <c r="N287" s="174"/>
    </row>
    <row r="288" spans="1:14" ht="12.75" customHeight="1">
      <c r="A288" s="186" t="s">
        <v>492</v>
      </c>
      <c r="B288" s="181">
        <f>+SUMIF('New Master-List'!$AH$3:$AH$9995,'By Industries (NBC)'!A288,'New Master-List'!$L$3:$L$9995)</f>
        <v>0</v>
      </c>
      <c r="C288" s="181">
        <v>0</v>
      </c>
      <c r="D288" s="181">
        <f>+SUMIF('New Master-List'!$AH$3:$AH$9995,'By Industries (NBC)'!A288,'New Master-List'!$V$3:$V$9995)</f>
        <v>0</v>
      </c>
      <c r="E288" s="181">
        <f>+SUMIF('New Master-List'!$AH$199:$AH$9995,'By Industries (NBC)'!A288,'New Master-List'!$X$199:$X$9995)</f>
        <v>0</v>
      </c>
      <c r="G288" s="344">
        <f t="shared" si="16"/>
        <v>0</v>
      </c>
      <c r="H288" s="344">
        <f t="shared" si="17"/>
        <v>0</v>
      </c>
      <c r="I288" s="181">
        <v>0</v>
      </c>
      <c r="J288" s="181">
        <v>0</v>
      </c>
    </row>
    <row r="289" spans="1:14" ht="17.25">
      <c r="A289" s="182" t="s">
        <v>68</v>
      </c>
      <c r="B289" s="183" t="e">
        <f>SUM(B5:B288)</f>
        <v>#N/A</v>
      </c>
      <c r="C289" s="183" t="e">
        <f>SUM(C4:C288)</f>
        <v>#N/A</v>
      </c>
      <c r="D289" s="183" t="e">
        <f>SUM(D4:D288)</f>
        <v>#N/A</v>
      </c>
      <c r="E289" s="183">
        <f>SUM(E4:E288)</f>
        <v>10701.274000000001</v>
      </c>
      <c r="G289" s="183" t="e">
        <f>SUM(G4:G288)</f>
        <v>#N/A</v>
      </c>
      <c r="H289" s="183" t="e">
        <f>SUM(H4:H288)</f>
        <v>#N/A</v>
      </c>
      <c r="I289" s="183" t="e">
        <f>SUM(I4:I288)</f>
        <v>#N/A</v>
      </c>
      <c r="J289" s="353">
        <f>SUM(J4:J288)</f>
        <v>43.54</v>
      </c>
      <c r="K289" s="307"/>
      <c r="L289" s="307"/>
      <c r="M289" s="307"/>
      <c r="N289" s="307"/>
    </row>
    <row r="290" spans="1:14" ht="15.75">
      <c r="A290" s="174"/>
      <c r="B290" s="184"/>
      <c r="C290" s="1418"/>
      <c r="D290" s="555"/>
      <c r="E290" s="555"/>
    </row>
    <row r="291" spans="1:14">
      <c r="C291" s="1419" t="e">
        <f>+C289-'New Master-List'!Q245</f>
        <v>#N/A</v>
      </c>
      <c r="D291" s="555" t="e">
        <f>+D289-'New Master-List'!T245</f>
        <v>#N/A</v>
      </c>
      <c r="E291" s="409"/>
    </row>
    <row r="292" spans="1:14" ht="15.75">
      <c r="A292" s="1511" t="s">
        <v>1065</v>
      </c>
      <c r="B292" s="184"/>
      <c r="C292" s="237" t="s">
        <v>1066</v>
      </c>
      <c r="F292" s="555"/>
      <c r="H292" s="1695" t="s">
        <v>1651</v>
      </c>
      <c r="I292" s="1695"/>
      <c r="J292" s="1695"/>
    </row>
    <row r="293" spans="1:14">
      <c r="A293" s="1173" t="s">
        <v>36</v>
      </c>
      <c r="C293" s="237" t="s">
        <v>1067</v>
      </c>
      <c r="H293" s="1696" t="s">
        <v>1652</v>
      </c>
      <c r="I293" s="1696"/>
      <c r="J293" s="1696"/>
    </row>
    <row r="294" spans="1:14">
      <c r="A294" s="555"/>
      <c r="H294" s="1694" t="s">
        <v>1068</v>
      </c>
      <c r="I294" s="1694"/>
    </row>
    <row r="296" spans="1:14">
      <c r="A296" s="555"/>
    </row>
  </sheetData>
  <customSheetViews>
    <customSheetView guid="{E4D8AEA0-7D37-4CF1-9F19-1F9F3CB7E99E}" scale="90" showPageBreaks="1" fitToPage="1" printArea="1" view="pageBreakPreview" topLeftCell="C4">
      <selection activeCell="L13" sqref="L13"/>
      <colBreaks count="1" manualBreakCount="1">
        <brk id="10" max="1048575" man="1"/>
      </colBreaks>
      <pageMargins left="0.2" right="0.2" top="0" bottom="0" header="0.3" footer="0.3"/>
      <printOptions horizontalCentered="1"/>
      <pageSetup scale="64" fitToHeight="15" orientation="landscape" r:id="rId1"/>
    </customSheetView>
    <customSheetView guid="{AD634856-FDF7-4DD8-8DC5-36C324FF0C87}" scale="90" showPageBreaks="1" fitToPage="1" printArea="1" view="pageBreakPreview" topLeftCell="B1">
      <selection activeCell="M18" sqref="M18"/>
      <colBreaks count="1" manualBreakCount="1">
        <brk id="10" max="1048575" man="1"/>
      </colBreaks>
      <pageMargins left="0.2" right="0.2" top="0" bottom="0" header="0.3" footer="0.3"/>
      <printOptions horizontalCentered="1"/>
      <pageSetup scale="64" fitToHeight="15" orientation="landscape" r:id="rId2"/>
    </customSheetView>
    <customSheetView guid="{61CE75AA-B849-4D18-8838-F82995C6B087}" scale="90" showPageBreaks="1" fitToPage="1" printArea="1" view="pageBreakPreview" topLeftCell="C247">
      <selection activeCell="L13" sqref="L13"/>
      <colBreaks count="1" manualBreakCount="1">
        <brk id="10" max="1048575" man="1"/>
      </colBreaks>
      <pageMargins left="0.2" right="0.2" top="0" bottom="0" header="0.3" footer="0.3"/>
      <printOptions horizontalCentered="1"/>
      <pageSetup scale="64" fitToHeight="15" orientation="landscape" r:id="rId3"/>
    </customSheetView>
    <customSheetView guid="{7D95FE88-52D3-4AF2-A747-7A28402A32C2}" scale="90" showPageBreaks="1" fitToPage="1" printArea="1" view="pageBreakPreview" topLeftCell="C1">
      <selection activeCell="L7" sqref="L7"/>
      <colBreaks count="1" manualBreakCount="1">
        <brk id="10" max="1048575" man="1"/>
      </colBreaks>
      <pageMargins left="0.2" right="0.2" top="0" bottom="0" header="0.3" footer="0.3"/>
      <printOptions horizontalCentered="1"/>
      <pageSetup scale="64" fitToHeight="15" orientation="landscape" r:id="rId4"/>
    </customSheetView>
    <customSheetView guid="{6EF26E68-1B9A-4748-A66C-9D8C184CAF14}" fitToPage="1" topLeftCell="A273">
      <selection activeCell="B293" sqref="B293:E293"/>
      <colBreaks count="1" manualBreakCount="1">
        <brk id="10" max="1048575" man="1"/>
      </colBreaks>
      <pageMargins left="0.2" right="0.2" top="0" bottom="0" header="0.3" footer="0.3"/>
      <printOptions horizontalCentered="1"/>
      <pageSetup scale="64" fitToHeight="15" orientation="landscape" r:id="rId5"/>
    </customSheetView>
    <customSheetView guid="{B8A1874B-3BEF-4479-AD53-0D9BAC54C7CD}" scale="90" showPageBreaks="1" fitToPage="1" printArea="1" view="pageBreakPreview" topLeftCell="C4">
      <selection activeCell="L13" sqref="L13"/>
      <colBreaks count="1" manualBreakCount="1">
        <brk id="10" max="1048575" man="1"/>
      </colBreaks>
      <pageMargins left="0.2" right="0.2" top="0" bottom="0" header="0.3" footer="0.3"/>
      <printOptions horizontalCentered="1"/>
      <pageSetup scale="64" fitToHeight="15" orientation="landscape" r:id="rId6"/>
    </customSheetView>
    <customSheetView guid="{E5BCC4B4-F1B1-40C1-B93E-A6184E1EF716}" scale="90" showPageBreaks="1" fitToPage="1" printArea="1" view="pageBreakPreview" topLeftCell="C22">
      <selection activeCell="L13" sqref="L13"/>
      <colBreaks count="1" manualBreakCount="1">
        <brk id="10" max="1048575" man="1"/>
      </colBreaks>
      <pageMargins left="0.2" right="0.2" top="0" bottom="0" header="0.3" footer="0.3"/>
      <printOptions horizontalCentered="1"/>
      <pageSetup scale="64" fitToHeight="15" orientation="landscape" r:id="rId7"/>
    </customSheetView>
    <customSheetView guid="{994961F8-B63E-47F6-B0C5-98F862423FE5}" scale="90" showPageBreaks="1" fitToPage="1" printArea="1" view="pageBreakPreview" topLeftCell="C22">
      <selection activeCell="L13" sqref="L13"/>
      <colBreaks count="1" manualBreakCount="1">
        <brk id="10" max="1048575" man="1"/>
      </colBreaks>
      <pageMargins left="0.2" right="0.2" top="0" bottom="0" header="0.3" footer="0.3"/>
      <printOptions horizontalCentered="1"/>
      <pageSetup scale="64" fitToHeight="15" orientation="landscape" r:id="rId8"/>
    </customSheetView>
    <customSheetView guid="{F89B8433-E453-4FDE-8E2A-E7E816BD4DFD}" scale="90" showPageBreaks="1" fitToPage="1" printArea="1" view="pageBreakPreview" topLeftCell="C1">
      <selection activeCell="L14" sqref="L14"/>
      <colBreaks count="1" manualBreakCount="1">
        <brk id="10" max="1048575" man="1"/>
      </colBreaks>
      <pageMargins left="0.2" right="0.2" top="0" bottom="0" header="0.3" footer="0.3"/>
      <printOptions horizontalCentered="1"/>
      <pageSetup scale="64" fitToHeight="15" orientation="landscape" r:id="rId9"/>
    </customSheetView>
    <customSheetView guid="{9BA226E9-1840-4D58-8634-C7CD130BA9DE}" scale="90" showPageBreaks="1" fitToPage="1" printArea="1" view="pageBreakPreview" topLeftCell="C22">
      <selection activeCell="L13" sqref="L13"/>
      <colBreaks count="1" manualBreakCount="1">
        <brk id="10" max="1048575" man="1"/>
      </colBreaks>
      <pageMargins left="0.2" right="0.2" top="0" bottom="0" header="0.3" footer="0.3"/>
      <printOptions horizontalCentered="1"/>
      <pageSetup scale="64" fitToHeight="15" orientation="landscape" r:id="rId10"/>
    </customSheetView>
    <customSheetView guid="{ECC2632F-F62A-4FAF-AECC-1DDADB5FC34F}" fitToPage="1" topLeftCell="A273">
      <selection activeCell="B293" sqref="B293:E293"/>
      <colBreaks count="1" manualBreakCount="1">
        <brk id="10" max="1048575" man="1"/>
      </colBreaks>
      <pageMargins left="0.2" right="0.2" top="0" bottom="0" header="0.3" footer="0.3"/>
      <printOptions horizontalCentered="1"/>
      <pageSetup scale="53" fitToHeight="15" orientation="landscape" r:id="rId11"/>
    </customSheetView>
    <customSheetView guid="{FB80B360-98B3-4D7B-B530-099144659D3A}" showPageBreaks="1" fitToPage="1" topLeftCell="A273">
      <selection activeCell="B293" sqref="B293:E293"/>
      <colBreaks count="1" manualBreakCount="1">
        <brk id="10" max="1048575" man="1"/>
      </colBreaks>
      <pageMargins left="0.2" right="0.2" top="0" bottom="0" header="0.3" footer="0.3"/>
      <printOptions horizontalCentered="1"/>
      <pageSetup scale="53" fitToHeight="15" orientation="landscape" r:id="rId12"/>
    </customSheetView>
    <customSheetView guid="{7F784530-9B10-42D7-8F54-8EB6B060482F}" showPageBreaks="1" fitToPage="1">
      <selection activeCell="C282" sqref="C282"/>
      <colBreaks count="2" manualBreakCount="2">
        <brk id="10" max="1048575" man="1"/>
        <brk id="14" max="1048575" man="1"/>
      </colBreaks>
      <pageMargins left="0.2" right="0.2" top="0" bottom="0" header="0.3" footer="0.3"/>
      <printOptions horizontalCentered="1"/>
      <pageSetup scale="53" fitToHeight="15" orientation="landscape" r:id="rId13"/>
    </customSheetView>
    <customSheetView guid="{8AF18E21-1031-46CF-B2BC-F1B32D8B514B}" showPageBreaks="1" fitToPage="1" printArea="1" topLeftCell="A34">
      <selection activeCell="C67" sqref="C67"/>
      <colBreaks count="1" manualBreakCount="1">
        <brk id="10" max="1048575" man="1"/>
      </colBreaks>
      <pageMargins left="0.2" right="0.2" top="0" bottom="0" header="0.3" footer="0.3"/>
      <printOptions horizontalCentered="1"/>
      <pageSetup scale="64" fitToHeight="15" orientation="landscape" r:id="rId14"/>
    </customSheetView>
    <customSheetView guid="{E4837792-4A99-499B-8EC2-DE4E4D167510}" showPageBreaks="1" fitToPage="1" printArea="1" topLeftCell="A70">
      <selection activeCell="F5" sqref="F5"/>
      <colBreaks count="1" manualBreakCount="1">
        <brk id="10" max="1048575" man="1"/>
      </colBreaks>
      <pageMargins left="0.2" right="0.2" top="0" bottom="0" header="0.3" footer="0.3"/>
      <printOptions horizontalCentered="1"/>
      <pageSetup scale="64" fitToHeight="15" orientation="landscape" r:id="rId15"/>
    </customSheetView>
    <customSheetView guid="{16D4A374-74B9-406B-A5BA-2D573E6A0CF2}" fitToPage="1" topLeftCell="A273">
      <selection activeCell="B293" sqref="B293:E293"/>
      <colBreaks count="1" manualBreakCount="1">
        <brk id="10" max="1048575" man="1"/>
      </colBreaks>
      <pageMargins left="0.2" right="0.2" top="0" bottom="0" header="0.3" footer="0.3"/>
      <printOptions horizontalCentered="1"/>
      <pageSetup scale="53" fitToHeight="15" orientation="landscape" r:id="rId16"/>
    </customSheetView>
    <customSheetView guid="{F729E7D6-6F09-4AEC-8A8D-5BB0CE563030}" scale="90" showPageBreaks="1" fitToPage="1" printArea="1" view="pageBreakPreview" topLeftCell="C1">
      <selection activeCell="L13" sqref="L13"/>
      <colBreaks count="1" manualBreakCount="1">
        <brk id="10" max="1048575" man="1"/>
      </colBreaks>
      <pageMargins left="0.2" right="0.2" top="0" bottom="0" header="0.3" footer="0.3"/>
      <printOptions horizontalCentered="1"/>
      <pageSetup scale="64" fitToHeight="15" orientation="landscape" r:id="rId17"/>
    </customSheetView>
    <customSheetView guid="{2896A421-8E5B-4BF0-9CC6-B6380E0DB314}" fitToPage="1" topLeftCell="A273">
      <selection activeCell="B293" sqref="B293:E293"/>
      <colBreaks count="1" manualBreakCount="1">
        <brk id="10" max="1048575" man="1"/>
      </colBreaks>
      <pageMargins left="0.2" right="0.2" top="0" bottom="0" header="0.3" footer="0.3"/>
      <printOptions horizontalCentered="1"/>
      <pageSetup scale="64" fitToHeight="15" orientation="landscape" r:id="rId18"/>
    </customSheetView>
    <customSheetView guid="{98D3DDB6-797A-47DD-9C96-BB16B2207A0C}" scale="90" showPageBreaks="1" fitToPage="1" printArea="1" view="pageBreakPreview" topLeftCell="C4">
      <selection activeCell="L13" sqref="L13"/>
      <colBreaks count="1" manualBreakCount="1">
        <brk id="10" max="1048575" man="1"/>
      </colBreaks>
      <pageMargins left="0.2" right="0.2" top="0" bottom="0" header="0.3" footer="0.3"/>
      <printOptions horizontalCentered="1"/>
      <pageSetup scale="64" fitToHeight="15" orientation="landscape" r:id="rId19"/>
    </customSheetView>
    <customSheetView guid="{A1D515A7-1E5B-4509-BA26-4ABAA82FF869}" scale="90" showPageBreaks="1" fitToPage="1" printArea="1" view="pageBreakPreview">
      <selection activeCell="L13" sqref="L13"/>
      <colBreaks count="1" manualBreakCount="1">
        <brk id="10" max="1048575" man="1"/>
      </colBreaks>
      <pageMargins left="0.2" right="0.2" top="0" bottom="0" header="0.3" footer="0.3"/>
      <printOptions horizontalCentered="1"/>
      <pageSetup scale="64" fitToHeight="15" orientation="landscape" r:id="rId20"/>
    </customSheetView>
    <customSheetView guid="{80E06DBA-C6F3-475B-8D63-21743367E2AD}" scale="90" showPageBreaks="1" fitToPage="1" printArea="1" view="pageBreakPreview" topLeftCell="A274">
      <selection activeCell="C289" sqref="C289"/>
      <colBreaks count="1" manualBreakCount="1">
        <brk id="10" max="1048575" man="1"/>
      </colBreaks>
      <pageMargins left="0.2" right="0.2" top="0" bottom="0" header="0.3" footer="0.3"/>
      <printOptions horizontalCentered="1"/>
      <pageSetup scale="64" fitToHeight="15" orientation="landscape" r:id="rId21"/>
    </customSheetView>
    <customSheetView guid="{9ED09EA6-4579-48A9-AD5B-8A08B9AAA8BE}" showPageBreaks="1" fitToPage="1" printArea="1" topLeftCell="A70">
      <selection activeCell="F5" sqref="F5"/>
      <colBreaks count="1" manualBreakCount="1">
        <brk id="10" max="1048575" man="1"/>
      </colBreaks>
      <pageMargins left="0.2" right="0.2" top="0" bottom="0" header="0.3" footer="0.3"/>
      <printOptions horizontalCentered="1"/>
      <pageSetup scale="64" fitToHeight="15" orientation="landscape" r:id="rId22"/>
    </customSheetView>
    <customSheetView guid="{7631AB21-BAD4-410B-9EB7-37E4C039E55D}" scale="90" showPageBreaks="1" fitToPage="1" printArea="1" view="pageBreakPreview" topLeftCell="C4">
      <selection activeCell="L13" sqref="L13"/>
      <colBreaks count="1" manualBreakCount="1">
        <brk id="10" max="1048575" man="1"/>
      </colBreaks>
      <pageMargins left="0.2" right="0.2" top="0" bottom="0" header="0.3" footer="0.3"/>
      <printOptions horizontalCentered="1"/>
      <pageSetup scale="64" fitToHeight="15" orientation="landscape" r:id="rId23"/>
    </customSheetView>
    <customSheetView guid="{BE76667A-60C4-4702-8334-217BF8BB1245}" scale="90" showPageBreaks="1" fitToPage="1" printArea="1" view="pageBreakPreview" topLeftCell="A270">
      <selection activeCell="C292" sqref="C292"/>
      <colBreaks count="1" manualBreakCount="1">
        <brk id="10" max="1048575" man="1"/>
      </colBreaks>
      <pageMargins left="0.2" right="0.2" top="0" bottom="0" header="0.3" footer="0.3"/>
      <printOptions horizontalCentered="1"/>
      <pageSetup scale="64" fitToHeight="15" orientation="landscape" r:id="rId24"/>
    </customSheetView>
    <customSheetView guid="{3FE5399F-6D96-46C9-B56D-C9200CDFFBCC}" scale="90" showPageBreaks="1" fitToPage="1" printArea="1" view="pageBreakPreview" topLeftCell="C1">
      <selection activeCell="L7" sqref="L7"/>
      <colBreaks count="1" manualBreakCount="1">
        <brk id="10" max="1048575" man="1"/>
      </colBreaks>
      <pageMargins left="0.2" right="0.2" top="0" bottom="0" header="0.3" footer="0.3"/>
      <printOptions horizontalCentered="1"/>
      <pageSetup scale="64" fitToHeight="15" orientation="landscape" r:id="rId25"/>
    </customSheetView>
    <customSheetView guid="{DB5C611D-B585-4D04-94DC-84E03E7F6427}" scale="90" showPageBreaks="1" fitToPage="1" printArea="1" view="pageBreakPreview">
      <selection activeCell="N9" sqref="N9"/>
      <colBreaks count="1" manualBreakCount="1">
        <brk id="10" max="1048575" man="1"/>
      </colBreaks>
      <pageMargins left="0.2" right="0.2" top="0" bottom="0" header="0.3" footer="0.3"/>
      <printOptions horizontalCentered="1"/>
      <pageSetup scale="64" fitToHeight="15" orientation="landscape" r:id="rId26"/>
    </customSheetView>
    <customSheetView guid="{0C6DA001-EF29-43B3-B8E5-B7C6D16AED4F}" scale="90" showPageBreaks="1" fitToPage="1" printArea="1" view="pageBreakPreview">
      <selection activeCell="N9" sqref="N9"/>
      <colBreaks count="1" manualBreakCount="1">
        <brk id="10" max="1048575" man="1"/>
      </colBreaks>
      <pageMargins left="0.2" right="0.2" top="0" bottom="0" header="0.3" footer="0.3"/>
      <printOptions horizontalCentered="1"/>
      <pageSetup scale="64" fitToHeight="15" orientation="landscape" r:id="rId27"/>
    </customSheetView>
    <customSheetView guid="{C57D03F9-88DE-4996-9965-888CDFC990C2}" scale="90" showPageBreaks="1" fitToPage="1" printArea="1" view="pageBreakPreview" topLeftCell="B1">
      <selection activeCell="A95" sqref="A95"/>
      <colBreaks count="1" manualBreakCount="1">
        <brk id="10" max="1048575" man="1"/>
      </colBreaks>
      <pageMargins left="0.2" right="0.2" top="0" bottom="0" header="0.3" footer="0.3"/>
      <printOptions horizontalCentered="1"/>
      <pageSetup scale="64" fitToHeight="15" orientation="landscape" r:id="rId28"/>
    </customSheetView>
    <customSheetView guid="{51A412B5-0E75-4615-BBB6-5CF03E1A3E32}" scale="90" showPageBreaks="1" fitToPage="1" printArea="1" view="pageBreakPreview">
      <selection activeCell="N9" sqref="N9"/>
      <colBreaks count="1" manualBreakCount="1">
        <brk id="10" max="1048575" man="1"/>
      </colBreaks>
      <pageMargins left="0.2" right="0.2" top="0" bottom="0" header="0.3" footer="0.3"/>
      <printOptions horizontalCentered="1"/>
      <pageSetup scale="64" fitToHeight="15" orientation="landscape" r:id="rId29"/>
    </customSheetView>
  </customSheetViews>
  <mergeCells count="3">
    <mergeCell ref="H294:I294"/>
    <mergeCell ref="H292:J292"/>
    <mergeCell ref="H293:J293"/>
  </mergeCells>
  <phoneticPr fontId="104" type="noConversion"/>
  <printOptions horizontalCentered="1"/>
  <pageMargins left="0.2" right="0.2" top="0" bottom="0" header="0.3" footer="0.3"/>
  <pageSetup paperSize="9" scale="64" fitToHeight="15" orientation="landscape" r:id="rId3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showGridLines="0" showOutlineSymbols="0" defaultGridColor="0" colorId="10" workbookViewId="0">
      <selection activeCell="B19" sqref="B19"/>
    </sheetView>
  </sheetViews>
  <sheetFormatPr defaultColWidth="8.6640625" defaultRowHeight="15"/>
  <cols>
    <col min="1" max="1" width="4.44140625" style="101" customWidth="1"/>
    <col min="2" max="2" width="21" style="101" customWidth="1"/>
    <col min="3" max="4" width="9.109375" style="101" customWidth="1"/>
    <col min="5" max="5" width="10.44140625" style="101" customWidth="1"/>
    <col min="6" max="6" width="11.109375" style="101" customWidth="1"/>
    <col min="7" max="7" width="7.5546875" style="101" customWidth="1"/>
    <col min="8" max="8" width="10.6640625" style="101" customWidth="1"/>
    <col min="9" max="9" width="10.109375" style="101" customWidth="1"/>
    <col min="10" max="10" width="9.44140625" style="101" customWidth="1"/>
    <col min="11" max="11" width="22.6640625" style="101" customWidth="1"/>
    <col min="12" max="12" width="10.5546875" style="101" customWidth="1"/>
    <col min="13" max="13" width="41.6640625" style="101" customWidth="1"/>
    <col min="14" max="14" width="17.77734375" style="101" customWidth="1"/>
    <col min="15" max="15" width="20.44140625" style="101" customWidth="1"/>
    <col min="16" max="16" width="7.6640625" style="101" customWidth="1"/>
    <col min="17" max="17" width="8.6640625" style="101"/>
    <col min="18" max="18" width="12" style="101" customWidth="1"/>
    <col min="19" max="28" width="8.6640625" style="101"/>
    <col min="29" max="29" width="13.6640625" style="101" customWidth="1"/>
    <col min="30" max="16384" width="8.6640625" style="101"/>
  </cols>
  <sheetData>
    <row r="1" spans="1:19" s="413" customFormat="1" ht="36.75" customHeight="1">
      <c r="A1" s="1366" t="s">
        <v>89</v>
      </c>
      <c r="B1" s="1366"/>
      <c r="C1" s="1366"/>
      <c r="D1" s="1366"/>
      <c r="E1" s="1366"/>
      <c r="F1" s="1366"/>
      <c r="G1" s="1366"/>
      <c r="H1" s="1366"/>
      <c r="I1" s="1366"/>
      <c r="J1" s="1366"/>
      <c r="K1" s="1366"/>
      <c r="L1" s="1366"/>
      <c r="M1" s="97"/>
      <c r="N1" s="97"/>
      <c r="O1" s="97"/>
      <c r="P1" s="97"/>
      <c r="Q1" s="98"/>
      <c r="S1" s="99"/>
    </row>
    <row r="2" spans="1:19" s="1386" customFormat="1" ht="34.5" customHeight="1">
      <c r="A2" s="1383" t="s">
        <v>628</v>
      </c>
      <c r="B2" s="1383"/>
      <c r="C2" s="1383"/>
      <c r="D2" s="1383"/>
      <c r="E2" s="1383"/>
      <c r="F2" s="1383"/>
      <c r="G2" s="1383"/>
      <c r="H2" s="1383"/>
      <c r="I2" s="1383"/>
      <c r="J2" s="1383"/>
      <c r="K2" s="1383"/>
      <c r="L2" s="1383"/>
      <c r="M2" s="1384"/>
      <c r="N2" s="1384"/>
      <c r="O2" s="1384"/>
      <c r="P2" s="1384"/>
      <c r="Q2" s="1385"/>
      <c r="S2" s="1387"/>
    </row>
    <row r="3" spans="1:19" ht="23.25" customHeight="1">
      <c r="A3" s="1771" t="s">
        <v>635</v>
      </c>
      <c r="B3" s="1771"/>
      <c r="C3" s="1771"/>
      <c r="D3" s="1771"/>
      <c r="E3" s="1771"/>
      <c r="F3" s="1771"/>
      <c r="G3" s="1771"/>
      <c r="H3" s="1771"/>
      <c r="I3" s="1771"/>
      <c r="J3" s="1771"/>
      <c r="K3" s="1771"/>
      <c r="L3" s="100"/>
      <c r="M3" s="100"/>
      <c r="N3" s="100"/>
      <c r="O3" s="100"/>
      <c r="R3" s="102"/>
    </row>
    <row r="4" spans="1:19" ht="21" customHeight="1">
      <c r="A4" s="1775" t="s">
        <v>636</v>
      </c>
      <c r="B4" s="1776"/>
      <c r="C4" s="1776"/>
      <c r="D4" s="1776"/>
      <c r="E4" s="1776"/>
      <c r="F4" s="1776"/>
      <c r="G4" s="1776"/>
      <c r="H4" s="1776"/>
      <c r="I4" s="1776"/>
      <c r="J4" s="1776"/>
      <c r="K4" s="1776"/>
      <c r="L4" s="1771"/>
      <c r="M4" s="1771"/>
      <c r="N4" s="1771"/>
      <c r="O4" s="1771"/>
      <c r="R4" s="102"/>
    </row>
    <row r="5" spans="1:19" ht="15" customHeight="1">
      <c r="A5" s="103"/>
      <c r="I5" s="106"/>
      <c r="J5" s="107"/>
      <c r="K5" s="107"/>
      <c r="L5" s="108"/>
      <c r="P5" s="109"/>
    </row>
    <row r="6" spans="1:19" s="561" customFormat="1" ht="27.75" customHeight="1">
      <c r="A6" s="352" t="s">
        <v>43</v>
      </c>
      <c r="B6" s="570"/>
      <c r="C6" s="565"/>
      <c r="D6" s="565"/>
      <c r="E6" s="566"/>
      <c r="F6" s="566"/>
      <c r="G6" s="567"/>
      <c r="H6" s="564"/>
      <c r="I6" s="566"/>
      <c r="J6" s="563"/>
      <c r="K6" s="568"/>
      <c r="L6" s="566"/>
      <c r="M6" s="569"/>
      <c r="N6" s="560"/>
    </row>
    <row r="7" spans="1:19" s="561" customFormat="1" ht="12.75" customHeight="1" thickBot="1">
      <c r="A7" s="571"/>
      <c r="B7" s="572"/>
      <c r="C7" s="556"/>
      <c r="D7" s="556"/>
      <c r="E7" s="557"/>
      <c r="F7" s="557"/>
      <c r="G7" s="558"/>
      <c r="H7" s="559"/>
      <c r="I7" s="557"/>
      <c r="J7" s="556"/>
      <c r="K7" s="573"/>
      <c r="L7" s="574"/>
      <c r="M7" s="575"/>
      <c r="N7" s="560"/>
    </row>
    <row r="8" spans="1:19" ht="30" customHeight="1" thickBot="1">
      <c r="A8" s="140" t="s">
        <v>1</v>
      </c>
      <c r="B8" s="140" t="s">
        <v>39</v>
      </c>
      <c r="C8" s="140" t="s">
        <v>44</v>
      </c>
      <c r="D8" s="140" t="s">
        <v>9</v>
      </c>
      <c r="E8" s="140" t="s">
        <v>3</v>
      </c>
      <c r="F8" s="140" t="s">
        <v>7</v>
      </c>
      <c r="G8" s="140" t="s">
        <v>40</v>
      </c>
      <c r="H8" s="141" t="s">
        <v>41</v>
      </c>
      <c r="I8" s="140" t="s">
        <v>45</v>
      </c>
      <c r="J8" s="141" t="s">
        <v>46</v>
      </c>
      <c r="K8" s="140" t="s">
        <v>42</v>
      </c>
      <c r="L8" s="140" t="s">
        <v>47</v>
      </c>
      <c r="M8" s="140" t="s">
        <v>10</v>
      </c>
      <c r="N8" s="117"/>
    </row>
    <row r="9" spans="1:19" ht="83.25" customHeight="1" thickBot="1">
      <c r="A9" s="551"/>
      <c r="B9" s="712"/>
      <c r="C9" s="349"/>
      <c r="D9" s="349"/>
      <c r="E9" s="142"/>
      <c r="F9" s="142"/>
      <c r="G9" s="968"/>
      <c r="H9" s="969"/>
      <c r="I9" s="970"/>
      <c r="J9" s="971"/>
      <c r="K9" s="709"/>
      <c r="L9" s="553"/>
      <c r="M9" s="710"/>
      <c r="N9" s="117"/>
    </row>
    <row r="10" spans="1:19" ht="32.25" customHeight="1" thickBot="1">
      <c r="A10" s="144"/>
      <c r="B10" s="407"/>
      <c r="C10" s="856"/>
      <c r="D10" s="1047" t="s">
        <v>34</v>
      </c>
      <c r="E10" s="725">
        <f>SUM(E9:E9)</f>
        <v>0</v>
      </c>
      <c r="F10" s="725">
        <f>SUM(F9:F9)</f>
        <v>0</v>
      </c>
      <c r="G10" s="725"/>
      <c r="H10" s="725">
        <f>SUM(H9:H9)</f>
        <v>0</v>
      </c>
      <c r="I10" s="894">
        <f>SUM(I9:I9)</f>
        <v>0</v>
      </c>
      <c r="J10" s="120"/>
      <c r="K10" s="120"/>
      <c r="L10" s="121"/>
      <c r="M10" s="122"/>
      <c r="N10" s="117"/>
    </row>
    <row r="11" spans="1:19" s="412" customFormat="1" ht="27.75" customHeight="1">
      <c r="B11" s="445" t="s">
        <v>48</v>
      </c>
      <c r="C11" s="123"/>
      <c r="E11" s="733"/>
      <c r="F11" s="733"/>
      <c r="G11" s="733"/>
      <c r="H11" s="734"/>
      <c r="I11" s="734" t="s">
        <v>49</v>
      </c>
      <c r="K11" s="125"/>
      <c r="M11" s="446" t="s">
        <v>50</v>
      </c>
    </row>
    <row r="17" spans="2:4" ht="15.75">
      <c r="B17" s="466"/>
      <c r="C17" s="466"/>
      <c r="D17" s="466"/>
    </row>
    <row r="18" spans="2:4" ht="22.5" customHeight="1">
      <c r="B18" s="466" t="s">
        <v>892</v>
      </c>
    </row>
    <row r="19" spans="2:4" ht="15.75">
      <c r="B19" s="562"/>
      <c r="C19" s="562"/>
      <c r="D19" s="562"/>
    </row>
    <row r="20" spans="2:4" ht="15.75">
      <c r="B20" s="562"/>
    </row>
    <row r="43" spans="1:12" ht="20.100000000000001" customHeight="1">
      <c r="A43" s="126"/>
      <c r="B43" s="104"/>
      <c r="C43" s="104"/>
      <c r="D43" s="104"/>
      <c r="E43" s="104"/>
      <c r="F43" s="104"/>
      <c r="G43" s="104"/>
      <c r="H43" s="104"/>
      <c r="I43" s="104"/>
      <c r="J43" s="104"/>
      <c r="K43" s="104"/>
      <c r="L43" s="127"/>
    </row>
    <row r="44" spans="1:12" ht="20.100000000000001" customHeight="1">
      <c r="A44" s="126"/>
      <c r="B44" s="104"/>
      <c r="C44" s="104"/>
      <c r="D44" s="104"/>
      <c r="E44" s="104"/>
      <c r="F44" s="104"/>
      <c r="G44" s="104"/>
      <c r="H44" s="104"/>
      <c r="I44" s="104"/>
      <c r="J44" s="104"/>
      <c r="K44" s="104"/>
      <c r="L44" s="127"/>
    </row>
    <row r="45" spans="1:12" ht="20.100000000000001" customHeight="1">
      <c r="A45" s="126"/>
      <c r="B45" s="104"/>
      <c r="C45" s="104"/>
      <c r="D45" s="104"/>
      <c r="E45" s="104"/>
      <c r="F45" s="104"/>
      <c r="G45" s="104"/>
      <c r="H45" s="104"/>
      <c r="I45" s="104"/>
      <c r="J45" s="104"/>
      <c r="K45" s="104"/>
      <c r="L45" s="127"/>
    </row>
    <row r="46" spans="1:12" ht="20.100000000000001" customHeight="1">
      <c r="A46" s="126"/>
      <c r="B46" s="104"/>
      <c r="C46" s="104"/>
      <c r="D46" s="104"/>
      <c r="E46" s="104"/>
      <c r="F46" s="104"/>
      <c r="G46" s="104"/>
      <c r="H46" s="104"/>
      <c r="I46" s="104"/>
      <c r="J46" s="104"/>
      <c r="K46" s="104"/>
      <c r="L46" s="127"/>
    </row>
    <row r="47" spans="1:12" ht="20.100000000000001" customHeight="1">
      <c r="A47" s="126"/>
      <c r="B47" s="104"/>
      <c r="C47" s="104"/>
      <c r="D47" s="104"/>
      <c r="E47" s="104"/>
      <c r="F47" s="104"/>
      <c r="G47" s="104"/>
      <c r="H47" s="104"/>
      <c r="I47" s="104"/>
      <c r="J47" s="104"/>
      <c r="K47" s="104"/>
      <c r="L47" s="127"/>
    </row>
    <row r="48" spans="1:12" ht="20.100000000000001" customHeight="1">
      <c r="A48" s="126"/>
      <c r="B48" s="104"/>
      <c r="C48" s="104"/>
      <c r="D48" s="104"/>
      <c r="E48" s="104"/>
      <c r="F48" s="104"/>
      <c r="G48" s="104"/>
      <c r="H48" s="104"/>
      <c r="I48" s="104"/>
      <c r="J48" s="104"/>
      <c r="K48" s="104"/>
      <c r="L48" s="127"/>
    </row>
    <row r="49" spans="1:12" ht="20.100000000000001" customHeight="1">
      <c r="A49" s="126"/>
      <c r="B49" s="104"/>
      <c r="C49" s="104"/>
      <c r="D49" s="104"/>
      <c r="E49" s="104"/>
      <c r="F49" s="104"/>
      <c r="G49" s="104"/>
      <c r="H49" s="104"/>
      <c r="I49" s="104"/>
      <c r="J49" s="104"/>
      <c r="K49" s="104"/>
      <c r="L49" s="127"/>
    </row>
    <row r="50" spans="1:12" ht="20.100000000000001" customHeight="1">
      <c r="A50" s="126"/>
      <c r="B50" s="104"/>
      <c r="C50" s="104"/>
      <c r="D50" s="104"/>
      <c r="E50" s="104"/>
      <c r="F50" s="104"/>
      <c r="G50" s="104"/>
      <c r="H50" s="104"/>
      <c r="I50" s="104"/>
      <c r="J50" s="104"/>
      <c r="K50" s="104"/>
      <c r="L50" s="127"/>
    </row>
    <row r="51" spans="1:12" ht="20.100000000000001" customHeight="1">
      <c r="A51" s="126"/>
      <c r="B51" s="104"/>
      <c r="C51" s="104"/>
      <c r="D51" s="104"/>
      <c r="E51" s="104"/>
      <c r="F51" s="104"/>
      <c r="G51" s="104"/>
      <c r="H51" s="104"/>
      <c r="I51" s="104"/>
      <c r="J51" s="104"/>
      <c r="K51" s="104"/>
      <c r="L51" s="127"/>
    </row>
    <row r="52" spans="1:12" ht="20.100000000000001" customHeight="1">
      <c r="A52" s="126"/>
      <c r="B52" s="104"/>
      <c r="C52" s="104"/>
      <c r="D52" s="104"/>
      <c r="E52" s="104"/>
      <c r="F52" s="104"/>
      <c r="G52" s="104"/>
      <c r="H52" s="104"/>
      <c r="I52" s="104"/>
      <c r="J52" s="104"/>
      <c r="K52" s="104"/>
      <c r="L52" s="127"/>
    </row>
    <row r="53" spans="1:12" ht="20.100000000000001" customHeight="1">
      <c r="A53" s="126"/>
      <c r="B53" s="104"/>
      <c r="C53" s="104"/>
      <c r="D53" s="104"/>
      <c r="E53" s="104"/>
      <c r="F53" s="104"/>
      <c r="G53" s="104"/>
      <c r="H53" s="104"/>
      <c r="I53" s="104"/>
      <c r="J53" s="104"/>
      <c r="K53" s="104"/>
      <c r="L53" s="127"/>
    </row>
    <row r="54" spans="1:12" ht="20.100000000000001" customHeight="1">
      <c r="A54" s="126"/>
      <c r="B54" s="104"/>
      <c r="C54" s="104"/>
      <c r="D54" s="104"/>
      <c r="E54" s="104"/>
      <c r="F54" s="104"/>
      <c r="G54" s="104"/>
      <c r="H54" s="104"/>
      <c r="I54" s="104"/>
      <c r="J54" s="104"/>
      <c r="K54" s="104"/>
      <c r="L54" s="127"/>
    </row>
    <row r="55" spans="1:12" ht="20.100000000000001" customHeight="1">
      <c r="A55" s="126"/>
      <c r="B55" s="104"/>
      <c r="C55" s="104"/>
      <c r="D55" s="104"/>
      <c r="E55" s="104"/>
      <c r="F55" s="104"/>
      <c r="G55" s="104"/>
      <c r="H55" s="104"/>
      <c r="I55" s="104"/>
      <c r="J55" s="104"/>
      <c r="K55" s="104"/>
      <c r="L55" s="127"/>
    </row>
    <row r="56" spans="1:12" ht="23.25" customHeight="1">
      <c r="A56" s="126"/>
      <c r="B56" s="104"/>
      <c r="C56" s="104"/>
      <c r="D56" s="104"/>
      <c r="E56" s="104"/>
      <c r="F56" s="104"/>
      <c r="G56" s="104"/>
      <c r="H56" s="104"/>
      <c r="I56" s="104"/>
      <c r="J56" s="104"/>
      <c r="K56" s="104"/>
      <c r="L56" s="127"/>
    </row>
    <row r="57" spans="1:12" ht="20.100000000000001" customHeight="1"/>
    <row r="58" spans="1:12" ht="20.100000000000001" customHeight="1"/>
    <row r="59" spans="1:12" ht="20.100000000000001" customHeight="1"/>
    <row r="60" spans="1:12" ht="20.100000000000001" customHeight="1"/>
    <row r="61" spans="1:12" ht="20.100000000000001" customHeight="1"/>
    <row r="62" spans="1:12" ht="20.100000000000001" customHeight="1"/>
    <row r="63" spans="1:12" ht="20.100000000000001" customHeight="1"/>
  </sheetData>
  <customSheetViews>
    <customSheetView guid="{E4D8AEA0-7D37-4CF1-9F19-1F9F3CB7E99E}" colorId="10" showGridLines="0" outlineSymbols="0">
      <selection activeCell="C9" sqref="C9"/>
      <colBreaks count="2" manualBreakCount="2">
        <brk id="13" max="1048575" man="1"/>
        <brk id="15" max="1048575" man="1"/>
      </colBreaks>
      <pageMargins left="0.18" right="0" top="0.5" bottom="0.5" header="0.25" footer="0.5"/>
      <printOptions horizontalCentered="1"/>
      <pageSetup paperSize="9" scale="67" orientation="landscape" r:id="rId1"/>
      <headerFooter alignWithMargins="0">
        <oddFooter>&amp;C</oddFooter>
      </headerFooter>
    </customSheetView>
    <customSheetView guid="{AD634856-FDF7-4DD8-8DC5-36C324FF0C87}" colorId="10" showGridLines="0" outlineSymbols="0" topLeftCell="A4">
      <selection activeCell="A9" sqref="A9"/>
      <colBreaks count="2" manualBreakCount="2">
        <brk id="13" max="1048575" man="1"/>
        <brk id="15" max="1048575" man="1"/>
      </colBreaks>
      <pageMargins left="0.18" right="0" top="0.5" bottom="0.5" header="0.25" footer="0.5"/>
      <printOptions horizontalCentered="1"/>
      <pageSetup paperSize="9" scale="67" orientation="landscape" r:id="rId2"/>
      <headerFooter alignWithMargins="0">
        <oddFooter>&amp;C</oddFooter>
      </headerFooter>
    </customSheetView>
    <customSheetView guid="{61CE75AA-B849-4D18-8838-F82995C6B087}" colorId="10" showGridLines="0" outlineSymbols="0">
      <selection activeCell="A33" sqref="A33"/>
      <colBreaks count="2" manualBreakCount="2">
        <brk id="13" max="1048575" man="1"/>
        <brk id="15" max="1048575" man="1"/>
      </colBreaks>
      <pageMargins left="0.18" right="0" top="0.5" bottom="0.5" header="0.25" footer="0.5"/>
      <printOptions horizontalCentered="1"/>
      <pageSetup paperSize="9" scale="67" orientation="landscape" r:id="rId3"/>
      <headerFooter alignWithMargins="0">
        <oddFooter>&amp;C</oddFooter>
      </headerFooter>
    </customSheetView>
    <customSheetView guid="{7D95FE88-52D3-4AF2-A747-7A28402A32C2}" colorId="10" showPageBreaks="1" showGridLines="0" outlineSymbols="0">
      <selection activeCell="A4" sqref="A4"/>
      <colBreaks count="2" manualBreakCount="2">
        <brk id="13" max="1048575" man="1"/>
        <brk id="15" max="1048575" man="1"/>
      </colBreaks>
      <pageMargins left="0.18" right="0" top="0.5" bottom="0.5" header="0.25" footer="0.5"/>
      <printOptions horizontalCentered="1"/>
      <pageSetup paperSize="9" scale="67" orientation="landscape" r:id="rId4"/>
      <headerFooter alignWithMargins="0">
        <oddFooter>&amp;C</oddFooter>
      </headerFooter>
    </customSheetView>
    <customSheetView guid="{6EF26E68-1B9A-4748-A66C-9D8C184CAF14}" colorId="10" showGridLines="0" outlineSymbols="0" topLeftCell="A7">
      <selection activeCell="A8" sqref="A8"/>
      <colBreaks count="2" manualBreakCount="2">
        <brk id="13" max="1048575" man="1"/>
        <brk id="15" max="1048575" man="1"/>
      </colBreaks>
      <pageMargins left="0.18" right="0" top="0.5" bottom="0.5" header="0.25" footer="0.5"/>
      <printOptions horizontalCentered="1"/>
      <pageSetup paperSize="9" scale="69" orientation="landscape" r:id="rId5"/>
      <headerFooter alignWithMargins="0">
        <oddFooter>&amp;C</oddFooter>
      </headerFooter>
    </customSheetView>
    <customSheetView guid="{B8A1874B-3BEF-4479-AD53-0D9BAC54C7CD}" colorId="10" showGridLines="0" outlineSymbols="0" topLeftCell="A4">
      <selection activeCell="C9" sqref="C9"/>
      <colBreaks count="2" manualBreakCount="2">
        <brk id="13" max="1048575" man="1"/>
        <brk id="15" max="1048575" man="1"/>
      </colBreaks>
      <pageMargins left="0.18" right="0" top="0.5" bottom="0.5" header="0.25" footer="0.5"/>
      <printOptions horizontalCentered="1"/>
      <pageSetup paperSize="9" scale="67" orientation="landscape" r:id="rId6"/>
      <headerFooter alignWithMargins="0">
        <oddFooter>&amp;C</oddFooter>
      </headerFooter>
    </customSheetView>
    <customSheetView guid="{E5BCC4B4-F1B1-40C1-B93E-A6184E1EF716}" colorId="10" showGridLines="0" outlineSymbols="0" topLeftCell="A7">
      <selection activeCell="A33" sqref="A33"/>
      <colBreaks count="2" manualBreakCount="2">
        <brk id="13" max="1048575" man="1"/>
        <brk id="15" max="1048575" man="1"/>
      </colBreaks>
      <pageMargins left="0.18" right="0" top="0.5" bottom="0.5" header="0.25" footer="0.5"/>
      <printOptions horizontalCentered="1"/>
      <pageSetup paperSize="9" scale="67" orientation="landscape" r:id="rId7"/>
      <headerFooter alignWithMargins="0">
        <oddFooter>&amp;C</oddFooter>
      </headerFooter>
    </customSheetView>
    <customSheetView guid="{994961F8-B63E-47F6-B0C5-98F862423FE5}" colorId="10" showPageBreaks="1" showGridLines="0" outlineSymbols="0" topLeftCell="A7">
      <selection activeCell="A33" sqref="A33"/>
      <colBreaks count="2" manualBreakCount="2">
        <brk id="13" max="1048575" man="1"/>
        <brk id="15" max="1048575" man="1"/>
      </colBreaks>
      <pageMargins left="0.18" right="0" top="0.5" bottom="0.5" header="0.25" footer="0.5"/>
      <printOptions horizontalCentered="1"/>
      <pageSetup paperSize="9" scale="67" orientation="landscape" r:id="rId8"/>
      <headerFooter alignWithMargins="0">
        <oddFooter>&amp;C</oddFooter>
      </headerFooter>
    </customSheetView>
    <customSheetView guid="{F89B8433-E453-4FDE-8E2A-E7E816BD4DFD}" colorId="10" showGridLines="0" outlineSymbols="0" topLeftCell="A7">
      <selection activeCell="A8" sqref="A8"/>
      <colBreaks count="2" manualBreakCount="2">
        <brk id="13" max="1048575" man="1"/>
        <brk id="15" max="1048575" man="1"/>
      </colBreaks>
      <pageMargins left="0.18" right="0" top="0.5" bottom="0.5" header="0.25" footer="0.5"/>
      <printOptions horizontalCentered="1"/>
      <pageSetup paperSize="9" scale="69" orientation="landscape" r:id="rId9"/>
      <headerFooter alignWithMargins="0">
        <oddFooter>&amp;C</oddFooter>
      </headerFooter>
    </customSheetView>
    <customSheetView guid="{9BA226E9-1840-4D58-8634-C7CD130BA9DE}" colorId="10" showGridLines="0" outlineSymbols="0">
      <selection activeCell="D15" sqref="D15"/>
      <colBreaks count="2" manualBreakCount="2">
        <brk id="13" max="1048575" man="1"/>
        <brk id="15" max="1048575" man="1"/>
      </colBreaks>
      <pageMargins left="0.18" right="0" top="0.5" bottom="0.5" header="0.25" footer="0.5"/>
      <printOptions horizontalCentered="1"/>
      <pageSetup paperSize="9" scale="67" orientation="landscape" r:id="rId10"/>
      <headerFooter alignWithMargins="0">
        <oddFooter>&amp;C</oddFooter>
      </headerFooter>
    </customSheetView>
    <customSheetView guid="{ECC2632F-F62A-4FAF-AECC-1DDADB5FC34F}" colorId="10" showGridLines="0" outlineSymbols="0" topLeftCell="A14">
      <selection activeCell="A14" sqref="A14"/>
      <colBreaks count="2" manualBreakCount="2">
        <brk id="13" max="1048575" man="1"/>
        <brk id="15" max="1048575" man="1"/>
      </colBreaks>
      <pageMargins left="0.18" right="0" top="0.5" bottom="0.5" header="0.25" footer="0.5"/>
      <printOptions horizontalCentered="1"/>
      <pageSetup paperSize="9" scale="69" orientation="landscape" r:id="rId11"/>
      <headerFooter alignWithMargins="0">
        <oddFooter>&amp;C</oddFooter>
      </headerFooter>
    </customSheetView>
    <customSheetView guid="{FB80B360-98B3-4D7B-B530-099144659D3A}" colorId="10" showGridLines="0" outlineSymbols="0" topLeftCell="A14">
      <selection activeCell="A14" sqref="A14"/>
      <colBreaks count="2" manualBreakCount="2">
        <brk id="13" max="1048575" man="1"/>
        <brk id="15" max="1048575" man="1"/>
      </colBreaks>
      <pageMargins left="0.18" right="0" top="0.5" bottom="0.5" header="0.25" footer="0.5"/>
      <printOptions horizontalCentered="1"/>
      <pageSetup paperSize="9" scale="69" orientation="landscape" r:id="rId12"/>
      <headerFooter alignWithMargins="0">
        <oddFooter>&amp;C</oddFooter>
      </headerFooter>
    </customSheetView>
    <customSheetView guid="{7F784530-9B10-42D7-8F54-8EB6B060482F}" colorId="10" showGridLines="0" outlineSymbols="0" topLeftCell="A14">
      <selection activeCell="A14" sqref="A14"/>
      <colBreaks count="2" manualBreakCount="2">
        <brk id="13" max="1048575" man="1"/>
        <brk id="15" max="1048575" man="1"/>
      </colBreaks>
      <pageMargins left="0.18" right="0" top="0.5" bottom="0.5" header="0.25" footer="0.5"/>
      <printOptions horizontalCentered="1"/>
      <pageSetup paperSize="9" scale="69" orientation="landscape" r:id="rId13"/>
      <headerFooter alignWithMargins="0">
        <oddFooter>&amp;C</oddFooter>
      </headerFooter>
    </customSheetView>
    <customSheetView guid="{8AF18E21-1031-46CF-B2BC-F1B32D8B514B}" colorId="10" showGridLines="0" outlineSymbols="0">
      <selection activeCell="A11" sqref="A11:IV12"/>
      <colBreaks count="2" manualBreakCount="2">
        <brk id="13" max="1048575" man="1"/>
        <brk id="15" max="1048575" man="1"/>
      </colBreaks>
      <pageMargins left="0.18" right="0" top="0.5" bottom="0.5" header="0.25" footer="0.5"/>
      <printOptions horizontalCentered="1"/>
      <pageSetup paperSize="9" scale="69" orientation="landscape" r:id="rId14"/>
      <headerFooter alignWithMargins="0">
        <oddFooter>&amp;C</oddFooter>
      </headerFooter>
    </customSheetView>
    <customSheetView guid="{E4837792-4A99-499B-8EC2-DE4E4D167510}" colorId="10" showGridLines="0" outlineSymbols="0" topLeftCell="A9">
      <selection activeCell="J9" sqref="J9"/>
      <colBreaks count="2" manualBreakCount="2">
        <brk id="13" max="1048575" man="1"/>
        <brk id="15" max="1048575" man="1"/>
      </colBreaks>
      <pageMargins left="0.18" right="0" top="0.5" bottom="0.5" header="0.25" footer="0.5"/>
      <printOptions horizontalCentered="1"/>
      <pageSetup paperSize="9" scale="69" orientation="landscape" r:id="rId15"/>
      <headerFooter alignWithMargins="0">
        <oddFooter>&amp;C</oddFooter>
      </headerFooter>
    </customSheetView>
    <customSheetView guid="{16D4A374-74B9-406B-A5BA-2D573E6A0CF2}" colorId="10" showGridLines="0" outlineSymbols="0" topLeftCell="A14">
      <selection activeCell="A14" sqref="A14"/>
      <colBreaks count="2" manualBreakCount="2">
        <brk id="13" max="1048575" man="1"/>
        <brk id="15" max="1048575" man="1"/>
      </colBreaks>
      <pageMargins left="0.18" right="0" top="0.5" bottom="0.5" header="0.25" footer="0.5"/>
      <printOptions horizontalCentered="1"/>
      <pageSetup paperSize="9" scale="69" orientation="landscape" r:id="rId16"/>
      <headerFooter alignWithMargins="0">
        <oddFooter>&amp;C</oddFooter>
      </headerFooter>
    </customSheetView>
    <customSheetView guid="{F729E7D6-6F09-4AEC-8A8D-5BB0CE563030}" colorId="10" showGridLines="0" outlineSymbols="0" topLeftCell="A14">
      <selection activeCell="A14" sqref="A14"/>
      <colBreaks count="2" manualBreakCount="2">
        <brk id="13" max="1048575" man="1"/>
        <brk id="15" max="1048575" man="1"/>
      </colBreaks>
      <pageMargins left="0.18" right="0" top="0.5" bottom="0.5" header="0.25" footer="0.5"/>
      <printOptions horizontalCentered="1"/>
      <pageSetup paperSize="9" scale="69" orientation="landscape" r:id="rId17"/>
      <headerFooter alignWithMargins="0">
        <oddFooter>&amp;C</oddFooter>
      </headerFooter>
    </customSheetView>
    <customSheetView guid="{2896A421-8E5B-4BF0-9CC6-B6380E0DB314}" colorId="10" showGridLines="0" outlineSymbols="0" topLeftCell="A10">
      <selection activeCell="L12" sqref="L11:L12"/>
      <colBreaks count="2" manualBreakCount="2">
        <brk id="13" max="1048575" man="1"/>
        <brk id="15" max="1048575" man="1"/>
      </colBreaks>
      <pageMargins left="0.18" right="0" top="0.5" bottom="0.5" header="0.25" footer="0.5"/>
      <printOptions horizontalCentered="1"/>
      <pageSetup paperSize="9" scale="67" orientation="landscape" r:id="rId18"/>
      <headerFooter alignWithMargins="0">
        <oddFooter>&amp;C</oddFooter>
      </headerFooter>
    </customSheetView>
    <customSheetView guid="{98D3DDB6-797A-47DD-9C96-BB16B2207A0C}" colorId="10" showGridLines="0" outlineSymbols="0" topLeftCell="A5">
      <selection activeCell="A10" sqref="A10"/>
      <colBreaks count="2" manualBreakCount="2">
        <brk id="13" max="1048575" man="1"/>
        <brk id="15" max="1048575" man="1"/>
      </colBreaks>
      <pageMargins left="0.18" right="0" top="0.5" bottom="0.5" header="0.25" footer="0.5"/>
      <printOptions horizontalCentered="1"/>
      <pageSetup paperSize="9" scale="67" orientation="landscape" r:id="rId19"/>
      <headerFooter alignWithMargins="0">
        <oddFooter>&amp;C</oddFooter>
      </headerFooter>
    </customSheetView>
    <customSheetView guid="{A1D515A7-1E5B-4509-BA26-4ABAA82FF869}" colorId="10" showGridLines="0" outlineSymbols="0">
      <selection activeCell="D15" sqref="D15"/>
      <colBreaks count="2" manualBreakCount="2">
        <brk id="13" max="1048575" man="1"/>
        <brk id="15" max="1048575" man="1"/>
      </colBreaks>
      <pageMargins left="0.18" right="0" top="0.5" bottom="0.5" header="0.25" footer="0.5"/>
      <printOptions horizontalCentered="1"/>
      <pageSetup paperSize="9" scale="67" orientation="landscape" r:id="rId20"/>
      <headerFooter alignWithMargins="0">
        <oddFooter>&amp;C</oddFooter>
      </headerFooter>
    </customSheetView>
    <customSheetView guid="{80E06DBA-C6F3-475B-8D63-21743367E2AD}" colorId="10" showGridLines="0" outlineSymbols="0" topLeftCell="A7">
      <selection activeCell="A33" sqref="A33"/>
      <colBreaks count="2" manualBreakCount="2">
        <brk id="13" max="1048575" man="1"/>
        <brk id="15" max="1048575" man="1"/>
      </colBreaks>
      <pageMargins left="0.18" right="0" top="0.5" bottom="0.5" header="0.25" footer="0.5"/>
      <printOptions horizontalCentered="1"/>
      <pageSetup paperSize="9" scale="67" orientation="landscape" r:id="rId21"/>
      <headerFooter alignWithMargins="0">
        <oddFooter>&amp;C</oddFooter>
      </headerFooter>
    </customSheetView>
    <customSheetView guid="{9ED09EA6-4579-48A9-AD5B-8A08B9AAA8BE}" colorId="10" showGridLines="0" outlineSymbols="0">
      <selection activeCell="C11" sqref="C11"/>
      <colBreaks count="2" manualBreakCount="2">
        <brk id="13" max="1048575" man="1"/>
        <brk id="15" max="1048575" man="1"/>
      </colBreaks>
      <pageMargins left="0.18" right="0" top="0.5" bottom="0.5" header="0.25" footer="0.5"/>
      <printOptions horizontalCentered="1"/>
      <pageSetup paperSize="9" scale="69" orientation="landscape" r:id="rId22"/>
      <headerFooter alignWithMargins="0">
        <oddFooter>&amp;C</oddFooter>
      </headerFooter>
    </customSheetView>
    <customSheetView guid="{7631AB21-BAD4-410B-9EB7-37E4C039E55D}" colorId="10" showGridLines="0" outlineSymbols="0">
      <selection activeCell="C9" sqref="C9"/>
      <colBreaks count="2" manualBreakCount="2">
        <brk id="13" max="1048575" man="1"/>
        <brk id="15" max="1048575" man="1"/>
      </colBreaks>
      <pageMargins left="0.18" right="0" top="0.5" bottom="0.5" header="0.25" footer="0.5"/>
      <printOptions horizontalCentered="1"/>
      <pageSetup paperSize="9" scale="67" orientation="landscape" r:id="rId23"/>
      <headerFooter alignWithMargins="0">
        <oddFooter>&amp;C</oddFooter>
      </headerFooter>
    </customSheetView>
    <customSheetView guid="{BE76667A-60C4-4702-8334-217BF8BB1245}" colorId="10" showGridLines="0" outlineSymbols="0">
      <selection activeCell="L12" sqref="L11:L12"/>
      <colBreaks count="2" manualBreakCount="2">
        <brk id="13" max="1048575" man="1"/>
        <brk id="15" max="1048575" man="1"/>
      </colBreaks>
      <pageMargins left="0.18" right="0" top="0.5" bottom="0.5" header="0.25" footer="0.5"/>
      <printOptions horizontalCentered="1"/>
      <pageSetup paperSize="9" scale="67" orientation="landscape" r:id="rId24"/>
      <headerFooter alignWithMargins="0">
        <oddFooter>&amp;C</oddFooter>
      </headerFooter>
    </customSheetView>
    <customSheetView guid="{3FE5399F-6D96-46C9-B56D-C9200CDFFBCC}" colorId="10" showGridLines="0" outlineSymbols="0" topLeftCell="E1">
      <selection activeCell="L12" sqref="L11:L12"/>
      <colBreaks count="2" manualBreakCount="2">
        <brk id="13" max="1048575" man="1"/>
        <brk id="15" max="1048575" man="1"/>
      </colBreaks>
      <pageMargins left="0.18" right="0" top="0.5" bottom="0.5" header="0.25" footer="0.5"/>
      <printOptions horizontalCentered="1"/>
      <pageSetup paperSize="9" scale="67" orientation="landscape" r:id="rId25"/>
      <headerFooter alignWithMargins="0">
        <oddFooter>&amp;C</oddFooter>
      </headerFooter>
    </customSheetView>
    <customSheetView guid="{DB5C611D-B585-4D04-94DC-84E03E7F6427}" colorId="10" showGridLines="0" outlineSymbols="0" topLeftCell="A4">
      <selection activeCell="A9" sqref="A9"/>
      <colBreaks count="2" manualBreakCount="2">
        <brk id="13" max="1048575" man="1"/>
        <brk id="15" max="1048575" man="1"/>
      </colBreaks>
      <pageMargins left="0.18" right="0" top="0.5" bottom="0.5" header="0.25" footer="0.5"/>
      <printOptions horizontalCentered="1"/>
      <pageSetup paperSize="9" scale="67" orientation="landscape" r:id="rId26"/>
      <headerFooter alignWithMargins="0">
        <oddFooter>&amp;C</oddFooter>
      </headerFooter>
    </customSheetView>
    <customSheetView guid="{0C6DA001-EF29-43B3-B8E5-B7C6D16AED4F}" colorId="10" showGridLines="0" outlineSymbols="0" topLeftCell="A4">
      <selection activeCell="A9" sqref="A9"/>
      <colBreaks count="2" manualBreakCount="2">
        <brk id="13" max="1048575" man="1"/>
        <brk id="15" max="1048575" man="1"/>
      </colBreaks>
      <pageMargins left="0.18" right="0" top="0.5" bottom="0.5" header="0.25" footer="0.5"/>
      <printOptions horizontalCentered="1"/>
      <pageSetup paperSize="9" scale="67" orientation="landscape" r:id="rId27"/>
      <headerFooter alignWithMargins="0">
        <oddFooter>&amp;C</oddFooter>
      </headerFooter>
    </customSheetView>
    <customSheetView guid="{C57D03F9-88DE-4996-9965-888CDFC990C2}" colorId="10" showPageBreaks="1" showGridLines="0" outlineSymbols="0" topLeftCell="A4">
      <selection activeCell="A9" sqref="A9"/>
      <colBreaks count="2" manualBreakCount="2">
        <brk id="13" max="1048575" man="1"/>
        <brk id="15" max="1048575" man="1"/>
      </colBreaks>
      <pageMargins left="0.18" right="0" top="0.5" bottom="0.5" header="0.25" footer="0.5"/>
      <printOptions horizontalCentered="1"/>
      <pageSetup paperSize="9" scale="67" orientation="landscape" r:id="rId28"/>
      <headerFooter alignWithMargins="0">
        <oddFooter>&amp;C</oddFooter>
      </headerFooter>
    </customSheetView>
    <customSheetView guid="{51A412B5-0E75-4615-BBB6-5CF03E1A3E32}" colorId="10" showGridLines="0" outlineSymbols="0" topLeftCell="A4">
      <selection activeCell="A9" sqref="A9"/>
      <colBreaks count="2" manualBreakCount="2">
        <brk id="13" max="1048575" man="1"/>
        <brk id="15" max="1048575" man="1"/>
      </colBreaks>
      <pageMargins left="0.18" right="0" top="0.5" bottom="0.5" header="0.25" footer="0.5"/>
      <printOptions horizontalCentered="1"/>
      <pageSetup paperSize="9" scale="67" orientation="landscape" r:id="rId29"/>
      <headerFooter alignWithMargins="0">
        <oddFooter>&amp;C</oddFooter>
      </headerFooter>
    </customSheetView>
  </customSheetViews>
  <mergeCells count="3">
    <mergeCell ref="A3:K3"/>
    <mergeCell ref="A4:K4"/>
    <mergeCell ref="L4:O4"/>
  </mergeCells>
  <phoneticPr fontId="104" type="noConversion"/>
  <printOptions horizontalCentered="1"/>
  <pageMargins left="0.18" right="0" top="0.5" bottom="0.5" header="0.25" footer="0.5"/>
  <pageSetup paperSize="9" scale="67" orientation="landscape" r:id="rId30"/>
  <headerFooter alignWithMargins="0">
    <oddFooter>&amp;C</oddFooter>
  </headerFooter>
  <colBreaks count="2" manualBreakCount="2">
    <brk id="13" max="1048575" man="1"/>
    <brk id="1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opLeftCell="A13" zoomScaleNormal="80" workbookViewId="0">
      <selection activeCell="C28" sqref="C28"/>
    </sheetView>
  </sheetViews>
  <sheetFormatPr defaultColWidth="8.88671875" defaultRowHeight="15"/>
  <cols>
    <col min="1" max="1" width="6.77734375" style="422" customWidth="1"/>
    <col min="2" max="2" width="19.44140625" style="422" customWidth="1"/>
    <col min="3" max="4" width="8.88671875" style="422"/>
    <col min="5" max="5" width="10.77734375" style="422" customWidth="1"/>
    <col min="6" max="6" width="10.88671875" style="422" customWidth="1"/>
    <col min="7" max="7" width="8.88671875" style="422"/>
    <col min="8" max="8" width="10.5546875" style="422" customWidth="1"/>
    <col min="9" max="9" width="10.6640625" style="422" customWidth="1"/>
    <col min="10" max="10" width="9.5546875" style="422" customWidth="1"/>
    <col min="11" max="11" width="17.88671875" style="422" customWidth="1"/>
    <col min="12" max="12" width="10.44140625" style="422" customWidth="1"/>
    <col min="13" max="13" width="35.6640625" style="422" customWidth="1"/>
    <col min="14" max="16384" width="8.88671875" style="422"/>
  </cols>
  <sheetData>
    <row r="1" spans="1:19" s="413" customFormat="1" ht="36.75" customHeight="1">
      <c r="A1" s="1366" t="s">
        <v>89</v>
      </c>
      <c r="B1" s="1366"/>
      <c r="C1" s="1366"/>
      <c r="D1" s="1366"/>
      <c r="E1" s="1366"/>
      <c r="F1" s="1366"/>
      <c r="G1" s="1366"/>
      <c r="H1" s="1366"/>
      <c r="I1" s="1366"/>
      <c r="J1" s="1366"/>
      <c r="K1" s="1366"/>
      <c r="L1" s="1366"/>
      <c r="M1" s="97"/>
      <c r="N1" s="97"/>
      <c r="O1" s="97"/>
      <c r="P1" s="97"/>
      <c r="Q1" s="98"/>
      <c r="S1" s="99"/>
    </row>
    <row r="2" spans="1:19" s="1386" customFormat="1" ht="34.5" customHeight="1">
      <c r="A2" s="1383" t="s">
        <v>628</v>
      </c>
      <c r="B2" s="1383"/>
      <c r="C2" s="1383"/>
      <c r="D2" s="1383"/>
      <c r="E2" s="1383"/>
      <c r="F2" s="1383"/>
      <c r="G2" s="1383"/>
      <c r="H2" s="1383"/>
      <c r="I2" s="1383"/>
      <c r="J2" s="1383"/>
      <c r="K2" s="1383"/>
      <c r="L2" s="1383"/>
      <c r="M2" s="1384"/>
      <c r="N2" s="1384"/>
      <c r="O2" s="1384"/>
      <c r="P2" s="1384"/>
      <c r="Q2" s="1385"/>
      <c r="S2" s="1387"/>
    </row>
    <row r="3" spans="1:19" s="101" customFormat="1" ht="30" customHeight="1">
      <c r="A3" s="1771" t="s">
        <v>88</v>
      </c>
      <c r="B3" s="1771"/>
      <c r="C3" s="1771"/>
      <c r="D3" s="1771"/>
      <c r="E3" s="1771"/>
      <c r="F3" s="1771"/>
      <c r="G3" s="1771"/>
      <c r="H3" s="1771"/>
      <c r="I3" s="1771"/>
      <c r="J3" s="1771"/>
      <c r="K3" s="1771"/>
      <c r="L3" s="100"/>
      <c r="M3" s="100"/>
      <c r="N3" s="100"/>
      <c r="O3" s="100"/>
      <c r="R3" s="102"/>
    </row>
    <row r="4" spans="1:19" s="101" customFormat="1" ht="24.75" customHeight="1">
      <c r="A4" s="1775" t="s">
        <v>637</v>
      </c>
      <c r="B4" s="1776"/>
      <c r="C4" s="1776"/>
      <c r="D4" s="1776"/>
      <c r="E4" s="1776"/>
      <c r="F4" s="1776"/>
      <c r="G4" s="1776"/>
      <c r="H4" s="1776"/>
      <c r="I4" s="1776"/>
      <c r="J4" s="1776"/>
      <c r="K4" s="1776"/>
      <c r="L4" s="1771"/>
      <c r="M4" s="1771"/>
      <c r="N4" s="1771"/>
      <c r="O4" s="1771"/>
      <c r="R4" s="102"/>
    </row>
    <row r="5" spans="1:19" s="101" customFormat="1" ht="11.25" customHeight="1">
      <c r="A5" s="103"/>
      <c r="B5" s="104"/>
      <c r="C5" s="104"/>
      <c r="D5" s="104"/>
      <c r="E5" s="104"/>
      <c r="F5" s="104"/>
      <c r="G5" s="104"/>
      <c r="H5" s="104"/>
      <c r="I5" s="104"/>
      <c r="J5" s="104"/>
      <c r="K5" s="104"/>
      <c r="L5" s="105"/>
    </row>
    <row r="6" spans="1:19" s="101" customFormat="1" ht="28.5" customHeight="1">
      <c r="A6" s="207" t="s">
        <v>90</v>
      </c>
      <c r="B6" s="208"/>
      <c r="J6" s="106"/>
      <c r="K6" s="107"/>
      <c r="L6" s="107"/>
      <c r="M6" s="108"/>
      <c r="Q6" s="109"/>
    </row>
    <row r="7" spans="1:19" s="101" customFormat="1" ht="9" customHeight="1" thickBot="1">
      <c r="A7" s="110"/>
      <c r="B7" s="111"/>
      <c r="J7" s="106"/>
      <c r="K7" s="107"/>
      <c r="L7" s="107"/>
      <c r="M7" s="108"/>
      <c r="Q7" s="109"/>
    </row>
    <row r="8" spans="1:19" s="101" customFormat="1" ht="33" customHeight="1" thickBot="1">
      <c r="A8" s="112" t="s">
        <v>1</v>
      </c>
      <c r="B8" s="113" t="s">
        <v>39</v>
      </c>
      <c r="C8" s="113" t="s">
        <v>44</v>
      </c>
      <c r="D8" s="114" t="s">
        <v>9</v>
      </c>
      <c r="E8" s="113" t="s">
        <v>3</v>
      </c>
      <c r="F8" s="113" t="s">
        <v>7</v>
      </c>
      <c r="G8" s="113" t="s">
        <v>40</v>
      </c>
      <c r="H8" s="115" t="s">
        <v>41</v>
      </c>
      <c r="I8" s="113" t="s">
        <v>45</v>
      </c>
      <c r="J8" s="115" t="s">
        <v>46</v>
      </c>
      <c r="K8" s="113" t="s">
        <v>42</v>
      </c>
      <c r="L8" s="113" t="s">
        <v>47</v>
      </c>
      <c r="M8" s="116" t="s">
        <v>10</v>
      </c>
      <c r="O8" s="117"/>
    </row>
    <row r="9" spans="1:19" s="421" customFormat="1" ht="45.75" customHeight="1" thickBot="1">
      <c r="A9" s="430"/>
      <c r="B9" s="431"/>
      <c r="C9" s="432"/>
      <c r="D9" s="432"/>
      <c r="E9" s="433"/>
      <c r="F9" s="434"/>
      <c r="G9" s="435"/>
      <c r="H9" s="436"/>
      <c r="I9" s="436"/>
      <c r="J9" s="437"/>
      <c r="K9" s="578"/>
      <c r="L9" s="817"/>
      <c r="M9" s="540"/>
    </row>
    <row r="10" spans="1:19" s="101" customFormat="1" ht="29.25" customHeight="1" thickBot="1">
      <c r="A10" s="1766" t="s">
        <v>34</v>
      </c>
      <c r="B10" s="1766"/>
      <c r="C10" s="1766"/>
      <c r="D10" s="1767"/>
      <c r="E10" s="684">
        <f>SUM(E9:E9)</f>
        <v>0</v>
      </c>
      <c r="F10" s="684">
        <f>SUM(F9:F9)</f>
        <v>0</v>
      </c>
      <c r="G10" s="684"/>
      <c r="H10" s="684">
        <f>SUM(H9:H9)</f>
        <v>0</v>
      </c>
      <c r="I10" s="684">
        <f>SUM(I9:I9)</f>
        <v>0</v>
      </c>
      <c r="J10" s="335"/>
      <c r="K10" s="336"/>
      <c r="L10" s="146"/>
      <c r="M10" s="337"/>
      <c r="O10" s="117"/>
    </row>
    <row r="11" spans="1:19" s="101" customFormat="1" ht="9" customHeight="1">
      <c r="A11" s="407"/>
      <c r="B11" s="407"/>
      <c r="C11" s="407"/>
      <c r="D11" s="407"/>
      <c r="E11" s="305"/>
      <c r="F11" s="305"/>
      <c r="G11" s="305"/>
      <c r="H11" s="305"/>
      <c r="I11" s="305"/>
      <c r="J11" s="119"/>
      <c r="K11" s="120"/>
      <c r="L11" s="121"/>
      <c r="M11" s="122"/>
      <c r="O11" s="117"/>
    </row>
    <row r="12" spans="1:19" s="101" customFormat="1" ht="27.75" customHeight="1">
      <c r="A12" s="207" t="s">
        <v>43</v>
      </c>
      <c r="B12" s="208"/>
      <c r="J12" s="106"/>
      <c r="K12" s="107"/>
      <c r="L12" s="107"/>
      <c r="M12" s="108"/>
      <c r="Q12" s="109"/>
    </row>
    <row r="13" spans="1:19" s="101" customFormat="1" ht="9" customHeight="1" thickBot="1">
      <c r="A13" s="110"/>
      <c r="B13" s="111"/>
      <c r="J13" s="106"/>
      <c r="K13" s="107"/>
      <c r="L13" s="107"/>
      <c r="M13" s="108"/>
      <c r="Q13" s="109"/>
    </row>
    <row r="14" spans="1:19" s="101" customFormat="1" ht="33" customHeight="1" thickBot="1">
      <c r="A14" s="112" t="s">
        <v>1</v>
      </c>
      <c r="B14" s="113" t="s">
        <v>39</v>
      </c>
      <c r="C14" s="113" t="s">
        <v>44</v>
      </c>
      <c r="D14" s="114" t="s">
        <v>9</v>
      </c>
      <c r="E14" s="113" t="s">
        <v>3</v>
      </c>
      <c r="F14" s="113" t="s">
        <v>7</v>
      </c>
      <c r="G14" s="113" t="s">
        <v>40</v>
      </c>
      <c r="H14" s="115" t="s">
        <v>41</v>
      </c>
      <c r="I14" s="113" t="s">
        <v>45</v>
      </c>
      <c r="J14" s="115" t="s">
        <v>46</v>
      </c>
      <c r="K14" s="113" t="s">
        <v>42</v>
      </c>
      <c r="L14" s="113" t="s">
        <v>47</v>
      </c>
      <c r="M14" s="116" t="s">
        <v>10</v>
      </c>
      <c r="O14" s="117"/>
    </row>
    <row r="15" spans="1:19" s="421" customFormat="1" ht="43.5" customHeight="1" thickBot="1">
      <c r="A15" s="430"/>
      <c r="B15" s="428"/>
      <c r="C15" s="349"/>
      <c r="D15" s="349"/>
      <c r="E15" s="351"/>
      <c r="F15" s="351"/>
      <c r="G15" s="435"/>
      <c r="H15" s="436"/>
      <c r="I15" s="436"/>
      <c r="J15" s="437"/>
      <c r="K15" s="579"/>
      <c r="L15" s="816"/>
      <c r="M15" s="540"/>
    </row>
    <row r="16" spans="1:19" s="421" customFormat="1" ht="42.75" customHeight="1" thickBot="1">
      <c r="A16" s="430"/>
      <c r="B16" s="431"/>
      <c r="C16" s="349"/>
      <c r="D16" s="349"/>
      <c r="E16" s="351"/>
      <c r="F16" s="351"/>
      <c r="G16" s="435"/>
      <c r="H16" s="436"/>
      <c r="I16" s="436"/>
      <c r="J16" s="437"/>
      <c r="K16" s="579"/>
      <c r="L16" s="510"/>
      <c r="M16" s="541"/>
    </row>
    <row r="17" spans="1:15" s="421" customFormat="1" ht="37.5" customHeight="1" thickBot="1">
      <c r="A17" s="430"/>
      <c r="B17" s="431"/>
      <c r="C17" s="349"/>
      <c r="D17" s="349"/>
      <c r="E17" s="351"/>
      <c r="F17" s="351"/>
      <c r="G17" s="435"/>
      <c r="H17" s="436"/>
      <c r="I17" s="436"/>
      <c r="J17" s="437"/>
      <c r="K17" s="489"/>
      <c r="L17" s="511"/>
      <c r="M17" s="541"/>
    </row>
    <row r="18" spans="1:15" s="421" customFormat="1" ht="40.5" customHeight="1" thickBot="1">
      <c r="A18" s="430"/>
      <c r="B18" s="431"/>
      <c r="C18" s="432"/>
      <c r="D18" s="432"/>
      <c r="E18" s="433"/>
      <c r="F18" s="434"/>
      <c r="G18" s="435"/>
      <c r="H18" s="436"/>
      <c r="I18" s="436"/>
      <c r="J18" s="437"/>
      <c r="K18" s="580"/>
      <c r="L18" s="815"/>
      <c r="M18" s="541"/>
    </row>
    <row r="19" spans="1:15" s="101" customFormat="1" ht="29.25" customHeight="1" thickBot="1">
      <c r="A19" s="509"/>
      <c r="B19" s="509"/>
      <c r="C19" s="509"/>
      <c r="D19" s="509" t="s">
        <v>34</v>
      </c>
      <c r="E19" s="684">
        <f>SUM(E15:E18)</f>
        <v>0</v>
      </c>
      <c r="F19" s="684">
        <f>SUM(F15:F18)</f>
        <v>0</v>
      </c>
      <c r="G19" s="684"/>
      <c r="H19" s="684">
        <f>SUM(H15:H18)</f>
        <v>0</v>
      </c>
      <c r="I19" s="684">
        <f>SUM(I15:I18)</f>
        <v>0</v>
      </c>
      <c r="J19" s="335"/>
      <c r="K19" s="336"/>
      <c r="L19" s="146"/>
      <c r="M19" s="337"/>
      <c r="O19" s="117"/>
    </row>
    <row r="20" spans="1:15" s="412" customFormat="1" ht="15.75" thickBot="1">
      <c r="B20" s="123"/>
      <c r="C20" s="124"/>
      <c r="H20" s="124"/>
      <c r="K20" s="125"/>
    </row>
    <row r="21" spans="1:15" s="412" customFormat="1" ht="28.5" customHeight="1" thickBot="1">
      <c r="A21" s="1777" t="s">
        <v>484</v>
      </c>
      <c r="B21" s="1777"/>
      <c r="C21" s="1777"/>
      <c r="D21" s="1778"/>
      <c r="E21" s="684">
        <f>E10+E19</f>
        <v>0</v>
      </c>
      <c r="F21" s="684">
        <f>F10+F19</f>
        <v>0</v>
      </c>
      <c r="G21" s="684"/>
      <c r="H21" s="684">
        <f>H10+H19</f>
        <v>0</v>
      </c>
      <c r="I21" s="684">
        <f>I10+I19</f>
        <v>0</v>
      </c>
      <c r="K21" s="125"/>
    </row>
    <row r="22" spans="1:15" s="412" customFormat="1">
      <c r="B22" s="123"/>
      <c r="C22" s="124"/>
      <c r="H22" s="124"/>
      <c r="K22" s="125"/>
    </row>
    <row r="23" spans="1:15" s="412" customFormat="1" ht="27.75" customHeight="1">
      <c r="C23" s="123" t="s">
        <v>48</v>
      </c>
      <c r="H23" s="124" t="s">
        <v>49</v>
      </c>
      <c r="K23" s="750" t="s">
        <v>50</v>
      </c>
    </row>
    <row r="24" spans="1:15" s="412" customFormat="1" ht="27.75" customHeight="1">
      <c r="B24" s="123"/>
      <c r="C24" s="124"/>
      <c r="H24" s="124"/>
      <c r="K24" s="125"/>
    </row>
    <row r="25" spans="1:15" s="412" customFormat="1" ht="27.75" customHeight="1">
      <c r="B25" s="123"/>
      <c r="C25" s="124"/>
      <c r="H25" s="124"/>
      <c r="K25" s="125"/>
    </row>
    <row r="26" spans="1:15" s="412" customFormat="1" ht="27.75" customHeight="1">
      <c r="B26" s="123"/>
      <c r="H26" s="124"/>
      <c r="K26" s="125"/>
    </row>
    <row r="27" spans="1:15" s="412" customFormat="1" ht="27.75" customHeight="1">
      <c r="B27" s="123"/>
      <c r="C27" s="406" t="s">
        <v>892</v>
      </c>
      <c r="D27" s="101"/>
      <c r="E27" s="101"/>
      <c r="H27" s="124"/>
      <c r="K27" s="125"/>
    </row>
  </sheetData>
  <customSheetViews>
    <customSheetView guid="{E4D8AEA0-7D37-4CF1-9F19-1F9F3CB7E99E}" topLeftCell="A7">
      <selection activeCell="E10" sqref="E10"/>
      <colBreaks count="1" manualBreakCount="1">
        <brk id="13" max="1048575" man="1"/>
      </colBreaks>
      <pageMargins left="0.7" right="0.7" top="0.75" bottom="0.75" header="0.3" footer="0.3"/>
      <pageSetup scale="58" orientation="landscape" r:id="rId1"/>
    </customSheetView>
    <customSheetView guid="{AD634856-FDF7-4DD8-8DC5-36C324FF0C87}">
      <selection activeCell="E15" sqref="E15"/>
      <colBreaks count="1" manualBreakCount="1">
        <brk id="13" max="1048575" man="1"/>
      </colBreaks>
      <pageMargins left="0.7" right="0.7" top="0.75" bottom="0.75" header="0.3" footer="0.3"/>
      <pageSetup scale="58" orientation="landscape" r:id="rId2"/>
    </customSheetView>
    <customSheetView guid="{61CE75AA-B849-4D18-8838-F82995C6B087}" topLeftCell="F19">
      <selection activeCell="K21" sqref="K21"/>
      <colBreaks count="1" manualBreakCount="1">
        <brk id="13" max="1048575" man="1"/>
      </colBreaks>
      <pageMargins left="0.7" right="0.7" top="0.75" bottom="0.75" header="0.3" footer="0.3"/>
      <pageSetup scale="58" orientation="landscape" r:id="rId3"/>
    </customSheetView>
    <customSheetView guid="{7D95FE88-52D3-4AF2-A747-7A28402A32C2}" showPageBreaks="1">
      <selection activeCell="A26" sqref="A26"/>
      <colBreaks count="1" manualBreakCount="1">
        <brk id="13" max="1048575" man="1"/>
      </colBreaks>
      <pageMargins left="0.7" right="0.7" top="0.75" bottom="0.75" header="0.3" footer="0.3"/>
      <pageSetup scale="58" orientation="landscape" r:id="rId4"/>
    </customSheetView>
    <customSheetView guid="{6EF26E68-1B9A-4748-A66C-9D8C184CAF14}">
      <selection activeCell="A11" sqref="A11"/>
      <colBreaks count="1" manualBreakCount="1">
        <brk id="13" max="1048575" man="1"/>
      </colBreaks>
      <pageMargins left="0.7" right="0.7" top="0.75" bottom="0.75" header="0.3" footer="0.3"/>
      <pageSetup scale="58" orientation="landscape" r:id="rId5"/>
    </customSheetView>
    <customSheetView guid="{B8A1874B-3BEF-4479-AD53-0D9BAC54C7CD}" topLeftCell="A7">
      <selection activeCell="E10" sqref="E10"/>
      <colBreaks count="1" manualBreakCount="1">
        <brk id="13" max="1048575" man="1"/>
      </colBreaks>
      <pageMargins left="0.7" right="0.7" top="0.75" bottom="0.75" header="0.3" footer="0.3"/>
      <pageSetup scale="58" orientation="landscape" r:id="rId6"/>
    </customSheetView>
    <customSheetView guid="{E5BCC4B4-F1B1-40C1-B93E-A6184E1EF716}" topLeftCell="F1">
      <selection activeCell="K21" sqref="K21"/>
      <colBreaks count="1" manualBreakCount="1">
        <brk id="13" max="1048575" man="1"/>
      </colBreaks>
      <pageMargins left="0.7" right="0.7" top="0.75" bottom="0.75" header="0.3" footer="0.3"/>
      <pageSetup scale="58" orientation="landscape" r:id="rId7"/>
    </customSheetView>
    <customSheetView guid="{994961F8-B63E-47F6-B0C5-98F862423FE5}" showPageBreaks="1" topLeftCell="F1">
      <selection activeCell="K21" sqref="K21"/>
      <colBreaks count="1" manualBreakCount="1">
        <brk id="13" max="1048575" man="1"/>
      </colBreaks>
      <pageMargins left="0.7" right="0.7" top="0.75" bottom="0.75" header="0.3" footer="0.3"/>
      <pageSetup scale="58" orientation="landscape" r:id="rId8"/>
    </customSheetView>
    <customSheetView guid="{F89B8433-E453-4FDE-8E2A-E7E816BD4DFD}">
      <selection activeCell="E17" sqref="E17"/>
      <colBreaks count="1" manualBreakCount="1">
        <brk id="13" max="1048575" man="1"/>
      </colBreaks>
      <pageMargins left="0.7" right="0.7" top="0.75" bottom="0.75" header="0.3" footer="0.3"/>
      <pageSetup scale="58" orientation="landscape" r:id="rId9"/>
    </customSheetView>
    <customSheetView guid="{9BA226E9-1840-4D58-8634-C7CD130BA9DE}" topLeftCell="A4">
      <selection activeCell="E15" sqref="E15"/>
      <colBreaks count="1" manualBreakCount="1">
        <brk id="13" max="1048575" man="1"/>
      </colBreaks>
      <pageMargins left="0.7" right="0.7" top="0.75" bottom="0.75" header="0.3" footer="0.3"/>
      <pageSetup scale="58" orientation="landscape" r:id="rId10"/>
    </customSheetView>
    <customSheetView guid="{ECC2632F-F62A-4FAF-AECC-1DDADB5FC34F}" topLeftCell="A13">
      <selection activeCell="A18" sqref="A18"/>
      <colBreaks count="1" manualBreakCount="1">
        <brk id="13" max="1048575" man="1"/>
      </colBreaks>
      <pageMargins left="0.7" right="0.7" top="0.75" bottom="0.75" header="0.3" footer="0.3"/>
      <pageSetup scale="58" orientation="landscape" r:id="rId11"/>
    </customSheetView>
    <customSheetView guid="{FB80B360-98B3-4D7B-B530-099144659D3A}" topLeftCell="A13">
      <selection activeCell="A18" sqref="A18"/>
      <colBreaks count="1" manualBreakCount="1">
        <brk id="13" max="1048575" man="1"/>
      </colBreaks>
      <pageMargins left="0.7" right="0.7" top="0.75" bottom="0.75" header="0.3" footer="0.3"/>
      <pageSetup scale="58" orientation="landscape" r:id="rId12"/>
    </customSheetView>
    <customSheetView guid="{7F784530-9B10-42D7-8F54-8EB6B060482F}" topLeftCell="A13">
      <selection activeCell="B19" sqref="B19"/>
      <colBreaks count="1" manualBreakCount="1">
        <brk id="13" max="1048575" man="1"/>
      </colBreaks>
      <pageMargins left="0.7" right="0.7" top="0.75" bottom="0.75" header="0.3" footer="0.3"/>
      <pageSetup scale="58" orientation="landscape" r:id="rId13"/>
    </customSheetView>
    <customSheetView guid="{8AF18E21-1031-46CF-B2BC-F1B32D8B514B}">
      <selection activeCell="A17" sqref="A17:IV17"/>
      <pageMargins left="0.7" right="0.7" top="0.75" bottom="0.75" header="0.3" footer="0.3"/>
      <pageSetup scale="60" orientation="landscape" r:id="rId14"/>
    </customSheetView>
    <customSheetView guid="{E4837792-4A99-499B-8EC2-DE4E4D167510}" topLeftCell="A17">
      <selection activeCell="J19" sqref="J19"/>
      <pageMargins left="0.7" right="0.7" top="0.75" bottom="0.75" header="0.3" footer="0.3"/>
      <pageSetup scale="60" orientation="landscape" r:id="rId15"/>
    </customSheetView>
    <customSheetView guid="{16D4A374-74B9-406B-A5BA-2D573E6A0CF2}" topLeftCell="A13">
      <selection activeCell="A18" sqref="A18"/>
      <colBreaks count="1" manualBreakCount="1">
        <brk id="13" max="1048575" man="1"/>
      </colBreaks>
      <pageMargins left="0.7" right="0.7" top="0.75" bottom="0.75" header="0.3" footer="0.3"/>
      <pageSetup scale="58" orientation="landscape" r:id="rId16"/>
    </customSheetView>
    <customSheetView guid="{F729E7D6-6F09-4AEC-8A8D-5BB0CE563030}">
      <selection activeCell="A18" sqref="A18"/>
      <colBreaks count="1" manualBreakCount="1">
        <brk id="13" max="1048575" man="1"/>
      </colBreaks>
      <pageMargins left="0.7" right="0.7" top="0.75" bottom="0.75" header="0.3" footer="0.3"/>
      <pageSetup scale="58" orientation="landscape" r:id="rId17"/>
    </customSheetView>
    <customSheetView guid="{2896A421-8E5B-4BF0-9CC6-B6380E0DB314}" topLeftCell="A10">
      <selection activeCell="J17" sqref="J17"/>
      <colBreaks count="1" manualBreakCount="1">
        <brk id="13" max="1048575" man="1"/>
      </colBreaks>
      <pageMargins left="0.7" right="0.7" top="0.75" bottom="0.75" header="0.3" footer="0.3"/>
      <pageSetup scale="58" orientation="landscape" r:id="rId18"/>
    </customSheetView>
    <customSheetView guid="{98D3DDB6-797A-47DD-9C96-BB16B2207A0C}">
      <selection activeCell="E10" sqref="E10"/>
      <colBreaks count="1" manualBreakCount="1">
        <brk id="13" max="1048575" man="1"/>
      </colBreaks>
      <pageMargins left="0.7" right="0.7" top="0.75" bottom="0.75" header="0.3" footer="0.3"/>
      <pageSetup scale="58" orientation="landscape" r:id="rId19"/>
    </customSheetView>
    <customSheetView guid="{A1D515A7-1E5B-4509-BA26-4ABAA82FF869}">
      <selection activeCell="E15" sqref="E15"/>
      <colBreaks count="1" manualBreakCount="1">
        <brk id="13" max="1048575" man="1"/>
      </colBreaks>
      <pageMargins left="0.7" right="0.7" top="0.75" bottom="0.75" header="0.3" footer="0.3"/>
      <pageSetup scale="58" orientation="landscape" r:id="rId20"/>
    </customSheetView>
    <customSheetView guid="{80E06DBA-C6F3-475B-8D63-21743367E2AD}" topLeftCell="F1">
      <selection activeCell="K21" sqref="K21"/>
      <colBreaks count="1" manualBreakCount="1">
        <brk id="13" max="1048575" man="1"/>
      </colBreaks>
      <pageMargins left="0.7" right="0.7" top="0.75" bottom="0.75" header="0.3" footer="0.3"/>
      <pageSetup scale="58" orientation="landscape" r:id="rId21"/>
    </customSheetView>
    <customSheetView guid="{9ED09EA6-4579-48A9-AD5B-8A08B9AAA8BE}" topLeftCell="A13">
      <selection activeCell="I22" sqref="I22"/>
      <colBreaks count="1" manualBreakCount="1">
        <brk id="13" max="1048575" man="1"/>
      </colBreaks>
      <pageMargins left="0.7" right="0.7" top="0.75" bottom="0.75" header="0.3" footer="0.3"/>
      <pageSetup scale="58" orientation="landscape" r:id="rId22"/>
    </customSheetView>
    <customSheetView guid="{7631AB21-BAD4-410B-9EB7-37E4C039E55D}" topLeftCell="A7">
      <selection activeCell="E10" sqref="E10"/>
      <colBreaks count="1" manualBreakCount="1">
        <brk id="13" max="1048575" man="1"/>
      </colBreaks>
      <pageMargins left="0.7" right="0.7" top="0.75" bottom="0.75" header="0.3" footer="0.3"/>
      <pageSetup scale="58" orientation="landscape" r:id="rId23"/>
    </customSheetView>
    <customSheetView guid="{BE76667A-60C4-4702-8334-217BF8BB1245}">
      <selection activeCell="A4" sqref="A4:K4"/>
      <colBreaks count="1" manualBreakCount="1">
        <brk id="13" max="1048575" man="1"/>
      </colBreaks>
      <pageMargins left="0.7" right="0.7" top="0.75" bottom="0.75" header="0.3" footer="0.3"/>
      <pageSetup scale="58" orientation="landscape" r:id="rId24"/>
    </customSheetView>
    <customSheetView guid="{3FE5399F-6D96-46C9-B56D-C9200CDFFBCC}">
      <selection activeCell="A26" sqref="A26"/>
      <colBreaks count="1" manualBreakCount="1">
        <brk id="13" max="1048575" man="1"/>
      </colBreaks>
      <pageMargins left="0.7" right="0.7" top="0.75" bottom="0.75" header="0.3" footer="0.3"/>
      <pageSetup scale="58" orientation="landscape" r:id="rId25"/>
    </customSheetView>
    <customSheetView guid="{DB5C611D-B585-4D04-94DC-84E03E7F6427}">
      <selection activeCell="E15" sqref="E15"/>
      <colBreaks count="1" manualBreakCount="1">
        <brk id="13" max="1048575" man="1"/>
      </colBreaks>
      <pageMargins left="0.7" right="0.7" top="0.75" bottom="0.75" header="0.3" footer="0.3"/>
      <pageSetup scale="58" orientation="landscape" r:id="rId26"/>
    </customSheetView>
    <customSheetView guid="{0C6DA001-EF29-43B3-B8E5-B7C6D16AED4F}">
      <selection activeCell="E15" sqref="E15"/>
      <colBreaks count="1" manualBreakCount="1">
        <brk id="13" max="1048575" man="1"/>
      </colBreaks>
      <pageMargins left="0.7" right="0.7" top="0.75" bottom="0.75" header="0.3" footer="0.3"/>
      <pageSetup scale="58" orientation="landscape" r:id="rId27"/>
    </customSheetView>
    <customSheetView guid="{C57D03F9-88DE-4996-9965-888CDFC990C2}" showPageBreaks="1">
      <selection activeCell="E15" sqref="E15"/>
      <colBreaks count="1" manualBreakCount="1">
        <brk id="13" max="1048575" man="1"/>
      </colBreaks>
      <pageMargins left="0.7" right="0.7" top="0.75" bottom="0.75" header="0.3" footer="0.3"/>
      <pageSetup scale="58" orientation="landscape" r:id="rId28"/>
    </customSheetView>
    <customSheetView guid="{51A412B5-0E75-4615-BBB6-5CF03E1A3E32}">
      <selection activeCell="E15" sqref="E15"/>
      <colBreaks count="1" manualBreakCount="1">
        <brk id="13" max="1048575" man="1"/>
      </colBreaks>
      <pageMargins left="0.7" right="0.7" top="0.75" bottom="0.75" header="0.3" footer="0.3"/>
      <pageSetup scale="58" orientation="landscape" r:id="rId29"/>
    </customSheetView>
  </customSheetViews>
  <mergeCells count="5">
    <mergeCell ref="A21:D21"/>
    <mergeCell ref="A10:D10"/>
    <mergeCell ref="A3:K3"/>
    <mergeCell ref="A4:K4"/>
    <mergeCell ref="L4:O4"/>
  </mergeCells>
  <phoneticPr fontId="104" type="noConversion"/>
  <pageMargins left="0.7" right="0.7" top="0.75" bottom="0.75" header="0.3" footer="0.3"/>
  <pageSetup scale="58" orientation="landscape" r:id="rId30"/>
  <colBreaks count="1" manualBreakCount="1">
    <brk id="13"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showGridLines="0" showOutlineSymbols="0" defaultGridColor="0" topLeftCell="A19" colorId="10" workbookViewId="0">
      <selection activeCell="G12" sqref="G12"/>
    </sheetView>
  </sheetViews>
  <sheetFormatPr defaultColWidth="8.6640625" defaultRowHeight="15"/>
  <cols>
    <col min="1" max="1" width="3.21875" style="101" customWidth="1"/>
    <col min="2" max="2" width="20.21875" style="101" customWidth="1"/>
    <col min="3" max="4" width="9.21875" style="101" customWidth="1"/>
    <col min="5" max="6" width="9.33203125" style="101" customWidth="1"/>
    <col min="7" max="7" width="8.109375" style="414" customWidth="1"/>
    <col min="8" max="8" width="11" style="101" customWidth="1"/>
    <col min="9" max="9" width="9.44140625" style="101" customWidth="1"/>
    <col min="10" max="10" width="9.6640625" style="101" customWidth="1"/>
    <col min="11" max="11" width="24" style="101" customWidth="1"/>
    <col min="12" max="12" width="11.109375" style="101" customWidth="1"/>
    <col min="13" max="13" width="39.6640625" style="101" customWidth="1"/>
    <col min="14" max="14" width="17.77734375" style="101" customWidth="1"/>
    <col min="15" max="15" width="20.44140625" style="101" customWidth="1"/>
    <col min="16" max="16" width="7.6640625" style="101" customWidth="1"/>
    <col min="17" max="17" width="8.6640625" style="101"/>
    <col min="18" max="18" width="12" style="101" customWidth="1"/>
    <col min="19" max="28" width="8.6640625" style="101"/>
    <col min="29" max="29" width="13.6640625" style="101" customWidth="1"/>
    <col min="30" max="16384" width="8.6640625" style="101"/>
  </cols>
  <sheetData>
    <row r="1" spans="1:19" s="413" customFormat="1" ht="36.75" customHeight="1">
      <c r="A1" s="1366" t="s">
        <v>89</v>
      </c>
      <c r="B1" s="1366"/>
      <c r="C1" s="1366"/>
      <c r="D1" s="1366"/>
      <c r="E1" s="1366"/>
      <c r="F1" s="1366"/>
      <c r="G1" s="1366"/>
      <c r="H1" s="1366"/>
      <c r="I1" s="1366"/>
      <c r="J1" s="1366"/>
      <c r="K1" s="1366"/>
      <c r="L1" s="1366"/>
      <c r="M1" s="97"/>
      <c r="N1" s="97"/>
      <c r="O1" s="97"/>
      <c r="P1" s="97"/>
      <c r="Q1" s="98"/>
      <c r="S1" s="99"/>
    </row>
    <row r="2" spans="1:19" s="1386" customFormat="1" ht="34.5" customHeight="1">
      <c r="A2" s="1383" t="s">
        <v>628</v>
      </c>
      <c r="B2" s="1383"/>
      <c r="C2" s="1383"/>
      <c r="D2" s="1383"/>
      <c r="E2" s="1383"/>
      <c r="F2" s="1383"/>
      <c r="G2" s="1383"/>
      <c r="H2" s="1383"/>
      <c r="I2" s="1383"/>
      <c r="J2" s="1383"/>
      <c r="K2" s="1383"/>
      <c r="L2" s="1383"/>
      <c r="M2" s="1384"/>
      <c r="N2" s="1384"/>
      <c r="O2" s="1384"/>
      <c r="P2" s="1384"/>
      <c r="Q2" s="1385"/>
      <c r="S2" s="1387"/>
    </row>
    <row r="3" spans="1:19" ht="21.75" customHeight="1">
      <c r="A3" s="1771" t="s">
        <v>638</v>
      </c>
      <c r="B3" s="1771"/>
      <c r="C3" s="1771"/>
      <c r="D3" s="1771"/>
      <c r="E3" s="1771"/>
      <c r="F3" s="1771"/>
      <c r="G3" s="1771"/>
      <c r="H3" s="1771"/>
      <c r="I3" s="1771"/>
      <c r="J3" s="1771"/>
      <c r="K3" s="1771"/>
      <c r="L3" s="100"/>
      <c r="M3" s="100"/>
      <c r="N3" s="100"/>
      <c r="O3" s="100"/>
      <c r="R3" s="102"/>
    </row>
    <row r="4" spans="1:19" ht="25.5" customHeight="1">
      <c r="A4" s="1775" t="s">
        <v>637</v>
      </c>
      <c r="B4" s="1776"/>
      <c r="C4" s="1776"/>
      <c r="D4" s="1776"/>
      <c r="E4" s="1776"/>
      <c r="F4" s="1776"/>
      <c r="G4" s="1776"/>
      <c r="H4" s="1776"/>
      <c r="I4" s="1776"/>
      <c r="J4" s="1776"/>
      <c r="K4" s="1776"/>
      <c r="L4" s="1771"/>
      <c r="M4" s="1771"/>
      <c r="N4" s="1771"/>
      <c r="O4" s="1771"/>
      <c r="R4" s="102"/>
    </row>
    <row r="5" spans="1:19" ht="20.100000000000001" customHeight="1" thickBot="1">
      <c r="A5" s="150"/>
      <c r="B5" s="151" t="s">
        <v>90</v>
      </c>
      <c r="C5" s="104"/>
      <c r="D5" s="104"/>
      <c r="E5" s="104"/>
      <c r="F5" s="104"/>
      <c r="G5" s="167"/>
      <c r="H5" s="104"/>
      <c r="I5" s="104"/>
      <c r="J5" s="104"/>
      <c r="K5" s="104"/>
      <c r="L5" s="105"/>
    </row>
    <row r="6" spans="1:19" ht="26.25" customHeight="1">
      <c r="A6" s="522" t="s">
        <v>1</v>
      </c>
      <c r="B6" s="523" t="s">
        <v>39</v>
      </c>
      <c r="C6" s="523" t="s">
        <v>44</v>
      </c>
      <c r="D6" s="523" t="s">
        <v>9</v>
      </c>
      <c r="E6" s="523" t="s">
        <v>3</v>
      </c>
      <c r="F6" s="523" t="s">
        <v>7</v>
      </c>
      <c r="G6" s="523" t="s">
        <v>40</v>
      </c>
      <c r="H6" s="524" t="s">
        <v>41</v>
      </c>
      <c r="I6" s="523" t="s">
        <v>45</v>
      </c>
      <c r="J6" s="524" t="s">
        <v>91</v>
      </c>
      <c r="K6" s="523" t="s">
        <v>42</v>
      </c>
      <c r="L6" s="523" t="s">
        <v>47</v>
      </c>
      <c r="M6" s="525" t="s">
        <v>10</v>
      </c>
      <c r="N6" s="117"/>
    </row>
    <row r="7" spans="1:19" ht="26.25" customHeight="1" thickBot="1">
      <c r="A7" s="155"/>
      <c r="B7" s="156"/>
      <c r="C7" s="157"/>
      <c r="D7" s="157"/>
      <c r="E7" s="158"/>
      <c r="F7" s="158"/>
      <c r="G7" s="169">
        <v>1</v>
      </c>
      <c r="H7" s="158">
        <f>F7*G7</f>
        <v>0</v>
      </c>
      <c r="I7" s="158"/>
      <c r="J7" s="157"/>
      <c r="K7" s="157"/>
      <c r="L7" s="159"/>
      <c r="M7" s="303"/>
      <c r="N7" s="117"/>
    </row>
    <row r="8" spans="1:19" ht="25.5" customHeight="1" thickBot="1">
      <c r="A8" s="144"/>
      <c r="B8" s="407"/>
      <c r="C8" s="407" t="s">
        <v>92</v>
      </c>
      <c r="D8" s="407"/>
      <c r="E8" s="160">
        <f>SUM(E7:E7)</f>
        <v>0</v>
      </c>
      <c r="F8" s="160">
        <f>SUM(F7:F7)</f>
        <v>0</v>
      </c>
      <c r="G8" s="160"/>
      <c r="H8" s="160">
        <f>SUM(H7:H7)</f>
        <v>0</v>
      </c>
      <c r="I8" s="160">
        <f>SUM(I7:I7)</f>
        <v>0</v>
      </c>
      <c r="J8" s="120"/>
      <c r="K8" s="120"/>
      <c r="L8" s="121"/>
      <c r="M8" s="122"/>
      <c r="N8" s="117"/>
    </row>
    <row r="9" spans="1:19" ht="18" customHeight="1" thickBot="1">
      <c r="A9" s="161"/>
      <c r="B9" s="162" t="s">
        <v>43</v>
      </c>
      <c r="C9" s="121"/>
      <c r="D9" s="163"/>
      <c r="E9" s="163"/>
      <c r="F9" s="163"/>
      <c r="G9" s="170"/>
      <c r="H9" s="163"/>
      <c r="I9" s="163"/>
      <c r="J9" s="120"/>
      <c r="K9" s="120"/>
      <c r="L9" s="121"/>
      <c r="M9" s="122"/>
      <c r="N9" s="117"/>
    </row>
    <row r="10" spans="1:19" ht="25.5" customHeight="1">
      <c r="A10" s="522" t="s">
        <v>1</v>
      </c>
      <c r="B10" s="523" t="s">
        <v>39</v>
      </c>
      <c r="C10" s="523" t="s">
        <v>44</v>
      </c>
      <c r="D10" s="523" t="s">
        <v>9</v>
      </c>
      <c r="E10" s="523" t="s">
        <v>3</v>
      </c>
      <c r="F10" s="523" t="s">
        <v>7</v>
      </c>
      <c r="G10" s="523" t="s">
        <v>40</v>
      </c>
      <c r="H10" s="524" t="s">
        <v>41</v>
      </c>
      <c r="I10" s="523" t="s">
        <v>45</v>
      </c>
      <c r="J10" s="524" t="s">
        <v>93</v>
      </c>
      <c r="K10" s="523" t="s">
        <v>94</v>
      </c>
      <c r="L10" s="523" t="s">
        <v>47</v>
      </c>
      <c r="M10" s="525" t="s">
        <v>10</v>
      </c>
      <c r="N10" s="117"/>
    </row>
    <row r="11" spans="1:19" ht="24.75" customHeight="1">
      <c r="A11" s="164"/>
      <c r="B11" s="152"/>
      <c r="C11" s="153"/>
      <c r="D11" s="153"/>
      <c r="E11" s="154"/>
      <c r="F11" s="154"/>
      <c r="G11" s="168">
        <v>1</v>
      </c>
      <c r="H11" s="154">
        <f>F11*G11</f>
        <v>0</v>
      </c>
      <c r="I11" s="154"/>
      <c r="J11" s="153"/>
      <c r="K11" s="165"/>
      <c r="L11" s="153"/>
      <c r="M11" s="304"/>
      <c r="N11" s="117"/>
    </row>
    <row r="12" spans="1:19" ht="33.75" customHeight="1" thickBot="1">
      <c r="A12" s="517"/>
      <c r="B12" s="518"/>
      <c r="C12" s="157"/>
      <c r="D12" s="157"/>
      <c r="E12" s="154"/>
      <c r="F12" s="154"/>
      <c r="G12" s="169">
        <v>1</v>
      </c>
      <c r="H12" s="158">
        <f>F12*G12</f>
        <v>0</v>
      </c>
      <c r="I12" s="158"/>
      <c r="J12" s="157"/>
      <c r="K12" s="306"/>
      <c r="L12" s="166"/>
      <c r="M12" s="519"/>
      <c r="N12" s="117"/>
    </row>
    <row r="13" spans="1:19" ht="26.25" customHeight="1" thickBot="1">
      <c r="A13" s="144"/>
      <c r="B13" s="520"/>
      <c r="C13" s="520" t="s">
        <v>95</v>
      </c>
      <c r="D13" s="520"/>
      <c r="E13" s="802">
        <f>SUM(E11:E12)</f>
        <v>0</v>
      </c>
      <c r="F13" s="802">
        <f>SUM(F11:F12)</f>
        <v>0</v>
      </c>
      <c r="G13" s="802"/>
      <c r="H13" s="802">
        <f>SUM(H11:H12)</f>
        <v>0</v>
      </c>
      <c r="I13" s="802">
        <f>SUM(I11:I12)</f>
        <v>0</v>
      </c>
      <c r="J13" s="120"/>
      <c r="K13" s="120"/>
      <c r="L13" s="121"/>
      <c r="M13" s="121"/>
      <c r="N13" s="117"/>
    </row>
    <row r="14" spans="1:19" ht="10.5" customHeight="1" thickBot="1">
      <c r="A14" s="104"/>
      <c r="B14" s="104"/>
      <c r="C14" s="104"/>
      <c r="D14" s="104"/>
      <c r="E14" s="104"/>
      <c r="F14" s="104"/>
      <c r="G14" s="167"/>
      <c r="H14" s="104"/>
      <c r="I14" s="104"/>
      <c r="J14" s="104"/>
      <c r="K14" s="104"/>
      <c r="L14" s="104"/>
      <c r="M14" s="117"/>
      <c r="N14" s="117"/>
    </row>
    <row r="15" spans="1:19" ht="25.5" customHeight="1" thickBot="1">
      <c r="A15" s="104"/>
      <c r="C15" s="521" t="s">
        <v>96</v>
      </c>
      <c r="D15" s="104"/>
      <c r="E15" s="526">
        <f>E8+E13</f>
        <v>0</v>
      </c>
      <c r="F15" s="526">
        <f>F8+F13</f>
        <v>0</v>
      </c>
      <c r="G15" s="526"/>
      <c r="H15" s="526">
        <f>H8+H13</f>
        <v>0</v>
      </c>
      <c r="I15" s="526">
        <f>I8+I13</f>
        <v>0</v>
      </c>
      <c r="J15" s="104"/>
      <c r="K15" s="104"/>
      <c r="L15" s="104"/>
      <c r="M15" s="117"/>
      <c r="N15" s="117"/>
    </row>
    <row r="16" spans="1:19" ht="12.75" customHeight="1">
      <c r="A16" s="126"/>
      <c r="B16" s="126"/>
      <c r="C16" s="126"/>
      <c r="D16" s="145"/>
      <c r="E16" s="145"/>
      <c r="F16" s="145"/>
      <c r="G16" s="171"/>
      <c r="H16" s="145"/>
      <c r="I16" s="126"/>
      <c r="J16" s="126"/>
      <c r="K16" s="126"/>
    </row>
    <row r="17" spans="1:12" s="412" customFormat="1">
      <c r="C17" s="123" t="s">
        <v>48</v>
      </c>
      <c r="G17" s="123" t="s">
        <v>49</v>
      </c>
      <c r="K17" s="750" t="s">
        <v>50</v>
      </c>
      <c r="L17" s="125"/>
    </row>
    <row r="18" spans="1:12" ht="20.100000000000001" customHeight="1">
      <c r="A18" s="126"/>
      <c r="B18" s="104"/>
      <c r="C18" s="104"/>
      <c r="D18" s="104"/>
      <c r="E18" s="104"/>
      <c r="F18" s="104"/>
      <c r="G18" s="167"/>
      <c r="H18" s="104"/>
      <c r="I18" s="104"/>
      <c r="J18" s="104"/>
      <c r="K18" s="104"/>
      <c r="L18" s="127"/>
    </row>
    <row r="19" spans="1:12" ht="20.100000000000001" customHeight="1">
      <c r="A19" s="126"/>
      <c r="B19" s="104"/>
      <c r="C19" s="104"/>
      <c r="D19" s="104"/>
      <c r="E19" s="104"/>
      <c r="F19" s="104"/>
      <c r="G19" s="167"/>
      <c r="H19" s="104"/>
      <c r="I19" s="104"/>
      <c r="J19" s="104"/>
      <c r="K19" s="104"/>
      <c r="L19" s="127"/>
    </row>
    <row r="20" spans="1:12" ht="20.100000000000001" customHeight="1">
      <c r="A20" s="126"/>
      <c r="B20" s="104"/>
      <c r="E20" s="104"/>
      <c r="F20" s="104"/>
      <c r="G20" s="167"/>
      <c r="H20" s="104"/>
      <c r="I20" s="104"/>
      <c r="J20" s="104"/>
      <c r="K20" s="104"/>
      <c r="L20" s="127"/>
    </row>
    <row r="21" spans="1:12" ht="20.100000000000001" customHeight="1">
      <c r="A21" s="126"/>
      <c r="B21" s="104"/>
      <c r="E21" s="104"/>
      <c r="F21" s="104"/>
      <c r="G21" s="167"/>
      <c r="H21" s="104"/>
      <c r="I21" s="104"/>
      <c r="J21" s="104"/>
      <c r="K21" s="104"/>
      <c r="L21" s="127"/>
    </row>
    <row r="22" spans="1:12" ht="20.100000000000001" customHeight="1">
      <c r="A22" s="126"/>
      <c r="B22" s="104"/>
      <c r="C22" s="527"/>
      <c r="E22" s="104"/>
      <c r="F22" s="104"/>
      <c r="G22" s="167"/>
      <c r="H22" s="104"/>
      <c r="I22" s="104"/>
      <c r="J22" s="104"/>
      <c r="K22" s="104"/>
      <c r="L22" s="127"/>
    </row>
  </sheetData>
  <customSheetViews>
    <customSheetView guid="{E4D8AEA0-7D37-4CF1-9F19-1F9F3CB7E99E}" colorId="10" showPageBreaks="1" showGridLines="0" outlineSymbols="0" printArea="1">
      <selection activeCell="I17" sqref="I17"/>
      <colBreaks count="2" manualBreakCount="2">
        <brk id="13" max="1048575" man="1"/>
        <brk id="15" max="1048575" man="1"/>
      </colBreaks>
      <pageMargins left="0" right="0" top="1" bottom="0.5" header="0.25" footer="0.5"/>
      <printOptions horizontalCentered="1"/>
      <pageSetup paperSize="9" scale="69" orientation="landscape" r:id="rId1"/>
      <headerFooter alignWithMargins="0">
        <oddFooter>&amp;C</oddFooter>
      </headerFooter>
    </customSheetView>
    <customSheetView guid="{AD634856-FDF7-4DD8-8DC5-36C324FF0C87}" colorId="10" showGridLines="0" outlineSymbols="0">
      <selection activeCell="K18" sqref="K18"/>
      <colBreaks count="2" manualBreakCount="2">
        <brk id="13" max="1048575" man="1"/>
        <brk id="15" max="1048575" man="1"/>
      </colBreaks>
      <pageMargins left="0" right="0" top="1" bottom="0.5" header="0.25" footer="0.5"/>
      <printOptions horizontalCentered="1"/>
      <pageSetup paperSize="9" scale="69" orientation="landscape" r:id="rId2"/>
      <headerFooter alignWithMargins="0">
        <oddFooter>&amp;C</oddFooter>
      </headerFooter>
    </customSheetView>
    <customSheetView guid="{61CE75AA-B849-4D18-8838-F82995C6B087}" colorId="10" showPageBreaks="1" showGridLines="0" outlineSymbols="0" printArea="1" topLeftCell="A10">
      <selection activeCell="J15" sqref="J15"/>
      <colBreaks count="2" manualBreakCount="2">
        <brk id="13" max="1048575" man="1"/>
        <brk id="15" max="1048575" man="1"/>
      </colBreaks>
      <pageMargins left="0" right="0" top="1" bottom="0.5" header="0.25" footer="0.5"/>
      <printOptions horizontalCentered="1"/>
      <pageSetup paperSize="9" scale="69" orientation="landscape" r:id="rId3"/>
      <headerFooter alignWithMargins="0">
        <oddFooter>&amp;C</oddFooter>
      </headerFooter>
    </customSheetView>
    <customSheetView guid="{7D95FE88-52D3-4AF2-A747-7A28402A32C2}" colorId="10" showPageBreaks="1" showGridLines="0" outlineSymbols="0" printArea="1" topLeftCell="A10">
      <selection activeCell="G22" sqref="G22"/>
      <colBreaks count="2" manualBreakCount="2">
        <brk id="13" max="1048575" man="1"/>
        <brk id="15" max="1048575" man="1"/>
      </colBreaks>
      <pageMargins left="0" right="0" top="1" bottom="0.5" header="0.25" footer="0.5"/>
      <printOptions horizontalCentered="1"/>
      <pageSetup paperSize="9" scale="69" orientation="landscape" r:id="rId4"/>
      <headerFooter alignWithMargins="0">
        <oddFooter>&amp;C</oddFooter>
      </headerFooter>
    </customSheetView>
    <customSheetView guid="{6EF26E68-1B9A-4748-A66C-9D8C184CAF14}" colorId="10" showPageBreaks="1" showGridLines="0" outlineSymbols="0" topLeftCell="A4">
      <selection activeCell="G10" sqref="G10"/>
      <colBreaks count="1" manualBreakCount="1">
        <brk id="15" max="1048575" man="1"/>
      </colBreaks>
      <pageMargins left="0" right="0" top="1" bottom="0.5" header="0.25" footer="0.5"/>
      <printOptions horizontalCentered="1"/>
      <pageSetup paperSize="9" scale="70" orientation="landscape" r:id="rId5"/>
      <headerFooter alignWithMargins="0">
        <oddFooter>&amp;C</oddFooter>
      </headerFooter>
    </customSheetView>
    <customSheetView guid="{B8A1874B-3BEF-4479-AD53-0D9BAC54C7CD}" colorId="10" showGridLines="0" outlineSymbols="0">
      <selection activeCell="I17" sqref="I17"/>
      <colBreaks count="2" manualBreakCount="2">
        <brk id="13" max="1048575" man="1"/>
        <brk id="15" max="1048575" man="1"/>
      </colBreaks>
      <pageMargins left="0" right="0" top="1" bottom="0.5" header="0.25" footer="0.5"/>
      <printOptions horizontalCentered="1"/>
      <pageSetup paperSize="9" scale="69" orientation="landscape" r:id="rId6"/>
      <headerFooter alignWithMargins="0">
        <oddFooter>&amp;C</oddFooter>
      </headerFooter>
    </customSheetView>
    <customSheetView guid="{E5BCC4B4-F1B1-40C1-B93E-A6184E1EF716}" colorId="10" showPageBreaks="1" showGridLines="0" outlineSymbols="0" printArea="1" topLeftCell="A4">
      <selection activeCell="J15" sqref="J15"/>
      <colBreaks count="2" manualBreakCount="2">
        <brk id="13" max="1048575" man="1"/>
        <brk id="15" max="1048575" man="1"/>
      </colBreaks>
      <pageMargins left="0" right="0" top="1" bottom="0.5" header="0.25" footer="0.5"/>
      <printOptions horizontalCentered="1"/>
      <pageSetup paperSize="9" scale="69" orientation="landscape" r:id="rId7"/>
      <headerFooter alignWithMargins="0">
        <oddFooter>&amp;C</oddFooter>
      </headerFooter>
    </customSheetView>
    <customSheetView guid="{994961F8-B63E-47F6-B0C5-98F862423FE5}" colorId="10" showPageBreaks="1" showGridLines="0" outlineSymbols="0" printArea="1" topLeftCell="A4">
      <selection activeCell="J15" sqref="J15"/>
      <colBreaks count="2" manualBreakCount="2">
        <brk id="13" max="1048575" man="1"/>
        <brk id="15" max="1048575" man="1"/>
      </colBreaks>
      <pageMargins left="0" right="0" top="1" bottom="0.5" header="0.25" footer="0.5"/>
      <printOptions horizontalCentered="1"/>
      <pageSetup paperSize="9" scale="69" orientation="landscape" r:id="rId8"/>
      <headerFooter alignWithMargins="0">
        <oddFooter>&amp;C</oddFooter>
      </headerFooter>
    </customSheetView>
    <customSheetView guid="{F89B8433-E453-4FDE-8E2A-E7E816BD4DFD}" colorId="10" showPageBreaks="1" showGridLines="0" outlineSymbols="0" topLeftCell="A13">
      <selection activeCell="J21" sqref="J21"/>
      <colBreaks count="1" manualBreakCount="1">
        <brk id="15" max="1048575" man="1"/>
      </colBreaks>
      <pageMargins left="0" right="0" top="1" bottom="0.5" header="0.25" footer="0.5"/>
      <printOptions horizontalCentered="1"/>
      <pageSetup paperSize="9" scale="70" orientation="landscape" r:id="rId9"/>
      <headerFooter alignWithMargins="0">
        <oddFooter>&amp;C</oddFooter>
      </headerFooter>
    </customSheetView>
    <customSheetView guid="{9BA226E9-1840-4D58-8634-C7CD130BA9DE}" colorId="10" showGridLines="0" outlineSymbols="0" topLeftCell="A4">
      <selection activeCell="J15" sqref="J15"/>
      <colBreaks count="2" manualBreakCount="2">
        <brk id="13" max="1048575" man="1"/>
        <brk id="15" max="1048575" man="1"/>
      </colBreaks>
      <pageMargins left="0" right="0" top="1" bottom="0.5" header="0.25" footer="0.5"/>
      <printOptions horizontalCentered="1"/>
      <pageSetup paperSize="9" scale="69" orientation="landscape" r:id="rId10"/>
      <headerFooter alignWithMargins="0">
        <oddFooter>&amp;C</oddFooter>
      </headerFooter>
    </customSheetView>
    <customSheetView guid="{ECC2632F-F62A-4FAF-AECC-1DDADB5FC34F}" colorId="10" showGridLines="0" outlineSymbols="0" topLeftCell="A4">
      <selection activeCell="A11" sqref="A11:XFD11"/>
      <colBreaks count="1" manualBreakCount="1">
        <brk id="15" max="1048575" man="1"/>
      </colBreaks>
      <pageMargins left="0" right="0" top="1" bottom="0.5" header="0.25" footer="0.5"/>
      <printOptions horizontalCentered="1"/>
      <pageSetup paperSize="9" scale="70" orientation="landscape" r:id="rId11"/>
      <headerFooter alignWithMargins="0">
        <oddFooter>&amp;C</oddFooter>
      </headerFooter>
    </customSheetView>
    <customSheetView guid="{FB80B360-98B3-4D7B-B530-099144659D3A}" colorId="10" showGridLines="0" outlineSymbols="0" topLeftCell="A4">
      <selection activeCell="A11" sqref="A11:XFD11"/>
      <colBreaks count="1" manualBreakCount="1">
        <brk id="15" max="1048575" man="1"/>
      </colBreaks>
      <pageMargins left="0" right="0" top="1" bottom="0.5" header="0.25" footer="0.5"/>
      <printOptions horizontalCentered="1"/>
      <pageSetup paperSize="9" scale="70" orientation="landscape" r:id="rId12"/>
      <headerFooter alignWithMargins="0">
        <oddFooter>&amp;C</oddFooter>
      </headerFooter>
    </customSheetView>
    <customSheetView guid="{7F784530-9B10-42D7-8F54-8EB6B060482F}" colorId="10" showGridLines="0" outlineSymbols="0" topLeftCell="A4">
      <selection activeCell="A11" sqref="A11:XFD11"/>
      <colBreaks count="1" manualBreakCount="1">
        <brk id="15" max="1048575" man="1"/>
      </colBreaks>
      <pageMargins left="0" right="0" top="1" bottom="0.5" header="0.25" footer="0.5"/>
      <printOptions horizontalCentered="1"/>
      <pageSetup paperSize="9" scale="70" orientation="landscape" r:id="rId13"/>
      <headerFooter alignWithMargins="0">
        <oddFooter>&amp;C</oddFooter>
      </headerFooter>
    </customSheetView>
    <customSheetView guid="{8AF18E21-1031-46CF-B2BC-F1B32D8B514B}" colorId="10" showGridLines="0" outlineSymbols="0">
      <selection activeCell="A21" sqref="A21:IV21"/>
      <colBreaks count="1" manualBreakCount="1">
        <brk id="15" max="1048575" man="1"/>
      </colBreaks>
      <pageMargins left="0" right="0" top="1" bottom="0.5" header="0.25" footer="0.5"/>
      <printOptions horizontalCentered="1"/>
      <pageSetup paperSize="9" scale="70" orientation="landscape" r:id="rId14"/>
      <headerFooter alignWithMargins="0">
        <oddFooter>&amp;C</oddFooter>
      </headerFooter>
    </customSheetView>
    <customSheetView guid="{E4837792-4A99-499B-8EC2-DE4E4D167510}" colorId="10" showGridLines="0" outlineSymbols="0">
      <selection activeCell="A10" sqref="A10"/>
      <colBreaks count="1" manualBreakCount="1">
        <brk id="15" max="1048575" man="1"/>
      </colBreaks>
      <pageMargins left="0" right="0" top="1" bottom="0.5" header="0.25" footer="0.5"/>
      <printOptions horizontalCentered="1"/>
      <pageSetup paperSize="9" scale="70" orientation="landscape" r:id="rId15"/>
      <headerFooter alignWithMargins="0">
        <oddFooter>&amp;C</oddFooter>
      </headerFooter>
    </customSheetView>
    <customSheetView guid="{16D4A374-74B9-406B-A5BA-2D573E6A0CF2}" colorId="10" showGridLines="0" outlineSymbols="0" topLeftCell="A4">
      <selection activeCell="A11" sqref="A11:XFD11"/>
      <colBreaks count="1" manualBreakCount="1">
        <brk id="15" max="1048575" man="1"/>
      </colBreaks>
      <pageMargins left="0" right="0" top="1" bottom="0.5" header="0.25" footer="0.5"/>
      <printOptions horizontalCentered="1"/>
      <pageSetup paperSize="9" scale="70" orientation="landscape" r:id="rId16"/>
      <headerFooter alignWithMargins="0">
        <oddFooter>&amp;C</oddFooter>
      </headerFooter>
    </customSheetView>
    <customSheetView guid="{F729E7D6-6F09-4AEC-8A8D-5BB0CE563030}" colorId="10" showGridLines="0" outlineSymbols="0" topLeftCell="A4">
      <selection activeCell="A11" sqref="A11:XFD11"/>
      <colBreaks count="1" manualBreakCount="1">
        <brk id="15" max="1048575" man="1"/>
      </colBreaks>
      <pageMargins left="0" right="0" top="1" bottom="0.5" header="0.25" footer="0.5"/>
      <printOptions horizontalCentered="1"/>
      <pageSetup paperSize="9" scale="70" orientation="landscape" r:id="rId17"/>
      <headerFooter alignWithMargins="0">
        <oddFooter>&amp;C</oddFooter>
      </headerFooter>
    </customSheetView>
    <customSheetView guid="{2896A421-8E5B-4BF0-9CC6-B6380E0DB314}" colorId="10" showPageBreaks="1" showGridLines="0" outlineSymbols="0" printArea="1" topLeftCell="A4">
      <selection activeCell="B12" sqref="B12:B13"/>
      <colBreaks count="2" manualBreakCount="2">
        <brk id="13" max="1048575" man="1"/>
        <brk id="15" max="1048575" man="1"/>
      </colBreaks>
      <pageMargins left="0" right="0" top="1" bottom="0.5" header="0.25" footer="0.5"/>
      <printOptions horizontalCentered="1"/>
      <pageSetup paperSize="9" scale="69" orientation="landscape" r:id="rId18"/>
      <headerFooter alignWithMargins="0">
        <oddFooter>&amp;C</oddFooter>
      </headerFooter>
    </customSheetView>
    <customSheetView guid="{98D3DDB6-797A-47DD-9C96-BB16B2207A0C}" colorId="10" showPageBreaks="1" showGridLines="0" outlineSymbols="0" printArea="1">
      <selection activeCell="I17" sqref="I17"/>
      <colBreaks count="2" manualBreakCount="2">
        <brk id="13" max="1048575" man="1"/>
        <brk id="15" max="1048575" man="1"/>
      </colBreaks>
      <pageMargins left="0" right="0" top="1" bottom="0.5" header="0.25" footer="0.5"/>
      <printOptions horizontalCentered="1"/>
      <pageSetup paperSize="9" scale="69" orientation="landscape" r:id="rId19"/>
      <headerFooter alignWithMargins="0">
        <oddFooter>&amp;C</oddFooter>
      </headerFooter>
    </customSheetView>
    <customSheetView guid="{A1D515A7-1E5B-4509-BA26-4ABAA82FF869}" colorId="10" showPageBreaks="1" showGridLines="0" outlineSymbols="0" printArea="1">
      <selection activeCell="K18" sqref="K18"/>
      <colBreaks count="2" manualBreakCount="2">
        <brk id="13" max="1048575" man="1"/>
        <brk id="15" max="1048575" man="1"/>
      </colBreaks>
      <pageMargins left="0" right="0" top="1" bottom="0.5" header="0.25" footer="0.5"/>
      <printOptions horizontalCentered="1"/>
      <pageSetup paperSize="9" scale="69" orientation="landscape" r:id="rId20"/>
      <headerFooter alignWithMargins="0">
        <oddFooter>&amp;C</oddFooter>
      </headerFooter>
    </customSheetView>
    <customSheetView guid="{80E06DBA-C6F3-475B-8D63-21743367E2AD}" colorId="10" showPageBreaks="1" showGridLines="0" outlineSymbols="0" printArea="1" topLeftCell="A4">
      <selection activeCell="J15" sqref="J15"/>
      <colBreaks count="2" manualBreakCount="2">
        <brk id="13" max="1048575" man="1"/>
        <brk id="15" max="1048575" man="1"/>
      </colBreaks>
      <pageMargins left="0" right="0" top="1" bottom="0.5" header="0.25" footer="0.5"/>
      <printOptions horizontalCentered="1"/>
      <pageSetup paperSize="9" scale="69" orientation="landscape" r:id="rId21"/>
      <headerFooter alignWithMargins="0">
        <oddFooter>&amp;C</oddFooter>
      </headerFooter>
    </customSheetView>
    <customSheetView guid="{9ED09EA6-4579-48A9-AD5B-8A08B9AAA8BE}" colorId="10" showPageBreaks="1" showGridLines="0" outlineSymbols="0">
      <selection activeCell="I7" sqref="I7"/>
      <colBreaks count="1" manualBreakCount="1">
        <brk id="15" max="1048575" man="1"/>
      </colBreaks>
      <pageMargins left="0" right="0" top="1" bottom="0.5" header="0.25" footer="0.5"/>
      <printOptions horizontalCentered="1"/>
      <pageSetup paperSize="9" scale="70" orientation="landscape" r:id="rId22"/>
      <headerFooter alignWithMargins="0">
        <oddFooter>&amp;C</oddFooter>
      </headerFooter>
    </customSheetView>
    <customSheetView guid="{7631AB21-BAD4-410B-9EB7-37E4C039E55D}" colorId="10" showGridLines="0" outlineSymbols="0">
      <selection activeCell="I17" sqref="I17"/>
      <colBreaks count="2" manualBreakCount="2">
        <brk id="13" max="1048575" man="1"/>
        <brk id="15" max="1048575" man="1"/>
      </colBreaks>
      <pageMargins left="0" right="0" top="1" bottom="0.5" header="0.25" footer="0.5"/>
      <printOptions horizontalCentered="1"/>
      <pageSetup paperSize="9" scale="69" orientation="landscape" r:id="rId23"/>
      <headerFooter alignWithMargins="0">
        <oddFooter>&amp;C</oddFooter>
      </headerFooter>
    </customSheetView>
    <customSheetView guid="{BE76667A-60C4-4702-8334-217BF8BB1245}" colorId="10" showPageBreaks="1" showGridLines="0" outlineSymbols="0" printArea="1">
      <selection activeCell="K13" sqref="K13"/>
      <colBreaks count="2" manualBreakCount="2">
        <brk id="13" max="1048575" man="1"/>
        <brk id="15" max="1048575" man="1"/>
      </colBreaks>
      <pageMargins left="0" right="0" top="1" bottom="0.5" header="0.25" footer="0.5"/>
      <printOptions horizontalCentered="1"/>
      <pageSetup paperSize="9" scale="69" orientation="landscape" r:id="rId24"/>
      <headerFooter alignWithMargins="0">
        <oddFooter>&amp;C</oddFooter>
      </headerFooter>
    </customSheetView>
    <customSheetView guid="{3FE5399F-6D96-46C9-B56D-C9200CDFFBCC}" colorId="10" showPageBreaks="1" showGridLines="0" outlineSymbols="0" printArea="1" topLeftCell="A10">
      <selection activeCell="G22" sqref="G22"/>
      <colBreaks count="2" manualBreakCount="2">
        <brk id="13" max="1048575" man="1"/>
        <brk id="15" max="1048575" man="1"/>
      </colBreaks>
      <pageMargins left="0" right="0" top="1" bottom="0.5" header="0.25" footer="0.5"/>
      <printOptions horizontalCentered="1"/>
      <pageSetup paperSize="9" scale="69" orientation="landscape" r:id="rId25"/>
      <headerFooter alignWithMargins="0">
        <oddFooter>&amp;C</oddFooter>
      </headerFooter>
    </customSheetView>
    <customSheetView guid="{DB5C611D-B585-4D04-94DC-84E03E7F6427}" colorId="10" showGridLines="0" outlineSymbols="0">
      <selection activeCell="K18" sqref="K18"/>
      <colBreaks count="2" manualBreakCount="2">
        <brk id="13" max="1048575" man="1"/>
        <brk id="15" max="1048575" man="1"/>
      </colBreaks>
      <pageMargins left="0" right="0" top="1" bottom="0.5" header="0.25" footer="0.5"/>
      <printOptions horizontalCentered="1"/>
      <pageSetup paperSize="9" scale="69" orientation="landscape" r:id="rId26"/>
      <headerFooter alignWithMargins="0">
        <oddFooter>&amp;C</oddFooter>
      </headerFooter>
    </customSheetView>
    <customSheetView guid="{0C6DA001-EF29-43B3-B8E5-B7C6D16AED4F}" colorId="10" showPageBreaks="1" showGridLines="0" outlineSymbols="0" printArea="1">
      <selection activeCell="K18" sqref="K18"/>
      <colBreaks count="2" manualBreakCount="2">
        <brk id="13" max="1048575" man="1"/>
        <brk id="15" max="1048575" man="1"/>
      </colBreaks>
      <pageMargins left="0" right="0" top="1" bottom="0.5" header="0.25" footer="0.5"/>
      <printOptions horizontalCentered="1"/>
      <pageSetup paperSize="9" scale="69" orientation="landscape" r:id="rId27"/>
      <headerFooter alignWithMargins="0">
        <oddFooter>&amp;C</oddFooter>
      </headerFooter>
    </customSheetView>
    <customSheetView guid="{C57D03F9-88DE-4996-9965-888CDFC990C2}" colorId="10" showPageBreaks="1" showGridLines="0" outlineSymbols="0" printArea="1">
      <selection activeCell="K18" sqref="K18"/>
      <colBreaks count="2" manualBreakCount="2">
        <brk id="13" max="1048575" man="1"/>
        <brk id="15" max="1048575" man="1"/>
      </colBreaks>
      <pageMargins left="0" right="0" top="1" bottom="0.5" header="0.25" footer="0.5"/>
      <printOptions horizontalCentered="1"/>
      <pageSetup paperSize="9" scale="69" orientation="landscape" r:id="rId28"/>
      <headerFooter alignWithMargins="0">
        <oddFooter>&amp;C</oddFooter>
      </headerFooter>
    </customSheetView>
    <customSheetView guid="{51A412B5-0E75-4615-BBB6-5CF03E1A3E32}" colorId="10" showPageBreaks="1" showGridLines="0" outlineSymbols="0" printArea="1">
      <selection activeCell="K18" sqref="K18"/>
      <colBreaks count="2" manualBreakCount="2">
        <brk id="13" max="1048575" man="1"/>
        <brk id="15" max="1048575" man="1"/>
      </colBreaks>
      <pageMargins left="0" right="0" top="1" bottom="0.5" header="0.25" footer="0.5"/>
      <printOptions horizontalCentered="1"/>
      <pageSetup paperSize="9" scale="69" orientation="landscape" r:id="rId29"/>
      <headerFooter alignWithMargins="0">
        <oddFooter>&amp;C</oddFooter>
      </headerFooter>
    </customSheetView>
  </customSheetViews>
  <mergeCells count="3">
    <mergeCell ref="A3:K3"/>
    <mergeCell ref="A4:K4"/>
    <mergeCell ref="L4:O4"/>
  </mergeCells>
  <phoneticPr fontId="104" type="noConversion"/>
  <printOptions horizontalCentered="1"/>
  <pageMargins left="0" right="0" top="1" bottom="0.5" header="0.25" footer="0.5"/>
  <pageSetup paperSize="9" scale="69" orientation="landscape" r:id="rId30"/>
  <headerFooter alignWithMargins="0">
    <oddFooter>&amp;C</oddFooter>
  </headerFooter>
  <colBreaks count="2" manualBreakCount="2">
    <brk id="13" max="1048575" man="1"/>
    <brk id="1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6"/>
  <sheetViews>
    <sheetView zoomScaleSheetLayoutView="110" workbookViewId="0">
      <pane xSplit="2" ySplit="6" topLeftCell="E217" activePane="bottomRight" state="frozen"/>
      <selection pane="topRight" activeCell="C1" sqref="C1"/>
      <selection pane="bottomLeft" activeCell="A7" sqref="A7"/>
      <selection pane="bottomRight" activeCell="L453" sqref="L453"/>
    </sheetView>
  </sheetViews>
  <sheetFormatPr defaultRowHeight="15"/>
  <cols>
    <col min="1" max="1" width="3.5546875" customWidth="1"/>
    <col min="2" max="2" width="26.77734375" customWidth="1"/>
    <col min="3" max="3" width="19" customWidth="1"/>
    <col min="4" max="4" width="13.44140625" customWidth="1"/>
    <col min="5" max="5" width="7.109375" customWidth="1"/>
    <col min="6" max="6" width="6" style="804" bestFit="1" customWidth="1"/>
    <col min="7" max="7" width="17.21875" customWidth="1"/>
    <col min="8" max="8" width="16.77734375" customWidth="1"/>
    <col min="9" max="9" width="15.33203125" customWidth="1"/>
    <col min="10" max="10" width="8.6640625" customWidth="1"/>
    <col min="11" max="11" width="13.44140625" customWidth="1"/>
    <col min="12" max="12" width="50.109375" customWidth="1"/>
  </cols>
  <sheetData>
    <row r="1" spans="1:12" ht="19.5">
      <c r="A1" s="1697" t="s">
        <v>631</v>
      </c>
      <c r="B1" s="1697"/>
      <c r="C1" s="1697"/>
      <c r="D1" s="1697"/>
      <c r="E1" s="1697"/>
      <c r="F1" s="1697"/>
      <c r="G1" s="1697"/>
      <c r="H1" s="1697"/>
      <c r="I1" s="1697"/>
      <c r="J1" s="1697"/>
      <c r="K1" s="1697"/>
      <c r="L1" s="1697"/>
    </row>
    <row r="2" spans="1:12" ht="31.5" customHeight="1">
      <c r="A2" s="1698" t="s">
        <v>628</v>
      </c>
      <c r="B2" s="1698"/>
      <c r="C2" s="1698"/>
      <c r="D2" s="1698"/>
      <c r="E2" s="1698"/>
      <c r="F2" s="1698"/>
      <c r="G2" s="1698"/>
      <c r="H2" s="1698"/>
      <c r="I2" s="1698"/>
      <c r="J2" s="1698"/>
      <c r="K2" s="1698"/>
      <c r="L2" s="1698"/>
    </row>
    <row r="3" spans="1:12" ht="19.5">
      <c r="A3" s="15" t="s">
        <v>632</v>
      </c>
      <c r="C3" s="15"/>
      <c r="D3" s="15"/>
      <c r="E3" s="15"/>
      <c r="F3" s="974"/>
      <c r="G3" s="15"/>
      <c r="H3" s="217"/>
      <c r="I3" s="218"/>
      <c r="J3" s="45"/>
      <c r="K3" s="15"/>
      <c r="L3" s="15"/>
    </row>
    <row r="4" spans="1:12" ht="20.25">
      <c r="A4" s="16" t="str">
        <f>+'New Master-List'!A4</f>
        <v>As of 31 Aug 2017</v>
      </c>
      <c r="B4" s="220"/>
      <c r="C4" s="221"/>
      <c r="D4" s="222"/>
      <c r="E4" s="212"/>
      <c r="F4" s="973"/>
      <c r="G4" s="212"/>
      <c r="H4" s="223"/>
      <c r="I4" s="225"/>
      <c r="J4" s="44" t="s">
        <v>400</v>
      </c>
      <c r="K4" s="887">
        <v>4030</v>
      </c>
      <c r="L4" s="212"/>
    </row>
    <row r="5" spans="1:12" ht="18">
      <c r="A5" s="384" t="s">
        <v>1</v>
      </c>
      <c r="B5" s="382" t="s">
        <v>2</v>
      </c>
      <c r="C5" s="384" t="s">
        <v>54</v>
      </c>
      <c r="D5" s="386" t="s">
        <v>392</v>
      </c>
      <c r="E5" s="391" t="s">
        <v>393</v>
      </c>
      <c r="F5" s="975" t="s">
        <v>56</v>
      </c>
      <c r="G5" s="384" t="s">
        <v>57</v>
      </c>
      <c r="H5" s="384" t="s">
        <v>58</v>
      </c>
      <c r="I5" s="386" t="s">
        <v>389</v>
      </c>
      <c r="J5" s="389" t="s">
        <v>60</v>
      </c>
      <c r="K5" s="384" t="s">
        <v>61</v>
      </c>
      <c r="L5" s="386" t="s">
        <v>387</v>
      </c>
    </row>
    <row r="6" spans="1:12">
      <c r="A6" s="385"/>
      <c r="B6" s="383"/>
      <c r="C6" s="385"/>
      <c r="D6" s="387"/>
      <c r="E6" s="392"/>
      <c r="F6" s="976"/>
      <c r="G6" s="385"/>
      <c r="H6" s="385"/>
      <c r="I6" s="388"/>
      <c r="J6" s="390"/>
      <c r="K6" s="385"/>
      <c r="L6" s="387"/>
    </row>
    <row r="7" spans="1:12" ht="19.5">
      <c r="A7" s="379" t="s">
        <v>413</v>
      </c>
      <c r="B7" s="380"/>
      <c r="C7" s="380"/>
      <c r="D7" s="380"/>
      <c r="E7" s="380"/>
      <c r="F7" s="977"/>
      <c r="G7" s="380"/>
      <c r="H7" s="380"/>
      <c r="I7" s="380"/>
      <c r="J7" s="380"/>
      <c r="K7" s="380"/>
      <c r="L7" s="381"/>
    </row>
    <row r="8" spans="1:12" ht="20.100000000000001" customHeight="1">
      <c r="A8" s="249"/>
      <c r="B8" s="259" t="s">
        <v>396</v>
      </c>
      <c r="C8" s="246"/>
      <c r="D8" s="246"/>
      <c r="E8" s="246"/>
      <c r="F8" s="978"/>
      <c r="G8" s="246"/>
      <c r="H8" s="246"/>
      <c r="I8" s="246"/>
      <c r="J8" s="246"/>
      <c r="K8" s="246"/>
      <c r="L8" s="247"/>
    </row>
    <row r="9" spans="1:12" ht="20.100000000000001" customHeight="1">
      <c r="A9" s="287"/>
      <c r="B9" s="248" t="s">
        <v>33</v>
      </c>
      <c r="C9" s="248" t="s">
        <v>33</v>
      </c>
      <c r="D9" s="248" t="s">
        <v>33</v>
      </c>
      <c r="E9" s="248" t="s">
        <v>33</v>
      </c>
      <c r="F9" s="979" t="s">
        <v>33</v>
      </c>
      <c r="G9" s="248" t="s">
        <v>33</v>
      </c>
      <c r="H9" s="248" t="s">
        <v>33</v>
      </c>
      <c r="I9" s="248" t="s">
        <v>33</v>
      </c>
      <c r="J9" s="248" t="s">
        <v>33</v>
      </c>
      <c r="K9" s="248" t="s">
        <v>33</v>
      </c>
      <c r="L9" s="288" t="s">
        <v>33</v>
      </c>
    </row>
    <row r="10" spans="1:12" ht="20.100000000000001" customHeight="1">
      <c r="A10" s="239"/>
      <c r="B10" s="240"/>
      <c r="C10" s="240"/>
      <c r="D10" s="240"/>
      <c r="E10" s="378" t="s">
        <v>395</v>
      </c>
      <c r="F10" s="980" t="s">
        <v>398</v>
      </c>
      <c r="G10" s="258">
        <f>+SUM(G9)</f>
        <v>0</v>
      </c>
      <c r="H10" s="258">
        <f>+SUM(H9)</f>
        <v>0</v>
      </c>
      <c r="I10" s="258">
        <f>+SUM(I9)</f>
        <v>0</v>
      </c>
      <c r="J10" s="240"/>
      <c r="K10" s="240"/>
      <c r="L10" s="289"/>
    </row>
    <row r="11" spans="1:12" ht="20.100000000000001" customHeight="1">
      <c r="A11" s="239"/>
      <c r="B11" s="240"/>
      <c r="C11" s="240"/>
      <c r="D11" s="240"/>
      <c r="E11" s="378"/>
      <c r="F11" s="980" t="s">
        <v>399</v>
      </c>
      <c r="G11" s="258">
        <f>+G10*$K$4</f>
        <v>0</v>
      </c>
      <c r="H11" s="258">
        <f>+H10*$K$4</f>
        <v>0</v>
      </c>
      <c r="I11" s="258">
        <f>+I10*$K$4</f>
        <v>0</v>
      </c>
      <c r="J11" s="240"/>
      <c r="K11" s="240"/>
      <c r="L11" s="289"/>
    </row>
    <row r="12" spans="1:12" ht="20.100000000000001" customHeight="1">
      <c r="A12" s="243"/>
      <c r="B12" s="264" t="s">
        <v>397</v>
      </c>
      <c r="C12" s="244"/>
      <c r="D12" s="244"/>
      <c r="E12" s="244"/>
      <c r="F12" s="981"/>
      <c r="G12" s="244"/>
      <c r="H12" s="244"/>
      <c r="I12" s="244"/>
      <c r="J12" s="244"/>
      <c r="K12" s="244"/>
      <c r="L12" s="245"/>
    </row>
    <row r="13" spans="1:12" ht="20.100000000000001" customHeight="1">
      <c r="A13" s="249"/>
      <c r="B13" s="246" t="s">
        <v>401</v>
      </c>
      <c r="C13" s="246"/>
      <c r="D13" s="246"/>
      <c r="E13" s="246"/>
      <c r="F13" s="978"/>
      <c r="G13" s="246"/>
      <c r="H13" s="246"/>
      <c r="I13" s="246"/>
      <c r="J13" s="246"/>
      <c r="K13" s="246"/>
      <c r="L13" s="247"/>
    </row>
    <row r="14" spans="1:12" ht="20.100000000000001" customHeight="1">
      <c r="A14" s="249"/>
      <c r="B14" s="246" t="s">
        <v>422</v>
      </c>
      <c r="C14" s="246"/>
      <c r="D14" s="246"/>
      <c r="E14" s="246"/>
      <c r="F14" s="978"/>
      <c r="G14" s="246"/>
      <c r="H14" s="246"/>
      <c r="I14" s="246"/>
      <c r="J14" s="246"/>
      <c r="K14" s="246"/>
      <c r="L14" s="247"/>
    </row>
    <row r="15" spans="1:12" s="237" customFormat="1" ht="20.100000000000001" customHeight="1">
      <c r="A15" s="292"/>
      <c r="B15" s="845" t="s">
        <v>33</v>
      </c>
      <c r="C15" s="269" t="s">
        <v>33</v>
      </c>
      <c r="D15" s="269" t="s">
        <v>33</v>
      </c>
      <c r="E15" s="248" t="str">
        <f>+VLOOKUP(B15,'New Master-List'!$B$1:$AI$4223,10,FALSE)</f>
        <v>N/A</v>
      </c>
      <c r="F15" s="979" t="s">
        <v>33</v>
      </c>
      <c r="G15" s="265" t="str">
        <f>+VLOOKUP(B15,'New Master-List'!$B$8:$AG$389,11,FALSE)</f>
        <v>N/A</v>
      </c>
      <c r="H15" s="265" t="s">
        <v>33</v>
      </c>
      <c r="I15" s="265" t="s">
        <v>33</v>
      </c>
      <c r="J15" s="270" t="s">
        <v>33</v>
      </c>
      <c r="K15" s="265" t="s">
        <v>33</v>
      </c>
      <c r="L15" s="288" t="s">
        <v>33</v>
      </c>
    </row>
    <row r="16" spans="1:12" ht="20.100000000000001" customHeight="1">
      <c r="A16" s="239"/>
      <c r="B16" s="240"/>
      <c r="C16" s="240"/>
      <c r="D16" s="240"/>
      <c r="E16" s="378" t="s">
        <v>395</v>
      </c>
      <c r="F16" s="980" t="s">
        <v>398</v>
      </c>
      <c r="G16" s="258">
        <f>+SUM(G15)</f>
        <v>0</v>
      </c>
      <c r="H16" s="258">
        <f>+SUM(H15)</f>
        <v>0</v>
      </c>
      <c r="I16" s="258">
        <f>+SUM(I15)</f>
        <v>0</v>
      </c>
      <c r="J16" s="240"/>
      <c r="K16" s="240"/>
      <c r="L16" s="289"/>
    </row>
    <row r="17" spans="1:12" ht="20.100000000000001" customHeight="1">
      <c r="A17" s="239"/>
      <c r="B17" s="240"/>
      <c r="C17" s="240"/>
      <c r="D17" s="240"/>
      <c r="E17" s="378"/>
      <c r="F17" s="980" t="s">
        <v>399</v>
      </c>
      <c r="G17" s="258">
        <f>+G16*$K$4</f>
        <v>0</v>
      </c>
      <c r="H17" s="258">
        <f>+H16*$K$4</f>
        <v>0</v>
      </c>
      <c r="I17" s="258">
        <f>+I16*$K$4</f>
        <v>0</v>
      </c>
      <c r="J17" s="240"/>
      <c r="K17" s="240"/>
      <c r="L17" s="289"/>
    </row>
    <row r="18" spans="1:12" ht="20.100000000000001" customHeight="1">
      <c r="A18" s="249"/>
      <c r="B18" s="246" t="s">
        <v>402</v>
      </c>
      <c r="C18" s="251"/>
      <c r="D18" s="251"/>
      <c r="E18" s="252"/>
      <c r="F18" s="982"/>
      <c r="G18" s="253"/>
      <c r="H18" s="253"/>
      <c r="I18" s="251"/>
      <c r="J18" s="251"/>
      <c r="K18" s="251"/>
      <c r="L18" s="290"/>
    </row>
    <row r="19" spans="1:12" ht="20.100000000000001" customHeight="1">
      <c r="A19" s="287"/>
      <c r="B19" s="248" t="s">
        <v>33</v>
      </c>
      <c r="C19" s="248" t="s">
        <v>33</v>
      </c>
      <c r="D19" s="248" t="s">
        <v>33</v>
      </c>
      <c r="E19" s="248" t="s">
        <v>33</v>
      </c>
      <c r="F19" s="979" t="s">
        <v>33</v>
      </c>
      <c r="G19" s="248" t="s">
        <v>33</v>
      </c>
      <c r="H19" s="248" t="s">
        <v>33</v>
      </c>
      <c r="I19" s="248" t="s">
        <v>33</v>
      </c>
      <c r="J19" s="248" t="s">
        <v>33</v>
      </c>
      <c r="K19" s="248" t="s">
        <v>33</v>
      </c>
      <c r="L19" s="288" t="s">
        <v>33</v>
      </c>
    </row>
    <row r="20" spans="1:12" ht="20.100000000000001" customHeight="1">
      <c r="A20" s="239"/>
      <c r="B20" s="240"/>
      <c r="C20" s="240"/>
      <c r="D20" s="240"/>
      <c r="E20" s="378" t="s">
        <v>395</v>
      </c>
      <c r="F20" s="980" t="s">
        <v>398</v>
      </c>
      <c r="G20" s="258">
        <f>+SUM(G19)</f>
        <v>0</v>
      </c>
      <c r="H20" s="258">
        <f>+SUM(H19)</f>
        <v>0</v>
      </c>
      <c r="I20" s="258">
        <f>+SUM(I19)</f>
        <v>0</v>
      </c>
      <c r="J20" s="240"/>
      <c r="K20" s="240"/>
      <c r="L20" s="289"/>
    </row>
    <row r="21" spans="1:12" ht="20.100000000000001" customHeight="1">
      <c r="A21" s="239"/>
      <c r="B21" s="240"/>
      <c r="C21" s="240"/>
      <c r="D21" s="240"/>
      <c r="E21" s="378"/>
      <c r="F21" s="980" t="s">
        <v>399</v>
      </c>
      <c r="G21" s="258">
        <f>+G20*$K$4</f>
        <v>0</v>
      </c>
      <c r="H21" s="258">
        <f>+H20*$K$4</f>
        <v>0</v>
      </c>
      <c r="I21" s="258">
        <f>+I20*$K$4</f>
        <v>0</v>
      </c>
      <c r="J21" s="240"/>
      <c r="K21" s="240"/>
      <c r="L21" s="289"/>
    </row>
    <row r="22" spans="1:12" ht="20.100000000000001" customHeight="1">
      <c r="A22" s="254"/>
      <c r="B22" s="246" t="s">
        <v>403</v>
      </c>
      <c r="C22" s="255"/>
      <c r="D22" s="255"/>
      <c r="E22" s="256"/>
      <c r="F22" s="983"/>
      <c r="G22" s="257"/>
      <c r="H22" s="257"/>
      <c r="I22" s="255"/>
      <c r="J22" s="255"/>
      <c r="K22" s="255"/>
      <c r="L22" s="291"/>
    </row>
    <row r="23" spans="1:12" ht="20.100000000000001" customHeight="1">
      <c r="A23" s="287"/>
      <c r="B23" s="248" t="s">
        <v>33</v>
      </c>
      <c r="C23" s="248" t="s">
        <v>33</v>
      </c>
      <c r="D23" s="248" t="s">
        <v>33</v>
      </c>
      <c r="E23" s="248" t="s">
        <v>33</v>
      </c>
      <c r="F23" s="979" t="s">
        <v>33</v>
      </c>
      <c r="G23" s="248" t="s">
        <v>33</v>
      </c>
      <c r="H23" s="248" t="s">
        <v>33</v>
      </c>
      <c r="I23" s="248" t="s">
        <v>33</v>
      </c>
      <c r="J23" s="248" t="s">
        <v>33</v>
      </c>
      <c r="K23" s="248" t="s">
        <v>33</v>
      </c>
      <c r="L23" s="288" t="s">
        <v>33</v>
      </c>
    </row>
    <row r="24" spans="1:12" ht="20.100000000000001" customHeight="1">
      <c r="A24" s="239"/>
      <c r="B24" s="240"/>
      <c r="C24" s="240"/>
      <c r="D24" s="240"/>
      <c r="E24" s="378" t="s">
        <v>395</v>
      </c>
      <c r="F24" s="980" t="s">
        <v>398</v>
      </c>
      <c r="G24" s="258">
        <f>+SUM(G23)</f>
        <v>0</v>
      </c>
      <c r="H24" s="258">
        <f>+SUM(H23)</f>
        <v>0</v>
      </c>
      <c r="I24" s="258">
        <f>+SUM(I23)</f>
        <v>0</v>
      </c>
      <c r="J24" s="240"/>
      <c r="K24" s="240"/>
      <c r="L24" s="289"/>
    </row>
    <row r="25" spans="1:12" ht="20.100000000000001" customHeight="1">
      <c r="A25" s="239"/>
      <c r="B25" s="240"/>
      <c r="C25" s="240"/>
      <c r="D25" s="240"/>
      <c r="E25" s="378"/>
      <c r="F25" s="980" t="s">
        <v>399</v>
      </c>
      <c r="G25" s="258">
        <f>+G24*$K$4</f>
        <v>0</v>
      </c>
      <c r="H25" s="258">
        <f>+H24*$K$4</f>
        <v>0</v>
      </c>
      <c r="I25" s="258">
        <f>+I24*$K$4</f>
        <v>0</v>
      </c>
      <c r="J25" s="240"/>
      <c r="K25" s="240"/>
      <c r="L25" s="289"/>
    </row>
    <row r="26" spans="1:12" ht="20.100000000000001" customHeight="1">
      <c r="A26" s="239"/>
      <c r="B26" s="264" t="s">
        <v>404</v>
      </c>
      <c r="C26" s="240"/>
      <c r="D26" s="240"/>
      <c r="E26" s="242"/>
      <c r="F26" s="984"/>
      <c r="G26" s="241"/>
      <c r="H26" s="241"/>
      <c r="I26" s="240"/>
      <c r="J26" s="240"/>
      <c r="K26" s="240"/>
      <c r="L26" s="289"/>
    </row>
    <row r="27" spans="1:12" ht="20.100000000000001" customHeight="1">
      <c r="A27" s="254"/>
      <c r="B27" s="246" t="s">
        <v>405</v>
      </c>
      <c r="C27" s="255"/>
      <c r="D27" s="255"/>
      <c r="E27" s="256"/>
      <c r="F27" s="983"/>
      <c r="G27" s="257"/>
      <c r="H27" s="257"/>
      <c r="I27" s="255"/>
      <c r="J27" s="255"/>
      <c r="K27" s="255"/>
      <c r="L27" s="291"/>
    </row>
    <row r="28" spans="1:12" ht="20.100000000000001" customHeight="1">
      <c r="A28" s="287"/>
      <c r="B28" s="248" t="s">
        <v>33</v>
      </c>
      <c r="C28" s="248" t="s">
        <v>33</v>
      </c>
      <c r="D28" s="248" t="s">
        <v>33</v>
      </c>
      <c r="E28" s="248" t="s">
        <v>33</v>
      </c>
      <c r="F28" s="979" t="s">
        <v>33</v>
      </c>
      <c r="G28" s="248" t="s">
        <v>33</v>
      </c>
      <c r="H28" s="248" t="s">
        <v>33</v>
      </c>
      <c r="I28" s="248" t="s">
        <v>33</v>
      </c>
      <c r="J28" s="248" t="s">
        <v>33</v>
      </c>
      <c r="K28" s="248" t="s">
        <v>33</v>
      </c>
      <c r="L28" s="288" t="s">
        <v>33</v>
      </c>
    </row>
    <row r="29" spans="1:12" ht="20.100000000000001" customHeight="1">
      <c r="A29" s="239"/>
      <c r="B29" s="240"/>
      <c r="C29" s="240"/>
      <c r="D29" s="240"/>
      <c r="E29" s="378" t="s">
        <v>395</v>
      </c>
      <c r="F29" s="980" t="s">
        <v>398</v>
      </c>
      <c r="G29" s="258">
        <f>+SUM(G28)</f>
        <v>0</v>
      </c>
      <c r="H29" s="258">
        <f>+SUM(H28)</f>
        <v>0</v>
      </c>
      <c r="I29" s="258">
        <f>+SUM(I28)</f>
        <v>0</v>
      </c>
      <c r="J29" s="240"/>
      <c r="K29" s="240"/>
      <c r="L29" s="289"/>
    </row>
    <row r="30" spans="1:12" ht="20.100000000000001" customHeight="1">
      <c r="A30" s="239"/>
      <c r="B30" s="240"/>
      <c r="C30" s="240"/>
      <c r="D30" s="240"/>
      <c r="E30" s="378"/>
      <c r="F30" s="980" t="s">
        <v>399</v>
      </c>
      <c r="G30" s="258">
        <f>+G29*$K$4</f>
        <v>0</v>
      </c>
      <c r="H30" s="258">
        <f>+H29*$K$4</f>
        <v>0</v>
      </c>
      <c r="I30" s="258">
        <f>+I29*$K$4</f>
        <v>0</v>
      </c>
      <c r="J30" s="240"/>
      <c r="K30" s="240"/>
      <c r="L30" s="289"/>
    </row>
    <row r="31" spans="1:12" ht="20.100000000000001" customHeight="1">
      <c r="A31" s="254"/>
      <c r="B31" s="246" t="s">
        <v>406</v>
      </c>
      <c r="C31" s="255"/>
      <c r="D31" s="255"/>
      <c r="E31" s="256"/>
      <c r="F31" s="983"/>
      <c r="G31" s="257"/>
      <c r="H31" s="257"/>
      <c r="I31" s="255"/>
      <c r="J31" s="255"/>
      <c r="K31" s="255"/>
      <c r="L31" s="291"/>
    </row>
    <row r="32" spans="1:12" ht="20.100000000000001" customHeight="1">
      <c r="A32" s="254"/>
      <c r="B32" s="259" t="s">
        <v>422</v>
      </c>
      <c r="C32" s="255"/>
      <c r="D32" s="255"/>
      <c r="E32" s="256"/>
      <c r="F32" s="983"/>
      <c r="G32" s="257"/>
      <c r="H32" s="257"/>
      <c r="I32" s="255"/>
      <c r="J32" s="255"/>
      <c r="K32" s="255"/>
      <c r="L32" s="291"/>
    </row>
    <row r="33" spans="1:12" s="237" customFormat="1" ht="20.100000000000001" customHeight="1">
      <c r="A33" s="292"/>
      <c r="B33" s="845"/>
      <c r="C33" s="269"/>
      <c r="D33" s="269"/>
      <c r="E33" s="248"/>
      <c r="F33" s="979"/>
      <c r="G33" s="265"/>
      <c r="H33" s="265"/>
      <c r="I33" s="265"/>
      <c r="J33" s="270"/>
      <c r="K33" s="265"/>
      <c r="L33" s="288"/>
    </row>
    <row r="34" spans="1:12" s="237" customFormat="1" ht="20.100000000000001" customHeight="1">
      <c r="A34" s="292"/>
      <c r="B34" s="845"/>
      <c r="C34" s="269"/>
      <c r="D34" s="269"/>
      <c r="E34" s="248"/>
      <c r="F34" s="979"/>
      <c r="G34" s="265"/>
      <c r="H34" s="265"/>
      <c r="I34" s="265"/>
      <c r="J34" s="270"/>
      <c r="K34" s="265"/>
      <c r="L34" s="288"/>
    </row>
    <row r="35" spans="1:12" ht="20.100000000000001" customHeight="1">
      <c r="A35" s="239"/>
      <c r="B35" s="240"/>
      <c r="C35" s="240"/>
      <c r="D35" s="240"/>
      <c r="E35" s="378" t="s">
        <v>395</v>
      </c>
      <c r="F35" s="980" t="s">
        <v>398</v>
      </c>
      <c r="G35" s="258">
        <f>+SUM(G33:G34)</f>
        <v>0</v>
      </c>
      <c r="H35" s="258">
        <f>+SUM(H33:H34)</f>
        <v>0</v>
      </c>
      <c r="I35" s="258">
        <f>+SUM(I33:I34)</f>
        <v>0</v>
      </c>
      <c r="J35" s="240"/>
      <c r="K35" s="240"/>
      <c r="L35" s="289"/>
    </row>
    <row r="36" spans="1:12" ht="20.100000000000001" customHeight="1">
      <c r="A36" s="239"/>
      <c r="B36" s="240"/>
      <c r="C36" s="240"/>
      <c r="D36" s="240"/>
      <c r="E36" s="378"/>
      <c r="F36" s="980" t="s">
        <v>399</v>
      </c>
      <c r="G36" s="258">
        <f>+G35*$K$4</f>
        <v>0</v>
      </c>
      <c r="H36" s="258">
        <f>+H35*$K$4</f>
        <v>0</v>
      </c>
      <c r="I36" s="258">
        <f>+I35*$K$4</f>
        <v>0</v>
      </c>
      <c r="J36" s="240"/>
      <c r="K36" s="240"/>
      <c r="L36" s="289"/>
    </row>
    <row r="37" spans="1:12" ht="20.100000000000001" customHeight="1">
      <c r="A37" s="254"/>
      <c r="B37" s="255"/>
      <c r="C37" s="255"/>
      <c r="D37" s="255"/>
      <c r="E37" s="256"/>
      <c r="F37" s="985"/>
      <c r="G37" s="271"/>
      <c r="H37" s="271"/>
      <c r="I37" s="271"/>
      <c r="J37" s="255"/>
      <c r="K37" s="255"/>
      <c r="L37" s="291"/>
    </row>
    <row r="38" spans="1:12" ht="20.100000000000001" customHeight="1">
      <c r="A38" s="254"/>
      <c r="B38" s="246" t="s">
        <v>407</v>
      </c>
      <c r="C38" s="255"/>
      <c r="D38" s="255"/>
      <c r="E38" s="256"/>
      <c r="F38" s="983"/>
      <c r="G38" s="257"/>
      <c r="H38" s="257"/>
      <c r="I38" s="255"/>
      <c r="J38" s="255"/>
      <c r="K38" s="255"/>
      <c r="L38" s="291"/>
    </row>
    <row r="39" spans="1:12" ht="20.100000000000001" customHeight="1">
      <c r="A39" s="287"/>
      <c r="B39" s="248" t="s">
        <v>33</v>
      </c>
      <c r="C39" s="248" t="s">
        <v>33</v>
      </c>
      <c r="D39" s="248" t="s">
        <v>33</v>
      </c>
      <c r="E39" s="248" t="s">
        <v>33</v>
      </c>
      <c r="F39" s="979" t="s">
        <v>33</v>
      </c>
      <c r="G39" s="248" t="s">
        <v>33</v>
      </c>
      <c r="H39" s="248" t="s">
        <v>33</v>
      </c>
      <c r="I39" s="248" t="s">
        <v>33</v>
      </c>
      <c r="J39" s="248" t="s">
        <v>33</v>
      </c>
      <c r="K39" s="248" t="s">
        <v>33</v>
      </c>
      <c r="L39" s="288" t="s">
        <v>33</v>
      </c>
    </row>
    <row r="40" spans="1:12" ht="20.100000000000001" customHeight="1">
      <c r="A40" s="239"/>
      <c r="B40" s="240"/>
      <c r="C40" s="240"/>
      <c r="D40" s="240"/>
      <c r="E40" s="378" t="s">
        <v>395</v>
      </c>
      <c r="F40" s="980" t="s">
        <v>398</v>
      </c>
      <c r="G40" s="258">
        <f>+SUM(G39)</f>
        <v>0</v>
      </c>
      <c r="H40" s="258">
        <f>+SUM(H39)</f>
        <v>0</v>
      </c>
      <c r="I40" s="258">
        <f>+SUM(I39)</f>
        <v>0</v>
      </c>
      <c r="J40" s="240"/>
      <c r="K40" s="240"/>
      <c r="L40" s="289"/>
    </row>
    <row r="41" spans="1:12" ht="20.100000000000001" customHeight="1">
      <c r="A41" s="239"/>
      <c r="B41" s="240"/>
      <c r="C41" s="240"/>
      <c r="D41" s="240"/>
      <c r="E41" s="378"/>
      <c r="F41" s="980" t="s">
        <v>399</v>
      </c>
      <c r="G41" s="258">
        <f>+G40*$K$4</f>
        <v>0</v>
      </c>
      <c r="H41" s="258">
        <f>+H40*$K$4</f>
        <v>0</v>
      </c>
      <c r="I41" s="258">
        <f>+I40*$K$4</f>
        <v>0</v>
      </c>
      <c r="J41" s="240"/>
      <c r="K41" s="240"/>
      <c r="L41" s="289"/>
    </row>
    <row r="42" spans="1:12" ht="20.100000000000001" customHeight="1">
      <c r="A42" s="254"/>
      <c r="B42" s="246" t="s">
        <v>408</v>
      </c>
      <c r="C42" s="255"/>
      <c r="D42" s="255"/>
      <c r="E42" s="256"/>
      <c r="F42" s="983"/>
      <c r="G42" s="257"/>
      <c r="H42" s="257"/>
      <c r="I42" s="255"/>
      <c r="J42" s="255"/>
      <c r="K42" s="255"/>
      <c r="L42" s="291"/>
    </row>
    <row r="43" spans="1:12" ht="20.100000000000001" customHeight="1">
      <c r="A43" s="287"/>
      <c r="B43" s="248" t="s">
        <v>33</v>
      </c>
      <c r="C43" s="248" t="s">
        <v>33</v>
      </c>
      <c r="D43" s="248" t="s">
        <v>33</v>
      </c>
      <c r="E43" s="248" t="s">
        <v>33</v>
      </c>
      <c r="F43" s="979" t="s">
        <v>33</v>
      </c>
      <c r="G43" s="248" t="s">
        <v>33</v>
      </c>
      <c r="H43" s="248" t="s">
        <v>33</v>
      </c>
      <c r="I43" s="248" t="s">
        <v>33</v>
      </c>
      <c r="J43" s="248" t="s">
        <v>33</v>
      </c>
      <c r="K43" s="248" t="s">
        <v>33</v>
      </c>
      <c r="L43" s="288" t="s">
        <v>33</v>
      </c>
    </row>
    <row r="44" spans="1:12" ht="20.100000000000001" customHeight="1">
      <c r="A44" s="239"/>
      <c r="B44" s="240"/>
      <c r="C44" s="240"/>
      <c r="D44" s="240"/>
      <c r="E44" s="378" t="s">
        <v>395</v>
      </c>
      <c r="F44" s="980" t="s">
        <v>398</v>
      </c>
      <c r="G44" s="258">
        <f>+SUM(G43)</f>
        <v>0</v>
      </c>
      <c r="H44" s="258">
        <f>+SUM(H43)</f>
        <v>0</v>
      </c>
      <c r="I44" s="258">
        <f>+SUM(I43)</f>
        <v>0</v>
      </c>
      <c r="J44" s="240"/>
      <c r="K44" s="240"/>
      <c r="L44" s="289"/>
    </row>
    <row r="45" spans="1:12" ht="20.100000000000001" customHeight="1">
      <c r="A45" s="239"/>
      <c r="B45" s="240"/>
      <c r="C45" s="240"/>
      <c r="D45" s="240"/>
      <c r="E45" s="378"/>
      <c r="F45" s="980" t="s">
        <v>399</v>
      </c>
      <c r="G45" s="258">
        <f>+G44*$K$4</f>
        <v>0</v>
      </c>
      <c r="H45" s="258">
        <f>+H44*$K$4</f>
        <v>0</v>
      </c>
      <c r="I45" s="258">
        <f>+I44*$K$4</f>
        <v>0</v>
      </c>
      <c r="J45" s="240"/>
      <c r="K45" s="240"/>
      <c r="L45" s="289"/>
    </row>
    <row r="46" spans="1:12" ht="20.100000000000001" customHeight="1">
      <c r="A46" s="254"/>
      <c r="B46" s="246" t="s">
        <v>409</v>
      </c>
      <c r="C46" s="255"/>
      <c r="D46" s="255"/>
      <c r="E46" s="256"/>
      <c r="F46" s="983"/>
      <c r="G46" s="257"/>
      <c r="H46" s="257"/>
      <c r="I46" s="255"/>
      <c r="J46" s="255"/>
      <c r="K46" s="255"/>
      <c r="L46" s="291"/>
    </row>
    <row r="47" spans="1:12" ht="20.100000000000001" customHeight="1">
      <c r="A47" s="287"/>
      <c r="B47" s="248" t="s">
        <v>33</v>
      </c>
      <c r="C47" s="248" t="s">
        <v>33</v>
      </c>
      <c r="D47" s="248" t="s">
        <v>33</v>
      </c>
      <c r="E47" s="248" t="s">
        <v>33</v>
      </c>
      <c r="F47" s="979" t="s">
        <v>33</v>
      </c>
      <c r="G47" s="248" t="s">
        <v>33</v>
      </c>
      <c r="H47" s="248" t="s">
        <v>33</v>
      </c>
      <c r="I47" s="248" t="s">
        <v>33</v>
      </c>
      <c r="J47" s="248" t="s">
        <v>33</v>
      </c>
      <c r="K47" s="248" t="s">
        <v>33</v>
      </c>
      <c r="L47" s="288" t="s">
        <v>33</v>
      </c>
    </row>
    <row r="48" spans="1:12" ht="20.100000000000001" customHeight="1">
      <c r="A48" s="239"/>
      <c r="B48" s="240"/>
      <c r="C48" s="240"/>
      <c r="D48" s="240"/>
      <c r="E48" s="378" t="s">
        <v>395</v>
      </c>
      <c r="F48" s="980" t="s">
        <v>398</v>
      </c>
      <c r="G48" s="258">
        <f>+SUM(G47)</f>
        <v>0</v>
      </c>
      <c r="H48" s="258">
        <f>+SUM(H47)</f>
        <v>0</v>
      </c>
      <c r="I48" s="258">
        <f>+SUM(I47)</f>
        <v>0</v>
      </c>
      <c r="J48" s="240"/>
      <c r="K48" s="240"/>
      <c r="L48" s="289"/>
    </row>
    <row r="49" spans="1:12" ht="20.100000000000001" customHeight="1">
      <c r="A49" s="239"/>
      <c r="B49" s="240"/>
      <c r="C49" s="240"/>
      <c r="D49" s="240"/>
      <c r="E49" s="378"/>
      <c r="F49" s="980" t="s">
        <v>399</v>
      </c>
      <c r="G49" s="258">
        <f>+G48*$K$4</f>
        <v>0</v>
      </c>
      <c r="H49" s="258">
        <f>+H48*$K$4</f>
        <v>0</v>
      </c>
      <c r="I49" s="258">
        <f>+I48*$K$4</f>
        <v>0</v>
      </c>
      <c r="J49" s="240"/>
      <c r="K49" s="240"/>
      <c r="L49" s="289"/>
    </row>
    <row r="50" spans="1:12" ht="20.100000000000001" customHeight="1">
      <c r="A50" s="254"/>
      <c r="B50" s="246" t="s">
        <v>410</v>
      </c>
      <c r="C50" s="255"/>
      <c r="D50" s="255"/>
      <c r="E50" s="256"/>
      <c r="F50" s="983"/>
      <c r="G50" s="257"/>
      <c r="H50" s="257"/>
      <c r="I50" s="255"/>
      <c r="J50" s="255"/>
      <c r="K50" s="255"/>
      <c r="L50" s="291"/>
    </row>
    <row r="51" spans="1:12" ht="20.100000000000001" customHeight="1">
      <c r="A51" s="254"/>
      <c r="B51" s="259" t="s">
        <v>422</v>
      </c>
      <c r="C51" s="255"/>
      <c r="D51" s="255"/>
      <c r="E51" s="256"/>
      <c r="F51" s="983"/>
      <c r="G51" s="257"/>
      <c r="H51" s="257"/>
      <c r="I51" s="255"/>
      <c r="J51" s="255"/>
      <c r="K51" s="255"/>
      <c r="L51" s="291"/>
    </row>
    <row r="52" spans="1:12" ht="20.100000000000001" customHeight="1">
      <c r="A52" s="287"/>
      <c r="B52" s="248" t="s">
        <v>33</v>
      </c>
      <c r="C52" s="248" t="s">
        <v>33</v>
      </c>
      <c r="D52" s="248" t="s">
        <v>33</v>
      </c>
      <c r="E52" s="248" t="s">
        <v>33</v>
      </c>
      <c r="F52" s="979" t="s">
        <v>33</v>
      </c>
      <c r="G52" s="248" t="s">
        <v>33</v>
      </c>
      <c r="H52" s="248" t="s">
        <v>33</v>
      </c>
      <c r="I52" s="248" t="s">
        <v>33</v>
      </c>
      <c r="J52" s="248" t="s">
        <v>33</v>
      </c>
      <c r="K52" s="248" t="s">
        <v>33</v>
      </c>
      <c r="L52" s="288" t="s">
        <v>33</v>
      </c>
    </row>
    <row r="53" spans="1:12" ht="20.100000000000001" customHeight="1">
      <c r="A53" s="239"/>
      <c r="B53" s="240"/>
      <c r="C53" s="240"/>
      <c r="D53" s="240"/>
      <c r="E53" s="378" t="s">
        <v>395</v>
      </c>
      <c r="F53" s="980" t="s">
        <v>398</v>
      </c>
      <c r="G53" s="258">
        <f>+SUM(G52)</f>
        <v>0</v>
      </c>
      <c r="H53" s="258">
        <f>+SUM(H52)</f>
        <v>0</v>
      </c>
      <c r="I53" s="258">
        <f>+SUM(I52)</f>
        <v>0</v>
      </c>
      <c r="J53" s="240"/>
      <c r="K53" s="240"/>
      <c r="L53" s="289"/>
    </row>
    <row r="54" spans="1:12" ht="20.100000000000001" customHeight="1">
      <c r="A54" s="239"/>
      <c r="B54" s="240"/>
      <c r="C54" s="240"/>
      <c r="D54" s="240"/>
      <c r="E54" s="378"/>
      <c r="F54" s="980" t="s">
        <v>399</v>
      </c>
      <c r="G54" s="258">
        <f>+G53*$K$4</f>
        <v>0</v>
      </c>
      <c r="H54" s="258">
        <f>+H53*$K$4</f>
        <v>0</v>
      </c>
      <c r="I54" s="258">
        <f>+I53*$K$4</f>
        <v>0</v>
      </c>
      <c r="J54" s="240"/>
      <c r="K54" s="240"/>
      <c r="L54" s="289"/>
    </row>
    <row r="55" spans="1:12" ht="20.100000000000001" customHeight="1">
      <c r="A55" s="254"/>
      <c r="B55" s="246" t="s">
        <v>411</v>
      </c>
      <c r="C55" s="255"/>
      <c r="D55" s="255"/>
      <c r="E55" s="256"/>
      <c r="F55" s="983"/>
      <c r="G55" s="257"/>
      <c r="H55" s="257"/>
      <c r="I55" s="255"/>
      <c r="J55" s="255"/>
      <c r="K55" s="255"/>
      <c r="L55" s="291"/>
    </row>
    <row r="56" spans="1:12" ht="20.100000000000001" customHeight="1">
      <c r="A56" s="254"/>
      <c r="B56" s="259" t="s">
        <v>412</v>
      </c>
      <c r="C56" s="255"/>
      <c r="D56" s="255"/>
      <c r="E56" s="256"/>
      <c r="F56" s="983"/>
      <c r="G56" s="257"/>
      <c r="H56" s="257"/>
      <c r="I56" s="255"/>
      <c r="J56" s="255"/>
      <c r="K56" s="255"/>
      <c r="L56" s="291"/>
    </row>
    <row r="57" spans="1:12" ht="20.100000000000001" customHeight="1">
      <c r="A57" s="292"/>
      <c r="B57" s="248"/>
      <c r="C57" s="809"/>
      <c r="D57" s="269"/>
      <c r="E57" s="248"/>
      <c r="F57" s="979"/>
      <c r="G57" s="265"/>
      <c r="H57" s="265"/>
      <c r="I57" s="265"/>
      <c r="J57" s="270"/>
      <c r="K57" s="265"/>
      <c r="L57" s="288"/>
    </row>
    <row r="58" spans="1:12" s="237" customFormat="1" ht="20.100000000000001" customHeight="1">
      <c r="A58" s="248"/>
      <c r="B58" s="515"/>
      <c r="C58" s="269"/>
      <c r="D58" s="269"/>
      <c r="E58" s="248"/>
      <c r="F58" s="979"/>
      <c r="G58" s="265"/>
      <c r="H58" s="265"/>
      <c r="I58" s="265"/>
      <c r="J58" s="270"/>
      <c r="K58" s="265"/>
      <c r="L58" s="288"/>
    </row>
    <row r="59" spans="1:12" ht="20.100000000000001" customHeight="1">
      <c r="A59" s="239"/>
      <c r="B59" s="240"/>
      <c r="C59" s="810"/>
      <c r="D59" s="240"/>
      <c r="E59" s="378" t="s">
        <v>395</v>
      </c>
      <c r="F59" s="980" t="s">
        <v>398</v>
      </c>
      <c r="G59" s="258">
        <f>+SUM(G57:G58)</f>
        <v>0</v>
      </c>
      <c r="H59" s="258">
        <f>+SUM(H57:H58)</f>
        <v>0</v>
      </c>
      <c r="I59" s="258">
        <f>+SUM(I57:I58)</f>
        <v>0</v>
      </c>
      <c r="J59" s="240"/>
      <c r="K59" s="240"/>
      <c r="L59" s="289"/>
    </row>
    <row r="60" spans="1:12" ht="20.100000000000001" customHeight="1">
      <c r="A60" s="239"/>
      <c r="B60" s="240"/>
      <c r="C60" s="240"/>
      <c r="D60" s="240"/>
      <c r="E60" s="378"/>
      <c r="F60" s="980" t="s">
        <v>399</v>
      </c>
      <c r="G60" s="258">
        <f>+G59*$K$4</f>
        <v>0</v>
      </c>
      <c r="H60" s="258">
        <f>+H59*$K$4</f>
        <v>0</v>
      </c>
      <c r="I60" s="258">
        <f>+I59*$K$4</f>
        <v>0</v>
      </c>
      <c r="J60" s="240"/>
      <c r="K60" s="240"/>
      <c r="L60" s="289"/>
    </row>
    <row r="61" spans="1:12" ht="20.100000000000001" customHeight="1">
      <c r="A61" s="263" t="s">
        <v>414</v>
      </c>
      <c r="B61" s="260"/>
      <c r="C61" s="260"/>
      <c r="D61" s="260"/>
      <c r="E61" s="261"/>
      <c r="F61" s="986"/>
      <c r="G61" s="262"/>
      <c r="H61" s="262"/>
      <c r="I61" s="260"/>
      <c r="J61" s="260"/>
      <c r="K61" s="260"/>
      <c r="L61" s="293"/>
    </row>
    <row r="62" spans="1:12" ht="20.100000000000001" customHeight="1">
      <c r="A62" s="272"/>
      <c r="B62" s="277" t="s">
        <v>415</v>
      </c>
      <c r="C62" s="273"/>
      <c r="D62" s="273"/>
      <c r="E62" s="274"/>
      <c r="F62" s="987"/>
      <c r="G62" s="276"/>
      <c r="H62" s="276"/>
      <c r="I62" s="273"/>
      <c r="J62" s="273"/>
      <c r="K62" s="273"/>
      <c r="L62" s="278"/>
    </row>
    <row r="63" spans="1:12" ht="20.100000000000001" customHeight="1">
      <c r="A63" s="272"/>
      <c r="B63" s="279" t="s">
        <v>416</v>
      </c>
      <c r="C63" s="273"/>
      <c r="D63" s="273"/>
      <c r="E63" s="274"/>
      <c r="F63" s="987"/>
      <c r="G63" s="276"/>
      <c r="H63" s="276"/>
      <c r="I63" s="273"/>
      <c r="J63" s="273"/>
      <c r="K63" s="273"/>
      <c r="L63" s="278"/>
    </row>
    <row r="64" spans="1:12" ht="20.100000000000001" customHeight="1">
      <c r="A64" s="254"/>
      <c r="B64" s="259" t="s">
        <v>488</v>
      </c>
      <c r="C64" s="255"/>
      <c r="D64" s="255"/>
      <c r="E64" s="256"/>
      <c r="F64" s="983"/>
      <c r="G64" s="257"/>
      <c r="H64" s="257"/>
      <c r="I64" s="255"/>
      <c r="J64" s="255"/>
      <c r="K64" s="255"/>
      <c r="L64" s="291"/>
    </row>
    <row r="65" spans="1:12" s="237" customFormat="1" ht="20.100000000000001" customHeight="1">
      <c r="A65" s="250"/>
      <c r="B65" s="375"/>
      <c r="C65" s="269"/>
      <c r="D65" s="269"/>
      <c r="E65" s="248"/>
      <c r="F65" s="979"/>
      <c r="G65" s="265"/>
      <c r="H65" s="265"/>
      <c r="I65" s="265"/>
      <c r="J65" s="270"/>
      <c r="K65" s="265"/>
      <c r="L65" s="288"/>
    </row>
    <row r="66" spans="1:12" s="410" customFormat="1" ht="20.100000000000001" customHeight="1">
      <c r="A66" s="843"/>
      <c r="B66" s="689"/>
      <c r="C66" s="844"/>
      <c r="D66" s="269"/>
      <c r="E66" s="248"/>
      <c r="F66" s="979"/>
      <c r="G66" s="265"/>
      <c r="H66" s="265"/>
      <c r="I66" s="265"/>
      <c r="J66" s="270"/>
      <c r="K66" s="265"/>
      <c r="L66" s="288"/>
    </row>
    <row r="67" spans="1:12" ht="20.100000000000001" customHeight="1">
      <c r="A67" s="254"/>
      <c r="B67" s="246"/>
      <c r="C67" s="255"/>
      <c r="D67" s="255"/>
      <c r="E67" s="378" t="s">
        <v>395</v>
      </c>
      <c r="F67" s="980" t="s">
        <v>398</v>
      </c>
      <c r="G67" s="258">
        <f>+SUM(G65:G66)</f>
        <v>0</v>
      </c>
      <c r="H67" s="258">
        <f>+SUM(H65:H66)</f>
        <v>0</v>
      </c>
      <c r="I67" s="258">
        <f>+SUM(I65:I66)</f>
        <v>0</v>
      </c>
      <c r="J67" s="255"/>
      <c r="K67" s="255"/>
      <c r="L67" s="291"/>
    </row>
    <row r="68" spans="1:12" ht="20.100000000000001" customHeight="1">
      <c r="A68" s="254"/>
      <c r="B68" s="246"/>
      <c r="C68" s="255"/>
      <c r="D68" s="255"/>
      <c r="E68" s="378"/>
      <c r="F68" s="980" t="s">
        <v>399</v>
      </c>
      <c r="G68" s="258">
        <f>+G67*$K$4</f>
        <v>0</v>
      </c>
      <c r="H68" s="258">
        <f>+H67*$K$4</f>
        <v>0</v>
      </c>
      <c r="I68" s="258">
        <f>+I67*$K$4</f>
        <v>0</v>
      </c>
      <c r="J68" s="255"/>
      <c r="K68" s="255"/>
      <c r="L68" s="291"/>
    </row>
    <row r="69" spans="1:12" ht="20.100000000000001" customHeight="1">
      <c r="A69" s="254"/>
      <c r="B69" s="246"/>
      <c r="C69" s="255"/>
      <c r="D69" s="255"/>
      <c r="E69" s="256"/>
      <c r="F69" s="983"/>
      <c r="G69" s="257"/>
      <c r="H69" s="257"/>
      <c r="I69" s="255"/>
      <c r="J69" s="255"/>
      <c r="K69" s="255"/>
      <c r="L69" s="291"/>
    </row>
    <row r="70" spans="1:12" ht="20.100000000000001" customHeight="1">
      <c r="A70" s="254"/>
      <c r="B70" s="259" t="s">
        <v>412</v>
      </c>
      <c r="C70" s="255"/>
      <c r="D70" s="255"/>
      <c r="E70" s="256"/>
      <c r="F70" s="983"/>
      <c r="G70" s="257"/>
      <c r="H70" s="257"/>
      <c r="I70" s="255"/>
      <c r="J70" s="255"/>
      <c r="K70" s="255"/>
      <c r="L70" s="291"/>
    </row>
    <row r="71" spans="1:12" ht="20.100000000000001" customHeight="1">
      <c r="A71" s="287"/>
      <c r="B71" s="690"/>
      <c r="C71" s="269"/>
      <c r="D71" s="269"/>
      <c r="E71" s="248"/>
      <c r="F71" s="979"/>
      <c r="G71" s="265"/>
      <c r="H71" s="265"/>
      <c r="I71" s="265"/>
      <c r="J71" s="270"/>
      <c r="K71" s="265"/>
      <c r="L71" s="288"/>
    </row>
    <row r="72" spans="1:12" s="237" customFormat="1" ht="20.100000000000001" customHeight="1">
      <c r="A72" s="250"/>
      <c r="B72" s="375"/>
      <c r="C72" s="269"/>
      <c r="D72" s="269"/>
      <c r="E72" s="248"/>
      <c r="F72" s="979"/>
      <c r="G72" s="265"/>
      <c r="H72" s="265"/>
      <c r="I72" s="265"/>
      <c r="J72" s="270"/>
      <c r="K72" s="265"/>
      <c r="L72" s="288"/>
    </row>
    <row r="73" spans="1:12" ht="20.100000000000001" customHeight="1">
      <c r="A73" s="239"/>
      <c r="B73" s="240"/>
      <c r="C73" s="240"/>
      <c r="D73" s="240"/>
      <c r="E73" s="378" t="s">
        <v>395</v>
      </c>
      <c r="F73" s="980" t="s">
        <v>398</v>
      </c>
      <c r="G73" s="258">
        <f>+SUM(G71:G72)</f>
        <v>0</v>
      </c>
      <c r="H73" s="258">
        <f>+SUM(H71:H72)</f>
        <v>0</v>
      </c>
      <c r="I73" s="258">
        <f>+SUM(I71:I72)</f>
        <v>0</v>
      </c>
      <c r="J73" s="240"/>
      <c r="K73" s="240"/>
      <c r="L73" s="289"/>
    </row>
    <row r="74" spans="1:12" ht="20.100000000000001" customHeight="1">
      <c r="A74" s="239"/>
      <c r="B74" s="240"/>
      <c r="C74" s="240"/>
      <c r="D74" s="240"/>
      <c r="E74" s="378"/>
      <c r="F74" s="980" t="s">
        <v>399</v>
      </c>
      <c r="G74" s="258">
        <f>+SUM(G71:G73)</f>
        <v>0</v>
      </c>
      <c r="H74" s="258">
        <f>+SUM(H71:H73)</f>
        <v>0</v>
      </c>
      <c r="I74" s="258">
        <f>+SUM(I71:I73)</f>
        <v>0</v>
      </c>
      <c r="J74" s="240"/>
      <c r="K74" s="240"/>
      <c r="L74" s="289"/>
    </row>
    <row r="75" spans="1:12" ht="20.100000000000001" customHeight="1">
      <c r="A75" s="239"/>
      <c r="B75" s="246" t="s">
        <v>417</v>
      </c>
      <c r="C75" s="240"/>
      <c r="D75" s="240"/>
      <c r="E75" s="242"/>
      <c r="F75" s="984"/>
      <c r="G75" s="241"/>
      <c r="H75" s="241"/>
      <c r="I75" s="240"/>
      <c r="J75" s="240"/>
      <c r="K75" s="240"/>
      <c r="L75" s="289"/>
    </row>
    <row r="76" spans="1:12" ht="20.100000000000001" customHeight="1">
      <c r="A76" s="287"/>
      <c r="B76" s="248" t="s">
        <v>718</v>
      </c>
      <c r="C76" s="844" t="str">
        <f>+VLOOKUP(B76,'New Master-List'!$B$1:$AI$4223,31,FALSE)</f>
        <v>Official forest warden</v>
      </c>
      <c r="D76" s="269" t="str">
        <f>+VLOOKUP(B76,'New Master-List'!$B$1:$AI$4223,30,FALSE)</f>
        <v>Housing Loan</v>
      </c>
      <c r="E76" s="269" t="str">
        <f>+VLOOKUP(B76,'New Master-List'!$B$1:$AI$4223,10,FALSE)</f>
        <v>T/L</v>
      </c>
      <c r="F76" s="979">
        <f>+VLOOKUP(B76,'New Master-List'!$B$8:$AG$389,9,FALSE)</f>
        <v>0.11</v>
      </c>
      <c r="G76" s="265">
        <f>+VLOOKUP(B76,'New Master-List'!$B$8:$AG$389,11,FALSE)</f>
        <v>40000</v>
      </c>
      <c r="H76" s="265">
        <f>+VLOOKUP(B76,'New Master-List'!$B$8:$AG$389,12,FALSE)+VLOOKUP(B76,'New Master-List'!$B$8:$AG$389,13,FALSE)++VLOOKUP(B76,'New Master-List'!$B$8:$AG$389,14,FALSE)</f>
        <v>33955.26</v>
      </c>
      <c r="I76" s="265">
        <f>+VLOOKUP(B76,'New Master-List'!$B$8:$AG$389,21,FALSE)</f>
        <v>334.66</v>
      </c>
      <c r="J76" s="270">
        <f>+VLOOKUP(B76,'New Master-List'!$B$8:$AG$389,22,FALSE)</f>
        <v>0.01</v>
      </c>
      <c r="K76" s="265">
        <f>+VLOOKUP(B76,'New Master-List'!$B$8:$AG$389,23,FALSE)</f>
        <v>339.55260000000004</v>
      </c>
      <c r="L76" s="288" t="str">
        <f>+VLOOKUP(B76,'New Master-List'!$B$3:$AI$389,33,FALSE)</f>
        <v>3.3- Mortgages, Owner-Occupied Housing only-HOUSE</v>
      </c>
    </row>
    <row r="77" spans="1:12" ht="20.100000000000001" customHeight="1" thickBot="1">
      <c r="A77" s="1404"/>
      <c r="B77" s="1405" t="s">
        <v>669</v>
      </c>
      <c r="C77" s="844" t="e">
        <f>+VLOOKUP(B77,'New Master-List'!$B$1:$AI$4223,31,FALSE)</f>
        <v>#N/A</v>
      </c>
      <c r="D77" s="269" t="e">
        <f>+VLOOKUP(B77,'New Master-List'!$B$1:$AI$4223,30,FALSE)</f>
        <v>#N/A</v>
      </c>
      <c r="E77" s="269" t="e">
        <f>+VLOOKUP(B77,'New Master-List'!$B$1:$AI$4223,10,FALSE)</f>
        <v>#N/A</v>
      </c>
      <c r="F77" s="979" t="e">
        <f>+VLOOKUP(B77,'New Master-List'!$B$8:$AG$389,9,FALSE)</f>
        <v>#N/A</v>
      </c>
      <c r="G77" s="265" t="e">
        <f>+VLOOKUP(B77,'New Master-List'!$B$8:$AG$389,11,FALSE)</f>
        <v>#N/A</v>
      </c>
      <c r="H77" s="265" t="e">
        <f>+VLOOKUP(B77,'New Master-List'!$B$8:$AG$389,12,FALSE)+VLOOKUP(B77,'New Master-List'!$B$8:$AG$389,13,FALSE)++VLOOKUP(B77,'New Master-List'!$B$8:$AG$389,14,FALSE)</f>
        <v>#N/A</v>
      </c>
      <c r="I77" s="265" t="e">
        <f>+VLOOKUP(B77,'New Master-List'!$B$8:$AG$389,21,FALSE)</f>
        <v>#N/A</v>
      </c>
      <c r="J77" s="270" t="e">
        <f>+VLOOKUP(B77,'New Master-List'!$B$8:$AG$389,22,FALSE)</f>
        <v>#N/A</v>
      </c>
      <c r="K77" s="265" t="e">
        <f>+VLOOKUP(B77,'New Master-List'!$B$8:$AG$389,23,FALSE)</f>
        <v>#N/A</v>
      </c>
      <c r="L77" s="288" t="e">
        <f>+VLOOKUP(B77,'New Master-List'!$B$3:$AI$389,33,FALSE)</f>
        <v>#N/A</v>
      </c>
    </row>
    <row r="78" spans="1:12" ht="20.100000000000001" customHeight="1">
      <c r="A78" s="239"/>
      <c r="B78" s="240"/>
      <c r="C78" s="240"/>
      <c r="D78" s="240"/>
      <c r="E78" s="394" t="s">
        <v>395</v>
      </c>
      <c r="F78" s="992" t="s">
        <v>398</v>
      </c>
      <c r="G78" s="315" t="e">
        <f>+SUM(G76:G77)</f>
        <v>#N/A</v>
      </c>
      <c r="H78" s="315" t="e">
        <f>+SUM(H76:H77)</f>
        <v>#N/A</v>
      </c>
      <c r="I78" s="315" t="e">
        <f>+SUM(I76:I77)</f>
        <v>#N/A</v>
      </c>
      <c r="J78" s="240"/>
      <c r="K78" s="240"/>
      <c r="L78" s="289"/>
    </row>
    <row r="79" spans="1:12" ht="20.100000000000001" customHeight="1">
      <c r="A79" s="254"/>
      <c r="B79" s="255"/>
      <c r="C79" s="255"/>
      <c r="D79" s="255"/>
      <c r="E79" s="378"/>
      <c r="F79" s="980" t="s">
        <v>399</v>
      </c>
      <c r="G79" s="258" t="e">
        <f>+G78*$K$4</f>
        <v>#N/A</v>
      </c>
      <c r="H79" s="258" t="e">
        <f>+H78*$K$4</f>
        <v>#N/A</v>
      </c>
      <c r="I79" s="258" t="e">
        <f>+I78*$K$4</f>
        <v>#N/A</v>
      </c>
      <c r="J79" s="255"/>
      <c r="K79" s="255"/>
      <c r="L79" s="291"/>
    </row>
    <row r="80" spans="1:12" ht="20.100000000000001" customHeight="1">
      <c r="A80" s="280"/>
      <c r="B80" s="1402" t="s">
        <v>418</v>
      </c>
      <c r="C80" s="281"/>
      <c r="D80" s="281"/>
      <c r="E80" s="242"/>
      <c r="F80" s="984"/>
      <c r="G80" s="241"/>
      <c r="H80" s="241"/>
      <c r="I80" s="281"/>
      <c r="J80" s="281"/>
      <c r="K80" s="281"/>
      <c r="L80" s="294"/>
    </row>
    <row r="81" spans="1:12" ht="20.100000000000001" customHeight="1">
      <c r="A81" s="377"/>
      <c r="B81" s="1400" t="s">
        <v>668</v>
      </c>
      <c r="C81" s="844" t="e">
        <f>+VLOOKUP(B81,'New Master-List'!$B$1:$AI$4223,31,FALSE)</f>
        <v>#N/A</v>
      </c>
      <c r="D81" s="269" t="e">
        <f>+VLOOKUP(B81,'New Master-List'!$B$1:$AI$4223,30,FALSE)</f>
        <v>#N/A</v>
      </c>
      <c r="E81" s="269" t="e">
        <f>+VLOOKUP(B81,'New Master-List'!$B$1:$AI$4223,10,FALSE)</f>
        <v>#N/A</v>
      </c>
      <c r="F81" s="979" t="e">
        <f>+VLOOKUP(B81,'New Master-List'!$B$8:$AG$389,9,FALSE)</f>
        <v>#N/A</v>
      </c>
      <c r="G81" s="265" t="e">
        <f>+VLOOKUP(B81,'New Master-List'!$B$8:$AG$389,11,FALSE)</f>
        <v>#N/A</v>
      </c>
      <c r="H81" s="265" t="e">
        <f>+VLOOKUP(B81,'New Master-List'!$B$8:$AG$389,12,FALSE)+VLOOKUP(B81,'New Master-List'!$B$8:$AG$389,13,FALSE)++VLOOKUP(B81,'New Master-List'!$B$8:$AG$389,14,FALSE)</f>
        <v>#N/A</v>
      </c>
      <c r="I81" s="265" t="e">
        <f>+VLOOKUP(B81,'New Master-List'!$B$8:$AG$389,21,FALSE)</f>
        <v>#N/A</v>
      </c>
      <c r="J81" s="270" t="e">
        <f>+VLOOKUP(B81,'New Master-List'!$B$8:$AG$389,22,FALSE)</f>
        <v>#N/A</v>
      </c>
      <c r="K81" s="265" t="e">
        <f>+VLOOKUP(B81,'New Master-List'!$B$8:$AG$389,23,FALSE)</f>
        <v>#N/A</v>
      </c>
      <c r="L81" s="288" t="e">
        <f>+VLOOKUP(B81,'New Master-List'!$B$3:$AI$389,33,FALSE)</f>
        <v>#N/A</v>
      </c>
    </row>
    <row r="82" spans="1:12" ht="20.100000000000001" customHeight="1">
      <c r="A82" s="239"/>
      <c r="B82" s="240"/>
      <c r="C82" s="240"/>
      <c r="D82" s="240"/>
      <c r="E82" s="378" t="s">
        <v>395</v>
      </c>
      <c r="F82" s="980" t="s">
        <v>398</v>
      </c>
      <c r="G82" s="258" t="e">
        <f>+SUM(G81)</f>
        <v>#N/A</v>
      </c>
      <c r="H82" s="258" t="e">
        <f>+SUM(H81)</f>
        <v>#N/A</v>
      </c>
      <c r="I82" s="258" t="e">
        <f>+SUM(I81)</f>
        <v>#N/A</v>
      </c>
      <c r="J82" s="240"/>
      <c r="K82" s="240"/>
      <c r="L82" s="289"/>
    </row>
    <row r="83" spans="1:12" ht="20.100000000000001" customHeight="1">
      <c r="A83" s="254"/>
      <c r="B83" s="255"/>
      <c r="C83" s="255"/>
      <c r="D83" s="255"/>
      <c r="E83" s="378"/>
      <c r="F83" s="980" t="s">
        <v>399</v>
      </c>
      <c r="G83" s="258" t="e">
        <f>+G82*$K$4</f>
        <v>#N/A</v>
      </c>
      <c r="H83" s="258" t="e">
        <f>+H82*$K$4</f>
        <v>#N/A</v>
      </c>
      <c r="I83" s="258" t="e">
        <f>+I82*$K$4</f>
        <v>#N/A</v>
      </c>
      <c r="J83" s="255"/>
      <c r="K83" s="255"/>
      <c r="L83" s="291"/>
    </row>
    <row r="84" spans="1:12" ht="20.100000000000001" customHeight="1">
      <c r="A84" s="272"/>
      <c r="B84" s="277" t="s">
        <v>419</v>
      </c>
      <c r="C84" s="273"/>
      <c r="D84" s="273"/>
      <c r="E84" s="274"/>
      <c r="F84" s="989"/>
      <c r="G84" s="275"/>
      <c r="H84" s="275"/>
      <c r="I84" s="273"/>
      <c r="J84" s="273"/>
      <c r="K84" s="273"/>
      <c r="L84" s="278"/>
    </row>
    <row r="85" spans="1:12" ht="20.100000000000001" customHeight="1">
      <c r="A85" s="287"/>
      <c r="B85" s="248" t="s">
        <v>33</v>
      </c>
      <c r="C85" s="248" t="s">
        <v>33</v>
      </c>
      <c r="D85" s="248" t="s">
        <v>33</v>
      </c>
      <c r="E85" s="248" t="s">
        <v>33</v>
      </c>
      <c r="F85" s="979" t="s">
        <v>33</v>
      </c>
      <c r="G85" s="248" t="s">
        <v>33</v>
      </c>
      <c r="H85" s="248" t="s">
        <v>33</v>
      </c>
      <c r="I85" s="248" t="s">
        <v>33</v>
      </c>
      <c r="J85" s="248" t="s">
        <v>33</v>
      </c>
      <c r="K85" s="248" t="s">
        <v>33</v>
      </c>
      <c r="L85" s="288" t="s">
        <v>33</v>
      </c>
    </row>
    <row r="86" spans="1:12" ht="20.100000000000001" customHeight="1">
      <c r="A86" s="239"/>
      <c r="B86" s="240"/>
      <c r="C86" s="240"/>
      <c r="D86" s="240"/>
      <c r="E86" s="378" t="s">
        <v>395</v>
      </c>
      <c r="F86" s="980" t="s">
        <v>398</v>
      </c>
      <c r="G86" s="258">
        <f>+SUM(G85)</f>
        <v>0</v>
      </c>
      <c r="H86" s="258">
        <f>+SUM(H85)</f>
        <v>0</v>
      </c>
      <c r="I86" s="258">
        <f>+SUM(I85)</f>
        <v>0</v>
      </c>
      <c r="J86" s="240"/>
      <c r="K86" s="240"/>
      <c r="L86" s="289"/>
    </row>
    <row r="87" spans="1:12" ht="20.100000000000001" customHeight="1">
      <c r="A87" s="254"/>
      <c r="B87" s="255"/>
      <c r="C87" s="255"/>
      <c r="D87" s="255"/>
      <c r="E87" s="378"/>
      <c r="F87" s="980" t="s">
        <v>399</v>
      </c>
      <c r="G87" s="258">
        <f>+G86*$K$4</f>
        <v>0</v>
      </c>
      <c r="H87" s="258">
        <f>+H86*$K$4</f>
        <v>0</v>
      </c>
      <c r="I87" s="258">
        <f>+I86*$K$4</f>
        <v>0</v>
      </c>
      <c r="J87" s="255"/>
      <c r="K87" s="255"/>
      <c r="L87" s="291"/>
    </row>
    <row r="88" spans="1:12" ht="20.100000000000001" customHeight="1">
      <c r="A88" s="272"/>
      <c r="B88" s="277" t="s">
        <v>420</v>
      </c>
      <c r="C88" s="273"/>
      <c r="D88" s="273"/>
      <c r="E88" s="274"/>
      <c r="F88" s="989"/>
      <c r="G88" s="275"/>
      <c r="H88" s="275"/>
      <c r="I88" s="273"/>
      <c r="J88" s="273"/>
      <c r="K88" s="273"/>
      <c r="L88" s="278"/>
    </row>
    <row r="89" spans="1:12" ht="20.100000000000001" customHeight="1">
      <c r="A89" s="272"/>
      <c r="B89" s="279" t="s">
        <v>421</v>
      </c>
      <c r="C89" s="273"/>
      <c r="D89" s="273"/>
      <c r="E89" s="274"/>
      <c r="F89" s="989"/>
      <c r="G89" s="275"/>
      <c r="H89" s="275"/>
      <c r="I89" s="273"/>
      <c r="J89" s="273"/>
      <c r="K89" s="273"/>
      <c r="L89" s="278"/>
    </row>
    <row r="90" spans="1:12" ht="20.100000000000001" customHeight="1">
      <c r="A90" s="254"/>
      <c r="B90" s="259" t="s">
        <v>422</v>
      </c>
      <c r="C90" s="255"/>
      <c r="D90" s="255"/>
      <c r="E90" s="256"/>
      <c r="F90" s="985"/>
      <c r="G90" s="271"/>
      <c r="H90" s="271"/>
      <c r="I90" s="255"/>
      <c r="J90" s="255"/>
      <c r="K90" s="255"/>
      <c r="L90" s="291"/>
    </row>
    <row r="91" spans="1:12" ht="20.100000000000001" customHeight="1">
      <c r="A91" s="287"/>
      <c r="B91" s="248" t="s">
        <v>33</v>
      </c>
      <c r="C91" s="248" t="s">
        <v>33</v>
      </c>
      <c r="D91" s="248" t="s">
        <v>33</v>
      </c>
      <c r="E91" s="248" t="s">
        <v>33</v>
      </c>
      <c r="F91" s="979" t="s">
        <v>33</v>
      </c>
      <c r="G91" s="248" t="s">
        <v>33</v>
      </c>
      <c r="H91" s="248" t="s">
        <v>33</v>
      </c>
      <c r="I91" s="248" t="s">
        <v>33</v>
      </c>
      <c r="J91" s="248" t="s">
        <v>33</v>
      </c>
      <c r="K91" s="248" t="s">
        <v>33</v>
      </c>
      <c r="L91" s="288" t="s">
        <v>33</v>
      </c>
    </row>
    <row r="92" spans="1:12" ht="20.100000000000001" customHeight="1">
      <c r="A92" s="239"/>
      <c r="B92" s="240"/>
      <c r="C92" s="240"/>
      <c r="D92" s="240"/>
      <c r="E92" s="378" t="s">
        <v>395</v>
      </c>
      <c r="F92" s="980" t="s">
        <v>398</v>
      </c>
      <c r="G92" s="258">
        <f>+SUM(G91)</f>
        <v>0</v>
      </c>
      <c r="H92" s="258">
        <f>+SUM(H91:H91)</f>
        <v>0</v>
      </c>
      <c r="I92" s="258">
        <f>+SUM(I91:I91)</f>
        <v>0</v>
      </c>
      <c r="J92" s="240"/>
      <c r="K92" s="240"/>
      <c r="L92" s="289"/>
    </row>
    <row r="93" spans="1:12" ht="20.100000000000001" customHeight="1">
      <c r="A93" s="239"/>
      <c r="B93" s="240"/>
      <c r="C93" s="240"/>
      <c r="D93" s="240"/>
      <c r="E93" s="378"/>
      <c r="F93" s="980" t="s">
        <v>399</v>
      </c>
      <c r="G93" s="258">
        <f>+G92*$K$4</f>
        <v>0</v>
      </c>
      <c r="H93" s="258">
        <f>+H92*$K$4</f>
        <v>0</v>
      </c>
      <c r="I93" s="258">
        <f>+I92*$K$4</f>
        <v>0</v>
      </c>
      <c r="J93" s="240"/>
      <c r="K93" s="240"/>
      <c r="L93" s="289"/>
    </row>
    <row r="94" spans="1:12" ht="20.100000000000001" customHeight="1">
      <c r="A94" s="254"/>
      <c r="B94" s="259" t="s">
        <v>412</v>
      </c>
      <c r="C94" s="255"/>
      <c r="D94" s="255"/>
      <c r="E94" s="256"/>
      <c r="F94" s="985"/>
      <c r="G94" s="271"/>
      <c r="H94" s="271"/>
      <c r="I94" s="255"/>
      <c r="J94" s="255"/>
      <c r="K94" s="255"/>
      <c r="L94" s="291"/>
    </row>
    <row r="95" spans="1:12" ht="20.100000000000001" customHeight="1">
      <c r="A95" s="287"/>
      <c r="B95" s="248" t="s">
        <v>33</v>
      </c>
      <c r="C95" s="248" t="s">
        <v>33</v>
      </c>
      <c r="D95" s="248" t="s">
        <v>33</v>
      </c>
      <c r="E95" s="248" t="s">
        <v>33</v>
      </c>
      <c r="F95" s="979" t="s">
        <v>33</v>
      </c>
      <c r="G95" s="248" t="s">
        <v>33</v>
      </c>
      <c r="H95" s="248" t="s">
        <v>33</v>
      </c>
      <c r="I95" s="248" t="s">
        <v>33</v>
      </c>
      <c r="J95" s="248" t="s">
        <v>33</v>
      </c>
      <c r="K95" s="248" t="s">
        <v>33</v>
      </c>
      <c r="L95" s="288" t="s">
        <v>33</v>
      </c>
    </row>
    <row r="96" spans="1:12" ht="20.100000000000001" customHeight="1">
      <c r="A96" s="239"/>
      <c r="B96" s="240"/>
      <c r="C96" s="240"/>
      <c r="D96" s="240"/>
      <c r="E96" s="378" t="s">
        <v>395</v>
      </c>
      <c r="F96" s="980" t="s">
        <v>398</v>
      </c>
      <c r="G96" s="258">
        <f>+SUM(G95)</f>
        <v>0</v>
      </c>
      <c r="H96" s="258">
        <f>+SUM(H95:H95)</f>
        <v>0</v>
      </c>
      <c r="I96" s="258">
        <f>+SUM(I95:I95)</f>
        <v>0</v>
      </c>
      <c r="J96" s="240"/>
      <c r="K96" s="240"/>
      <c r="L96" s="289"/>
    </row>
    <row r="97" spans="1:12" ht="20.100000000000001" customHeight="1">
      <c r="A97" s="239"/>
      <c r="B97" s="240"/>
      <c r="C97" s="240"/>
      <c r="D97" s="240"/>
      <c r="E97" s="378"/>
      <c r="F97" s="980" t="s">
        <v>399</v>
      </c>
      <c r="G97" s="258">
        <f>+G96*$K$4</f>
        <v>0</v>
      </c>
      <c r="H97" s="258">
        <f>+H96*$K$4</f>
        <v>0</v>
      </c>
      <c r="I97" s="258">
        <f>+I96*$K$4</f>
        <v>0</v>
      </c>
      <c r="J97" s="240"/>
      <c r="K97" s="240"/>
      <c r="L97" s="289"/>
    </row>
    <row r="98" spans="1:12" ht="20.100000000000001" customHeight="1">
      <c r="A98" s="266"/>
      <c r="B98" s="279" t="s">
        <v>423</v>
      </c>
      <c r="C98" s="267"/>
      <c r="D98" s="267"/>
      <c r="E98" s="267"/>
      <c r="F98" s="990"/>
      <c r="G98" s="267"/>
      <c r="H98" s="267"/>
      <c r="I98" s="267"/>
      <c r="J98" s="267"/>
      <c r="K98" s="267"/>
      <c r="L98" s="268"/>
    </row>
    <row r="99" spans="1:12" ht="20.100000000000001" customHeight="1">
      <c r="A99" s="295"/>
      <c r="B99" s="259" t="s">
        <v>412</v>
      </c>
      <c r="C99" s="282"/>
      <c r="D99" s="282"/>
      <c r="E99" s="282"/>
      <c r="F99" s="991"/>
      <c r="G99" s="282"/>
      <c r="H99" s="282"/>
      <c r="I99" s="282"/>
      <c r="J99" s="282"/>
      <c r="K99" s="282"/>
      <c r="L99" s="296"/>
    </row>
    <row r="100" spans="1:12" s="237" customFormat="1" ht="20.100000000000001" customHeight="1">
      <c r="A100" s="250"/>
      <c r="B100" s="248"/>
      <c r="C100" s="269"/>
      <c r="D100" s="269"/>
      <c r="E100" s="248"/>
      <c r="F100" s="979"/>
      <c r="G100" s="265"/>
      <c r="H100" s="265"/>
      <c r="I100" s="265"/>
      <c r="J100" s="270"/>
      <c r="K100" s="265"/>
      <c r="L100" s="288"/>
    </row>
    <row r="101" spans="1:12" s="237" customFormat="1" ht="20.100000000000001" customHeight="1">
      <c r="A101" s="250"/>
      <c r="B101" s="842"/>
      <c r="C101" s="269"/>
      <c r="D101" s="269"/>
      <c r="E101" s="248"/>
      <c r="F101" s="979"/>
      <c r="G101" s="265"/>
      <c r="H101" s="265"/>
      <c r="I101" s="265"/>
      <c r="J101" s="270"/>
      <c r="K101" s="265"/>
      <c r="L101" s="288"/>
    </row>
    <row r="102" spans="1:12" ht="20.100000000000001" customHeight="1">
      <c r="A102" s="239"/>
      <c r="B102" s="240"/>
      <c r="C102" s="240"/>
      <c r="D102" s="240"/>
      <c r="E102" s="378" t="s">
        <v>395</v>
      </c>
      <c r="F102" s="980" t="s">
        <v>398</v>
      </c>
      <c r="G102" s="258">
        <f>+SUM(G100:G101)</f>
        <v>0</v>
      </c>
      <c r="H102" s="258">
        <f>+SUM(H100:H101)</f>
        <v>0</v>
      </c>
      <c r="I102" s="258">
        <f>+SUM(I100:I101)</f>
        <v>0</v>
      </c>
      <c r="J102" s="240"/>
      <c r="K102" s="240"/>
      <c r="L102" s="289"/>
    </row>
    <row r="103" spans="1:12" ht="20.100000000000001" customHeight="1">
      <c r="A103" s="254"/>
      <c r="B103" s="255"/>
      <c r="C103" s="255"/>
      <c r="D103" s="255"/>
      <c r="E103" s="378"/>
      <c r="F103" s="980" t="s">
        <v>399</v>
      </c>
      <c r="G103" s="258">
        <f>+SUM(G101:G102)</f>
        <v>0</v>
      </c>
      <c r="H103" s="258">
        <f>+H102*$K$4</f>
        <v>0</v>
      </c>
      <c r="I103" s="258">
        <f>+I102*$K$4</f>
        <v>0</v>
      </c>
      <c r="J103" s="255"/>
      <c r="K103" s="255"/>
      <c r="L103" s="291"/>
    </row>
    <row r="104" spans="1:12" ht="20.100000000000001" customHeight="1">
      <c r="A104" s="266"/>
      <c r="B104" s="279" t="s">
        <v>424</v>
      </c>
      <c r="C104" s="267"/>
      <c r="D104" s="267"/>
      <c r="E104" s="267"/>
      <c r="F104" s="990"/>
      <c r="G104" s="267"/>
      <c r="H104" s="267"/>
      <c r="I104" s="267"/>
      <c r="J104" s="267"/>
      <c r="K104" s="267"/>
      <c r="L104" s="268"/>
    </row>
    <row r="105" spans="1:12" ht="20.100000000000001" customHeight="1">
      <c r="A105" s="295"/>
      <c r="B105" s="259" t="s">
        <v>422</v>
      </c>
      <c r="C105" s="282"/>
      <c r="D105" s="282"/>
      <c r="E105" s="282"/>
      <c r="F105" s="991"/>
      <c r="G105" s="282"/>
      <c r="H105" s="282"/>
      <c r="I105" s="282"/>
      <c r="J105" s="282"/>
      <c r="K105" s="282"/>
      <c r="L105" s="296"/>
    </row>
    <row r="106" spans="1:12" ht="20.100000000000001" customHeight="1">
      <c r="A106" s="316"/>
      <c r="B106" s="317"/>
      <c r="C106" s="269"/>
      <c r="D106" s="269"/>
      <c r="E106" s="248"/>
      <c r="F106" s="979"/>
      <c r="G106" s="265"/>
      <c r="H106" s="265"/>
      <c r="I106" s="265"/>
      <c r="J106" s="270"/>
      <c r="K106" s="265"/>
      <c r="L106" s="288"/>
    </row>
    <row r="107" spans="1:12" s="237" customFormat="1" ht="20.100000000000001" customHeight="1">
      <c r="A107" s="316"/>
      <c r="B107" s="1192"/>
      <c r="C107" s="269"/>
      <c r="D107" s="269"/>
      <c r="E107" s="248"/>
      <c r="F107" s="979"/>
      <c r="G107" s="265"/>
      <c r="H107" s="265"/>
      <c r="I107" s="265"/>
      <c r="J107" s="270"/>
      <c r="K107" s="265"/>
      <c r="L107" s="288"/>
    </row>
    <row r="108" spans="1:12" ht="20.100000000000001" customHeight="1">
      <c r="A108" s="239"/>
      <c r="B108" s="240"/>
      <c r="C108" s="240"/>
      <c r="D108" s="240"/>
      <c r="E108" s="378" t="s">
        <v>395</v>
      </c>
      <c r="F108" s="980" t="s">
        <v>398</v>
      </c>
      <c r="G108" s="258">
        <f>+SUM(G106:G107)</f>
        <v>0</v>
      </c>
      <c r="H108" s="258">
        <f>+SUM(H106:H107)</f>
        <v>0</v>
      </c>
      <c r="I108" s="258">
        <f>+SUM(I106:I107)</f>
        <v>0</v>
      </c>
      <c r="J108" s="240"/>
      <c r="K108" s="240"/>
      <c r="L108" s="289"/>
    </row>
    <row r="109" spans="1:12" ht="20.100000000000001" customHeight="1">
      <c r="A109" s="239"/>
      <c r="B109" s="240"/>
      <c r="C109" s="240"/>
      <c r="D109" s="240"/>
      <c r="E109" s="378"/>
      <c r="F109" s="980" t="s">
        <v>399</v>
      </c>
      <c r="G109" s="258">
        <f>+G108*$K$4</f>
        <v>0</v>
      </c>
      <c r="H109" s="258">
        <f>+H108*$K$4</f>
        <v>0</v>
      </c>
      <c r="I109" s="258">
        <f>+I108*$K$4</f>
        <v>0</v>
      </c>
      <c r="J109" s="240"/>
      <c r="K109" s="240"/>
      <c r="L109" s="289"/>
    </row>
    <row r="110" spans="1:12" ht="20.100000000000001" customHeight="1">
      <c r="A110" s="295"/>
      <c r="B110" s="259" t="s">
        <v>425</v>
      </c>
      <c r="C110" s="282"/>
      <c r="D110" s="282"/>
      <c r="E110" s="282"/>
      <c r="F110" s="991"/>
      <c r="G110" s="282"/>
      <c r="H110" s="282"/>
      <c r="I110" s="282"/>
      <c r="J110" s="282"/>
      <c r="K110" s="282"/>
      <c r="L110" s="296"/>
    </row>
    <row r="111" spans="1:12" s="410" customFormat="1" ht="20.100000000000001" customHeight="1">
      <c r="A111" s="1361"/>
      <c r="B111" s="1362"/>
      <c r="C111" s="1055"/>
      <c r="D111" s="1055"/>
      <c r="E111" s="1056"/>
      <c r="F111" s="1057"/>
      <c r="G111" s="1058"/>
      <c r="H111" s="1058"/>
      <c r="I111" s="1058"/>
      <c r="J111" s="1059"/>
      <c r="K111" s="1058"/>
      <c r="L111" s="1060"/>
    </row>
    <row r="112" spans="1:12" s="237" customFormat="1" ht="20.100000000000001" customHeight="1">
      <c r="A112" s="287"/>
      <c r="B112" s="425"/>
      <c r="C112" s="269"/>
      <c r="D112" s="269"/>
      <c r="E112" s="248"/>
      <c r="F112" s="979"/>
      <c r="G112" s="265"/>
      <c r="H112" s="265"/>
      <c r="I112" s="265"/>
      <c r="J112" s="270"/>
      <c r="K112" s="265"/>
      <c r="L112" s="288"/>
    </row>
    <row r="113" spans="1:12" ht="20.100000000000001" customHeight="1">
      <c r="A113" s="239"/>
      <c r="B113" s="240"/>
      <c r="C113" s="240"/>
      <c r="D113" s="240"/>
      <c r="E113" s="378" t="s">
        <v>395</v>
      </c>
      <c r="F113" s="980" t="s">
        <v>398</v>
      </c>
      <c r="G113" s="258">
        <f>+SUM(G111:G112)</f>
        <v>0</v>
      </c>
      <c r="H113" s="258">
        <f>+SUM(H111:H112)</f>
        <v>0</v>
      </c>
      <c r="I113" s="258">
        <f>+SUM(I111:I112)</f>
        <v>0</v>
      </c>
      <c r="J113" s="240"/>
      <c r="K113" s="240"/>
      <c r="L113" s="289"/>
    </row>
    <row r="114" spans="1:12" ht="20.100000000000001" customHeight="1">
      <c r="A114" s="239"/>
      <c r="B114" s="240"/>
      <c r="C114" s="240"/>
      <c r="D114" s="240"/>
      <c r="E114" s="378"/>
      <c r="F114" s="980" t="s">
        <v>399</v>
      </c>
      <c r="G114" s="258">
        <f>+G113*$K$4</f>
        <v>0</v>
      </c>
      <c r="H114" s="258">
        <f>+H113*$K$4</f>
        <v>0</v>
      </c>
      <c r="I114" s="258">
        <f>+I113*$K$4</f>
        <v>0</v>
      </c>
      <c r="J114" s="240"/>
      <c r="K114" s="240"/>
      <c r="L114" s="289"/>
    </row>
    <row r="115" spans="1:12" ht="20.100000000000001" customHeight="1">
      <c r="A115" s="295"/>
      <c r="B115" s="259" t="s">
        <v>412</v>
      </c>
      <c r="C115" s="282"/>
      <c r="D115" s="282"/>
      <c r="E115" s="282"/>
      <c r="F115" s="991"/>
      <c r="G115" s="282"/>
      <c r="H115" s="282"/>
      <c r="I115" s="282"/>
      <c r="J115" s="282"/>
      <c r="K115" s="282"/>
      <c r="L115" s="296"/>
    </row>
    <row r="116" spans="1:12" s="237" customFormat="1" ht="20.100000000000001" customHeight="1">
      <c r="A116" s="287"/>
      <c r="B116" s="248"/>
      <c r="C116" s="269"/>
      <c r="D116" s="269"/>
      <c r="E116" s="248"/>
      <c r="F116" s="979"/>
      <c r="G116" s="265"/>
      <c r="H116" s="265"/>
      <c r="I116" s="265"/>
      <c r="J116" s="270"/>
      <c r="K116" s="265"/>
      <c r="L116" s="288"/>
    </row>
    <row r="117" spans="1:12" s="237" customFormat="1" ht="20.100000000000001" customHeight="1">
      <c r="A117" s="250"/>
      <c r="B117" s="248"/>
      <c r="C117" s="269"/>
      <c r="D117" s="269"/>
      <c r="E117" s="248"/>
      <c r="F117" s="979"/>
      <c r="G117" s="265"/>
      <c r="H117" s="265"/>
      <c r="I117" s="265"/>
      <c r="J117" s="270"/>
      <c r="K117" s="265"/>
      <c r="L117" s="288"/>
    </row>
    <row r="118" spans="1:12" ht="20.100000000000001" customHeight="1">
      <c r="A118" s="239"/>
      <c r="B118" s="240"/>
      <c r="C118" s="240"/>
      <c r="D118" s="240"/>
      <c r="E118" s="378" t="s">
        <v>395</v>
      </c>
      <c r="F118" s="980" t="s">
        <v>398</v>
      </c>
      <c r="G118" s="258">
        <f>+SUM(G116:G117)</f>
        <v>0</v>
      </c>
      <c r="H118" s="258">
        <f>+SUM(H116:H117)</f>
        <v>0</v>
      </c>
      <c r="I118" s="258">
        <f>+SUM(I116:I117)</f>
        <v>0</v>
      </c>
      <c r="J118" s="240"/>
      <c r="K118" s="240"/>
      <c r="L118" s="289"/>
    </row>
    <row r="119" spans="1:12" ht="20.100000000000001" customHeight="1">
      <c r="A119" s="239"/>
      <c r="B119" s="240"/>
      <c r="C119" s="240"/>
      <c r="D119" s="240"/>
      <c r="E119" s="378"/>
      <c r="F119" s="980" t="s">
        <v>399</v>
      </c>
      <c r="G119" s="258">
        <f>+G118*$K$4</f>
        <v>0</v>
      </c>
      <c r="H119" s="258">
        <f>+H118*$K$4</f>
        <v>0</v>
      </c>
      <c r="I119" s="258">
        <f>+I118*$K$4</f>
        <v>0</v>
      </c>
      <c r="J119" s="313"/>
      <c r="K119" s="240"/>
      <c r="L119" s="289"/>
    </row>
    <row r="120" spans="1:12" ht="20.100000000000001" customHeight="1">
      <c r="A120" s="266"/>
      <c r="B120" s="279" t="s">
        <v>426</v>
      </c>
      <c r="C120" s="267"/>
      <c r="D120" s="267"/>
      <c r="E120" s="267"/>
      <c r="F120" s="990"/>
      <c r="G120" s="267"/>
      <c r="H120" s="267"/>
      <c r="I120" s="267"/>
      <c r="J120" s="314"/>
      <c r="K120" s="267"/>
      <c r="L120" s="268"/>
    </row>
    <row r="121" spans="1:12" ht="20.100000000000001" customHeight="1">
      <c r="A121" s="295"/>
      <c r="B121" s="259" t="s">
        <v>412</v>
      </c>
      <c r="C121" s="282"/>
      <c r="D121" s="282"/>
      <c r="E121" s="282"/>
      <c r="F121" s="991"/>
      <c r="G121" s="282"/>
      <c r="H121" s="282"/>
      <c r="I121" s="282"/>
      <c r="J121" s="282"/>
      <c r="K121" s="282"/>
      <c r="L121" s="296"/>
    </row>
    <row r="122" spans="1:12" s="237" customFormat="1" ht="20.100000000000001" customHeight="1">
      <c r="A122" s="287"/>
      <c r="B122" s="248"/>
      <c r="C122" s="269"/>
      <c r="D122" s="269"/>
      <c r="E122" s="248"/>
      <c r="F122" s="979"/>
      <c r="G122" s="265"/>
      <c r="H122" s="265"/>
      <c r="I122" s="265"/>
      <c r="J122" s="270"/>
      <c r="K122" s="265"/>
      <c r="L122" s="288"/>
    </row>
    <row r="123" spans="1:12" s="237" customFormat="1" ht="20.100000000000001" customHeight="1">
      <c r="A123" s="377"/>
      <c r="B123" s="690"/>
      <c r="C123" s="269"/>
      <c r="D123" s="269"/>
      <c r="E123" s="248"/>
      <c r="F123" s="979"/>
      <c r="G123" s="265"/>
      <c r="H123" s="265"/>
      <c r="I123" s="265"/>
      <c r="J123" s="270"/>
      <c r="K123" s="265"/>
      <c r="L123" s="288"/>
    </row>
    <row r="124" spans="1:12" ht="20.100000000000001" customHeight="1">
      <c r="A124" s="239"/>
      <c r="B124" s="240"/>
      <c r="C124" s="240"/>
      <c r="D124" s="240"/>
      <c r="E124" s="378" t="s">
        <v>395</v>
      </c>
      <c r="F124" s="980" t="s">
        <v>398</v>
      </c>
      <c r="G124" s="258">
        <f>+SUM(G122:G123)</f>
        <v>0</v>
      </c>
      <c r="H124" s="258">
        <f>+SUM(H122:H123)</f>
        <v>0</v>
      </c>
      <c r="I124" s="258">
        <f>+SUM(I122:I123)</f>
        <v>0</v>
      </c>
      <c r="J124" s="240"/>
      <c r="K124" s="240"/>
      <c r="L124" s="289"/>
    </row>
    <row r="125" spans="1:12" ht="20.100000000000001" customHeight="1">
      <c r="A125" s="239"/>
      <c r="B125" s="240"/>
      <c r="C125" s="240"/>
      <c r="D125" s="240"/>
      <c r="E125" s="378"/>
      <c r="F125" s="980" t="s">
        <v>399</v>
      </c>
      <c r="G125" s="258">
        <f>+G124*$K$4</f>
        <v>0</v>
      </c>
      <c r="H125" s="258">
        <f>+H124*$K$4</f>
        <v>0</v>
      </c>
      <c r="I125" s="258">
        <f>+I124*$K$4</f>
        <v>0</v>
      </c>
      <c r="J125" s="240"/>
      <c r="K125" s="240"/>
      <c r="L125" s="289"/>
    </row>
    <row r="126" spans="1:12" ht="20.100000000000001" customHeight="1">
      <c r="A126" s="295"/>
      <c r="B126" s="259" t="s">
        <v>422</v>
      </c>
      <c r="C126" s="282"/>
      <c r="D126" s="282"/>
      <c r="E126" s="282"/>
      <c r="F126" s="991"/>
      <c r="G126" s="282"/>
      <c r="H126" s="282"/>
      <c r="I126" s="282"/>
      <c r="J126" s="282"/>
      <c r="K126" s="282"/>
      <c r="L126" s="296"/>
    </row>
    <row r="127" spans="1:12" ht="20.100000000000001" customHeight="1">
      <c r="A127" s="287"/>
      <c r="B127" s="248" t="s">
        <v>33</v>
      </c>
      <c r="C127" s="269" t="s">
        <v>33</v>
      </c>
      <c r="D127" s="269" t="s">
        <v>33</v>
      </c>
      <c r="E127" s="248" t="s">
        <v>33</v>
      </c>
      <c r="F127" s="979" t="s">
        <v>33</v>
      </c>
      <c r="G127" s="265" t="s">
        <v>33</v>
      </c>
      <c r="H127" s="265" t="s">
        <v>33</v>
      </c>
      <c r="I127" s="265" t="s">
        <v>33</v>
      </c>
      <c r="J127" s="270" t="s">
        <v>33</v>
      </c>
      <c r="K127" s="265" t="s">
        <v>33</v>
      </c>
      <c r="L127" s="288" t="s">
        <v>33</v>
      </c>
    </row>
    <row r="128" spans="1:12" ht="20.100000000000001" customHeight="1">
      <c r="A128" s="239"/>
      <c r="B128" s="240"/>
      <c r="C128" s="240"/>
      <c r="D128" s="240"/>
      <c r="E128" s="378" t="s">
        <v>395</v>
      </c>
      <c r="F128" s="980" t="s">
        <v>398</v>
      </c>
      <c r="G128" s="258">
        <f>+SUM(G127)</f>
        <v>0</v>
      </c>
      <c r="H128" s="258">
        <f>+SUM(H127:H127)</f>
        <v>0</v>
      </c>
      <c r="I128" s="258">
        <f>+SUM(I127:I127)</f>
        <v>0</v>
      </c>
      <c r="J128" s="240"/>
      <c r="K128" s="240"/>
      <c r="L128" s="289"/>
    </row>
    <row r="129" spans="1:12" ht="20.100000000000001" customHeight="1">
      <c r="A129" s="239"/>
      <c r="B129" s="240"/>
      <c r="C129" s="240"/>
      <c r="D129" s="240"/>
      <c r="E129" s="378"/>
      <c r="F129" s="980" t="s">
        <v>399</v>
      </c>
      <c r="G129" s="258">
        <f>+G128*$K$4</f>
        <v>0</v>
      </c>
      <c r="H129" s="258">
        <f>+H128*$K$4</f>
        <v>0</v>
      </c>
      <c r="I129" s="258">
        <f>+I128*$K$4</f>
        <v>0</v>
      </c>
      <c r="J129" s="240"/>
      <c r="K129" s="240"/>
      <c r="L129" s="289"/>
    </row>
    <row r="130" spans="1:12" ht="20.100000000000001" customHeight="1">
      <c r="A130" s="266"/>
      <c r="B130" s="267"/>
      <c r="C130" s="267"/>
      <c r="D130" s="267"/>
      <c r="E130" s="267"/>
      <c r="F130" s="990"/>
      <c r="G130" s="267"/>
      <c r="H130" s="267"/>
      <c r="I130" s="267"/>
      <c r="J130" s="267"/>
      <c r="K130" s="267"/>
      <c r="L130" s="268"/>
    </row>
    <row r="131" spans="1:12" ht="20.100000000000001" customHeight="1">
      <c r="A131" s="266"/>
      <c r="B131" s="279" t="s">
        <v>427</v>
      </c>
      <c r="C131" s="267"/>
      <c r="D131" s="267"/>
      <c r="E131" s="267"/>
      <c r="F131" s="990"/>
      <c r="G131" s="267"/>
      <c r="H131" s="267"/>
      <c r="I131" s="267"/>
      <c r="J131" s="267"/>
      <c r="K131" s="267"/>
      <c r="L131" s="268"/>
    </row>
    <row r="132" spans="1:12" ht="20.100000000000001" customHeight="1">
      <c r="A132" s="295"/>
      <c r="B132" s="259" t="s">
        <v>412</v>
      </c>
      <c r="C132" s="282"/>
      <c r="D132" s="282"/>
      <c r="E132" s="282"/>
      <c r="F132" s="991"/>
      <c r="G132" s="282"/>
      <c r="H132" s="282"/>
      <c r="I132" s="282"/>
      <c r="J132" s="282"/>
      <c r="K132" s="282"/>
      <c r="L132" s="296"/>
    </row>
    <row r="133" spans="1:12" s="237" customFormat="1" ht="20.100000000000001" customHeight="1">
      <c r="A133" s="287"/>
      <c r="B133" s="248" t="s">
        <v>747</v>
      </c>
      <c r="C133" s="269" t="e">
        <f>+VLOOKUP(B133,'New Master-List'!$B$1:$AI$4223,31,FALSE)</f>
        <v>#N/A</v>
      </c>
      <c r="D133" s="269" t="e">
        <f>+VLOOKUP(B133,'New Master-List'!$B$1:$AI$4223,30,FALSE)</f>
        <v>#N/A</v>
      </c>
      <c r="E133" s="269" t="e">
        <f>+VLOOKUP(B133,'New Master-List'!$B$1:$AI$4223,10,FALSE)</f>
        <v>#N/A</v>
      </c>
      <c r="F133" s="979" t="e">
        <f>+VLOOKUP(B133,'New Master-List'!$B$8:$AG$389,9,FALSE)</f>
        <v>#N/A</v>
      </c>
      <c r="G133" s="265" t="e">
        <f>+VLOOKUP(B133,'New Master-List'!$B$8:$AG$389,11,FALSE)</f>
        <v>#N/A</v>
      </c>
      <c r="H133" s="265" t="e">
        <f>+VLOOKUP(B133,'New Master-List'!$B$8:$AG$389,12,FALSE)+VLOOKUP(B133,'New Master-List'!$B$8:$AG$389,13,FALSE)++VLOOKUP(B133,'New Master-List'!$B$8:$AG$389,14,FALSE)</f>
        <v>#N/A</v>
      </c>
      <c r="I133" s="265" t="e">
        <f>+VLOOKUP(B133,'New Master-List'!$B$8:$AG$389,21,FALSE)</f>
        <v>#N/A</v>
      </c>
      <c r="J133" s="270" t="e">
        <f>+VLOOKUP(B133,'New Master-List'!$B$8:$AG$389,22,FALSE)</f>
        <v>#N/A</v>
      </c>
      <c r="K133" s="265" t="e">
        <f>+VLOOKUP(B133,'New Master-List'!$B$8:$AG$389,23,FALSE)</f>
        <v>#N/A</v>
      </c>
      <c r="L133" s="288" t="e">
        <f>+VLOOKUP(B133,'New Master-List'!$B$3:$AI$389,33,FALSE)</f>
        <v>#N/A</v>
      </c>
    </row>
    <row r="134" spans="1:12" ht="20.100000000000001" customHeight="1">
      <c r="A134" s="239"/>
      <c r="B134" s="240"/>
      <c r="C134" s="240"/>
      <c r="D134" s="240"/>
      <c r="E134" s="378" t="s">
        <v>395</v>
      </c>
      <c r="F134" s="980" t="s">
        <v>398</v>
      </c>
      <c r="G134" s="258" t="e">
        <f>+SUM(G133:G133)</f>
        <v>#N/A</v>
      </c>
      <c r="H134" s="258" t="e">
        <f>+SUM(H133:H133)</f>
        <v>#N/A</v>
      </c>
      <c r="I134" s="258" t="e">
        <f>+SUM(I133:I133)</f>
        <v>#N/A</v>
      </c>
      <c r="J134" s="240"/>
      <c r="K134" s="240"/>
      <c r="L134" s="289"/>
    </row>
    <row r="135" spans="1:12" ht="20.100000000000001" customHeight="1">
      <c r="A135" s="254"/>
      <c r="B135" s="255"/>
      <c r="C135" s="255"/>
      <c r="D135" s="255"/>
      <c r="E135" s="378"/>
      <c r="F135" s="980" t="s">
        <v>399</v>
      </c>
      <c r="G135" s="258" t="e">
        <f>+G134*$K$4</f>
        <v>#N/A</v>
      </c>
      <c r="H135" s="258" t="e">
        <f>+H134*$K$4</f>
        <v>#N/A</v>
      </c>
      <c r="I135" s="258" t="e">
        <f>+I134*$K$4</f>
        <v>#N/A</v>
      </c>
      <c r="J135" s="255"/>
      <c r="K135" s="255"/>
      <c r="L135" s="291"/>
    </row>
    <row r="136" spans="1:12" ht="20.100000000000001" customHeight="1">
      <c r="A136" s="266"/>
      <c r="B136" s="279" t="s">
        <v>428</v>
      </c>
      <c r="C136" s="267"/>
      <c r="D136" s="267"/>
      <c r="E136" s="267"/>
      <c r="F136" s="990"/>
      <c r="G136" s="267"/>
      <c r="H136" s="267"/>
      <c r="I136" s="267"/>
      <c r="J136" s="267"/>
      <c r="K136" s="267"/>
      <c r="L136" s="268"/>
    </row>
    <row r="137" spans="1:12" ht="20.100000000000001" customHeight="1">
      <c r="A137" s="295"/>
      <c r="B137" s="259" t="s">
        <v>422</v>
      </c>
      <c r="C137" s="282"/>
      <c r="D137" s="282"/>
      <c r="E137" s="282"/>
      <c r="F137" s="991"/>
      <c r="G137" s="282"/>
      <c r="H137" s="282"/>
      <c r="I137" s="282"/>
      <c r="J137" s="282"/>
      <c r="K137" s="282"/>
      <c r="L137" s="296"/>
    </row>
    <row r="138" spans="1:12" s="237" customFormat="1" ht="20.100000000000001" customHeight="1">
      <c r="A138" s="287"/>
      <c r="B138" s="248"/>
      <c r="C138" s="269"/>
      <c r="D138" s="269"/>
      <c r="E138" s="248"/>
      <c r="F138" s="979"/>
      <c r="G138" s="265"/>
      <c r="H138" s="265"/>
      <c r="I138" s="265"/>
      <c r="J138" s="270"/>
      <c r="K138" s="265"/>
      <c r="L138" s="288"/>
    </row>
    <row r="139" spans="1:12" ht="20.100000000000001" customHeight="1">
      <c r="A139" s="239"/>
      <c r="B139" s="240"/>
      <c r="C139" s="240"/>
      <c r="D139" s="240"/>
      <c r="E139" s="378" t="s">
        <v>395</v>
      </c>
      <c r="F139" s="980" t="s">
        <v>398</v>
      </c>
      <c r="G139" s="258">
        <f>+SUM(G138)</f>
        <v>0</v>
      </c>
      <c r="H139" s="258">
        <f>+SUM(H138:H138)</f>
        <v>0</v>
      </c>
      <c r="I139" s="258">
        <f>+SUM(I138)</f>
        <v>0</v>
      </c>
      <c r="J139" s="240"/>
      <c r="K139" s="240"/>
      <c r="L139" s="289"/>
    </row>
    <row r="140" spans="1:12" ht="20.100000000000001" customHeight="1">
      <c r="A140" s="254"/>
      <c r="B140" s="255"/>
      <c r="C140" s="255"/>
      <c r="D140" s="255"/>
      <c r="E140" s="378"/>
      <c r="F140" s="980" t="s">
        <v>399</v>
      </c>
      <c r="G140" s="258">
        <f>+G139*$K$4</f>
        <v>0</v>
      </c>
      <c r="H140" s="258">
        <f>+H139*$K$4</f>
        <v>0</v>
      </c>
      <c r="I140" s="258">
        <f>+I139*$K$4</f>
        <v>0</v>
      </c>
      <c r="J140" s="255"/>
      <c r="K140" s="255"/>
      <c r="L140" s="291"/>
    </row>
    <row r="141" spans="1:12" ht="20.100000000000001" customHeight="1">
      <c r="A141" s="295"/>
      <c r="B141" s="259" t="s">
        <v>412</v>
      </c>
      <c r="C141" s="282"/>
      <c r="D141" s="282"/>
      <c r="E141" s="282"/>
      <c r="F141" s="991"/>
      <c r="G141" s="282"/>
      <c r="H141" s="282"/>
      <c r="I141" s="282"/>
      <c r="J141" s="282"/>
      <c r="K141" s="1051"/>
      <c r="L141" s="296"/>
    </row>
    <row r="142" spans="1:12" s="237" customFormat="1" ht="20.100000000000001" customHeight="1">
      <c r="A142" s="287"/>
      <c r="B142" s="248"/>
      <c r="C142" s="269"/>
      <c r="D142" s="269"/>
      <c r="E142" s="248"/>
      <c r="F142" s="979"/>
      <c r="G142" s="265"/>
      <c r="H142" s="265"/>
      <c r="I142" s="265"/>
      <c r="J142" s="270"/>
      <c r="K142" s="811"/>
      <c r="L142" s="288"/>
    </row>
    <row r="143" spans="1:12" s="237" customFormat="1" ht="20.100000000000001" customHeight="1">
      <c r="A143" s="287"/>
      <c r="B143" s="248"/>
      <c r="C143" s="269"/>
      <c r="D143" s="269"/>
      <c r="E143" s="248"/>
      <c r="F143" s="979"/>
      <c r="G143" s="265"/>
      <c r="H143" s="265"/>
      <c r="I143" s="265"/>
      <c r="J143" s="270"/>
      <c r="K143" s="265"/>
      <c r="L143" s="288"/>
    </row>
    <row r="144" spans="1:12" ht="20.100000000000001" customHeight="1">
      <c r="A144" s="239"/>
      <c r="B144" s="240"/>
      <c r="C144" s="240"/>
      <c r="D144" s="240"/>
      <c r="E144" s="378" t="s">
        <v>395</v>
      </c>
      <c r="F144" s="980" t="s">
        <v>398</v>
      </c>
      <c r="G144" s="258">
        <f>+SUM(G142:G143)</f>
        <v>0</v>
      </c>
      <c r="H144" s="258">
        <f>+SUM(H142:H143)</f>
        <v>0</v>
      </c>
      <c r="I144" s="258">
        <f>+SUM(I142:I143)</f>
        <v>0</v>
      </c>
      <c r="J144" s="240"/>
      <c r="K144" s="240"/>
      <c r="L144" s="289"/>
    </row>
    <row r="145" spans="1:12" ht="20.100000000000001" customHeight="1">
      <c r="A145" s="254"/>
      <c r="B145" s="255"/>
      <c r="C145" s="255"/>
      <c r="D145" s="255"/>
      <c r="E145" s="378"/>
      <c r="F145" s="980" t="s">
        <v>399</v>
      </c>
      <c r="G145" s="258">
        <f>+G144*$K$4</f>
        <v>0</v>
      </c>
      <c r="H145" s="258">
        <f>+H144*$K$4</f>
        <v>0</v>
      </c>
      <c r="I145" s="258">
        <f>+I144*$K$4</f>
        <v>0</v>
      </c>
      <c r="J145" s="255"/>
      <c r="K145" s="255"/>
      <c r="L145" s="291"/>
    </row>
    <row r="146" spans="1:12" ht="20.100000000000001" customHeight="1">
      <c r="A146" s="266"/>
      <c r="B146" s="279" t="s">
        <v>429</v>
      </c>
      <c r="C146" s="267"/>
      <c r="D146" s="267"/>
      <c r="E146" s="267"/>
      <c r="F146" s="990"/>
      <c r="G146" s="267"/>
      <c r="H146" s="267"/>
      <c r="I146" s="267"/>
      <c r="J146" s="267"/>
      <c r="K146" s="267"/>
      <c r="L146" s="268"/>
    </row>
    <row r="147" spans="1:12" ht="20.100000000000001" customHeight="1">
      <c r="A147" s="287"/>
      <c r="B147" s="248" t="s">
        <v>33</v>
      </c>
      <c r="C147" s="248" t="s">
        <v>33</v>
      </c>
      <c r="D147" s="248" t="s">
        <v>33</v>
      </c>
      <c r="E147" s="248" t="s">
        <v>33</v>
      </c>
      <c r="F147" s="979" t="s">
        <v>33</v>
      </c>
      <c r="G147" s="248" t="s">
        <v>33</v>
      </c>
      <c r="H147" s="248" t="s">
        <v>33</v>
      </c>
      <c r="I147" s="248" t="s">
        <v>33</v>
      </c>
      <c r="J147" s="248" t="s">
        <v>33</v>
      </c>
      <c r="K147" s="248" t="s">
        <v>33</v>
      </c>
      <c r="L147" s="288" t="s">
        <v>33</v>
      </c>
    </row>
    <row r="148" spans="1:12" ht="20.100000000000001" customHeight="1">
      <c r="A148" s="239"/>
      <c r="B148" s="240"/>
      <c r="C148" s="240"/>
      <c r="D148" s="240"/>
      <c r="E148" s="378" t="s">
        <v>395</v>
      </c>
      <c r="F148" s="980" t="s">
        <v>398</v>
      </c>
      <c r="G148" s="258">
        <f>+SUM(G147)</f>
        <v>0</v>
      </c>
      <c r="H148" s="258">
        <f>+SUM(H147)</f>
        <v>0</v>
      </c>
      <c r="I148" s="258">
        <f>+SUM(I147)</f>
        <v>0</v>
      </c>
      <c r="J148" s="240"/>
      <c r="K148" s="240"/>
      <c r="L148" s="289"/>
    </row>
    <row r="149" spans="1:12" ht="20.100000000000001" customHeight="1">
      <c r="A149" s="254"/>
      <c r="B149" s="255"/>
      <c r="C149" s="255"/>
      <c r="D149" s="255"/>
      <c r="E149" s="378"/>
      <c r="F149" s="980" t="s">
        <v>399</v>
      </c>
      <c r="G149" s="258">
        <f>+G148*$K$4</f>
        <v>0</v>
      </c>
      <c r="H149" s="258">
        <f>+H148*$K$4</f>
        <v>0</v>
      </c>
      <c r="I149" s="258">
        <f>+I148*$K$4</f>
        <v>0</v>
      </c>
      <c r="J149" s="255"/>
      <c r="K149" s="255"/>
      <c r="L149" s="291"/>
    </row>
    <row r="150" spans="1:12" ht="20.100000000000001" customHeight="1">
      <c r="A150" s="266"/>
      <c r="B150" s="279" t="s">
        <v>430</v>
      </c>
      <c r="C150" s="267"/>
      <c r="D150" s="267"/>
      <c r="E150" s="267"/>
      <c r="F150" s="990"/>
      <c r="G150" s="267"/>
      <c r="H150" s="267"/>
      <c r="I150" s="267"/>
      <c r="J150" s="267"/>
      <c r="K150" s="267"/>
      <c r="L150" s="268"/>
    </row>
    <row r="151" spans="1:12" ht="20.100000000000001" customHeight="1">
      <c r="A151" s="287"/>
      <c r="B151" s="248" t="s">
        <v>33</v>
      </c>
      <c r="C151" s="248" t="s">
        <v>33</v>
      </c>
      <c r="D151" s="248" t="s">
        <v>33</v>
      </c>
      <c r="E151" s="248" t="s">
        <v>33</v>
      </c>
      <c r="F151" s="979" t="s">
        <v>33</v>
      </c>
      <c r="G151" s="248" t="s">
        <v>33</v>
      </c>
      <c r="H151" s="248" t="s">
        <v>33</v>
      </c>
      <c r="I151" s="248" t="s">
        <v>33</v>
      </c>
      <c r="J151" s="248" t="s">
        <v>33</v>
      </c>
      <c r="K151" s="248" t="s">
        <v>33</v>
      </c>
      <c r="L151" s="288" t="s">
        <v>33</v>
      </c>
    </row>
    <row r="152" spans="1:12" ht="20.100000000000001" customHeight="1">
      <c r="A152" s="239"/>
      <c r="B152" s="240"/>
      <c r="C152" s="240"/>
      <c r="D152" s="240"/>
      <c r="E152" s="378" t="s">
        <v>395</v>
      </c>
      <c r="F152" s="980" t="s">
        <v>398</v>
      </c>
      <c r="G152" s="258">
        <f>+SUM(G151)</f>
        <v>0</v>
      </c>
      <c r="H152" s="258">
        <f>+SUM(H151)</f>
        <v>0</v>
      </c>
      <c r="I152" s="258">
        <f>+SUM(I151)</f>
        <v>0</v>
      </c>
      <c r="J152" s="240"/>
      <c r="K152" s="240"/>
      <c r="L152" s="289"/>
    </row>
    <row r="153" spans="1:12" ht="20.100000000000001" customHeight="1">
      <c r="A153" s="254"/>
      <c r="B153" s="255"/>
      <c r="C153" s="255"/>
      <c r="D153" s="255"/>
      <c r="E153" s="378"/>
      <c r="F153" s="980" t="s">
        <v>399</v>
      </c>
      <c r="G153" s="258">
        <f>+G152*$K$4</f>
        <v>0</v>
      </c>
      <c r="H153" s="258">
        <f>+H152*$K$4</f>
        <v>0</v>
      </c>
      <c r="I153" s="258">
        <f>+I152*$K$4</f>
        <v>0</v>
      </c>
      <c r="J153" s="255"/>
      <c r="K153" s="255"/>
      <c r="L153" s="291"/>
    </row>
    <row r="154" spans="1:12" ht="20.100000000000001" customHeight="1">
      <c r="A154" s="266"/>
      <c r="B154" s="279" t="s">
        <v>431</v>
      </c>
      <c r="C154" s="267"/>
      <c r="D154" s="267"/>
      <c r="E154" s="267"/>
      <c r="F154" s="990"/>
      <c r="G154" s="267"/>
      <c r="H154" s="267"/>
      <c r="I154" s="267"/>
      <c r="J154" s="267"/>
      <c r="K154" s="267"/>
      <c r="L154" s="268"/>
    </row>
    <row r="155" spans="1:12" ht="20.100000000000001" customHeight="1">
      <c r="A155" s="295"/>
      <c r="B155" s="259" t="s">
        <v>412</v>
      </c>
      <c r="C155" s="282"/>
      <c r="D155" s="282"/>
      <c r="E155" s="282"/>
      <c r="F155" s="991"/>
      <c r="G155" s="282"/>
      <c r="H155" s="282"/>
      <c r="I155" s="282"/>
      <c r="J155" s="282"/>
      <c r="K155" s="282"/>
      <c r="L155" s="296"/>
    </row>
    <row r="156" spans="1:12" s="237" customFormat="1" ht="20.100000000000001" customHeight="1">
      <c r="A156" s="1040"/>
      <c r="B156" s="515" t="s">
        <v>617</v>
      </c>
      <c r="C156" s="269" t="e">
        <f>+VLOOKUP(B156,'New Master-List'!$B$1:$AI$4223,31,FALSE)</f>
        <v>#N/A</v>
      </c>
      <c r="D156" s="269" t="e">
        <f>+VLOOKUP(B156,'New Master-List'!$B$1:$AI$4223,30,FALSE)</f>
        <v>#N/A</v>
      </c>
      <c r="E156" s="269" t="e">
        <f>+VLOOKUP(B156,'New Master-List'!$B$1:$AI$4223,10,FALSE)</f>
        <v>#N/A</v>
      </c>
      <c r="F156" s="979" t="e">
        <f>+VLOOKUP(B156,'New Master-List'!$B$8:$AG$389,9,FALSE)</f>
        <v>#N/A</v>
      </c>
      <c r="G156" s="265" t="e">
        <f>+VLOOKUP(B156,'New Master-List'!$B$8:$AG$389,11,FALSE)</f>
        <v>#N/A</v>
      </c>
      <c r="H156" s="265" t="e">
        <f>+VLOOKUP(B156,'New Master-List'!$B$8:$AG$389,12,FALSE)+VLOOKUP(B156,'New Master-List'!$B$8:$AG$389,13,FALSE)++VLOOKUP(B156,'New Master-List'!$B$8:$AG$389,14,FALSE)</f>
        <v>#N/A</v>
      </c>
      <c r="I156" s="265" t="e">
        <f>+VLOOKUP(B156,'New Master-List'!$B$8:$AG$389,21,FALSE)</f>
        <v>#N/A</v>
      </c>
      <c r="J156" s="270" t="e">
        <f>+VLOOKUP(B156,'New Master-List'!$B$8:$AG$389,22,FALSE)</f>
        <v>#N/A</v>
      </c>
      <c r="K156" s="265" t="e">
        <f>+VLOOKUP(B156,'New Master-List'!$B$8:$AG$389,23,FALSE)</f>
        <v>#N/A</v>
      </c>
      <c r="L156" s="288" t="e">
        <f>+VLOOKUP(B156,'New Master-List'!$B$3:$AI$389,33,FALSE)</f>
        <v>#N/A</v>
      </c>
    </row>
    <row r="157" spans="1:12" ht="20.100000000000001" customHeight="1">
      <c r="A157" s="239"/>
      <c r="B157" s="240"/>
      <c r="C157" s="240"/>
      <c r="D157" s="240"/>
      <c r="E157" s="378" t="s">
        <v>395</v>
      </c>
      <c r="F157" s="980" t="s">
        <v>398</v>
      </c>
      <c r="G157" s="258" t="e">
        <f>+SUM(G156:G156)</f>
        <v>#N/A</v>
      </c>
      <c r="H157" s="258" t="e">
        <f>+SUM(H156:H156)</f>
        <v>#N/A</v>
      </c>
      <c r="I157" s="258" t="e">
        <f>+SUM(I156:I156)</f>
        <v>#N/A</v>
      </c>
      <c r="J157" s="240"/>
      <c r="K157" s="240"/>
      <c r="L157" s="289"/>
    </row>
    <row r="158" spans="1:12" ht="20.100000000000001" customHeight="1">
      <c r="A158" s="239"/>
      <c r="B158" s="240"/>
      <c r="C158" s="240"/>
      <c r="D158" s="240"/>
      <c r="E158" s="378"/>
      <c r="F158" s="980" t="s">
        <v>399</v>
      </c>
      <c r="G158" s="258" t="e">
        <f>+G157*$K$4</f>
        <v>#N/A</v>
      </c>
      <c r="H158" s="258" t="e">
        <f>+H157*$K$4</f>
        <v>#N/A</v>
      </c>
      <c r="I158" s="258" t="e">
        <f>+I157*$K$4</f>
        <v>#N/A</v>
      </c>
      <c r="J158" s="240"/>
      <c r="K158" s="240"/>
      <c r="L158" s="289"/>
    </row>
    <row r="159" spans="1:12" ht="20.100000000000001" customHeight="1">
      <c r="A159" s="254"/>
      <c r="B159" s="255"/>
      <c r="C159" s="255"/>
      <c r="D159" s="255"/>
      <c r="E159" s="256"/>
      <c r="F159" s="985"/>
      <c r="G159" s="271"/>
      <c r="H159" s="271"/>
      <c r="I159" s="271"/>
      <c r="J159" s="255"/>
      <c r="K159" s="255"/>
      <c r="L159" s="291"/>
    </row>
    <row r="160" spans="1:12" ht="20.100000000000001" customHeight="1">
      <c r="A160" s="266"/>
      <c r="B160" s="279" t="s">
        <v>432</v>
      </c>
      <c r="C160" s="267"/>
      <c r="D160" s="267"/>
      <c r="E160" s="267"/>
      <c r="F160" s="990"/>
      <c r="G160" s="267"/>
      <c r="H160" s="267"/>
      <c r="I160" s="267"/>
      <c r="J160" s="267"/>
      <c r="K160" s="267"/>
      <c r="L160" s="268"/>
    </row>
    <row r="161" spans="1:12" ht="20.100000000000001" customHeight="1">
      <c r="A161" s="287"/>
      <c r="B161" s="248" t="s">
        <v>33</v>
      </c>
      <c r="C161" s="248" t="s">
        <v>33</v>
      </c>
      <c r="D161" s="248" t="s">
        <v>33</v>
      </c>
      <c r="E161" s="248" t="s">
        <v>33</v>
      </c>
      <c r="F161" s="979" t="s">
        <v>33</v>
      </c>
      <c r="G161" s="248" t="s">
        <v>33</v>
      </c>
      <c r="H161" s="248" t="s">
        <v>33</v>
      </c>
      <c r="I161" s="248" t="s">
        <v>33</v>
      </c>
      <c r="J161" s="248" t="s">
        <v>33</v>
      </c>
      <c r="K161" s="248" t="s">
        <v>33</v>
      </c>
      <c r="L161" s="288" t="s">
        <v>33</v>
      </c>
    </row>
    <row r="162" spans="1:12" ht="20.100000000000001" customHeight="1">
      <c r="A162" s="239"/>
      <c r="B162" s="240"/>
      <c r="C162" s="240"/>
      <c r="D162" s="240"/>
      <c r="E162" s="378" t="s">
        <v>395</v>
      </c>
      <c r="F162" s="980" t="s">
        <v>398</v>
      </c>
      <c r="G162" s="258">
        <f>+SUM(G161)</f>
        <v>0</v>
      </c>
      <c r="H162" s="258">
        <f>+SUM(H161)</f>
        <v>0</v>
      </c>
      <c r="I162" s="258">
        <f>+SUM(I161)</f>
        <v>0</v>
      </c>
      <c r="J162" s="240"/>
      <c r="K162" s="240"/>
      <c r="L162" s="289"/>
    </row>
    <row r="163" spans="1:12" ht="20.100000000000001" customHeight="1">
      <c r="A163" s="254"/>
      <c r="B163" s="255"/>
      <c r="C163" s="255"/>
      <c r="D163" s="255"/>
      <c r="E163" s="378"/>
      <c r="F163" s="980" t="s">
        <v>399</v>
      </c>
      <c r="G163" s="258">
        <f>+G162*$K$4</f>
        <v>0</v>
      </c>
      <c r="H163" s="258">
        <f>+H162*$K$4</f>
        <v>0</v>
      </c>
      <c r="I163" s="258">
        <f>+I162*$K$4</f>
        <v>0</v>
      </c>
      <c r="J163" s="255"/>
      <c r="K163" s="255"/>
      <c r="L163" s="291"/>
    </row>
    <row r="164" spans="1:12" ht="20.100000000000001" customHeight="1">
      <c r="A164" s="266"/>
      <c r="B164" s="279" t="s">
        <v>433</v>
      </c>
      <c r="C164" s="267"/>
      <c r="D164" s="267"/>
      <c r="E164" s="267"/>
      <c r="F164" s="990"/>
      <c r="G164" s="267"/>
      <c r="H164" s="267"/>
      <c r="I164" s="267"/>
      <c r="J164" s="267"/>
      <c r="K164" s="267"/>
      <c r="L164" s="268"/>
    </row>
    <row r="165" spans="1:12" ht="20.100000000000001" customHeight="1">
      <c r="A165" s="295"/>
      <c r="B165" s="259" t="s">
        <v>422</v>
      </c>
      <c r="C165" s="282"/>
      <c r="D165" s="282"/>
      <c r="E165" s="282"/>
      <c r="F165" s="991"/>
      <c r="G165" s="282"/>
      <c r="H165" s="282"/>
      <c r="I165" s="282"/>
      <c r="J165" s="282"/>
      <c r="K165" s="282"/>
      <c r="L165" s="296"/>
    </row>
    <row r="166" spans="1:12" ht="20.100000000000001" customHeight="1">
      <c r="A166" s="287">
        <v>1</v>
      </c>
      <c r="B166" s="1354" t="s">
        <v>746</v>
      </c>
      <c r="C166" s="269" t="e">
        <f>+VLOOKUP(B166,'New Master-List'!$B$1:$AI$4223,31,FALSE)</f>
        <v>#N/A</v>
      </c>
      <c r="D166" s="269" t="e">
        <f>+VLOOKUP(B166,'New Master-List'!$B$1:$AI$4223,30,FALSE)</f>
        <v>#N/A</v>
      </c>
      <c r="E166" s="269" t="e">
        <f>+VLOOKUP(B166,'New Master-List'!$B$1:$AI$4223,10,FALSE)</f>
        <v>#N/A</v>
      </c>
      <c r="F166" s="979" t="e">
        <f>+VLOOKUP(B166,'New Master-List'!$B$8:$AG$389,9,FALSE)</f>
        <v>#N/A</v>
      </c>
      <c r="G166" s="265" t="e">
        <f>+VLOOKUP(B166,'New Master-List'!$B$8:$AG$389,11,FALSE)</f>
        <v>#N/A</v>
      </c>
      <c r="H166" s="265" t="e">
        <f>+VLOOKUP(B166,'New Master-List'!$B$8:$AG$389,12,FALSE)+VLOOKUP(B166,'New Master-List'!$B$8:$AG$389,13,FALSE)++VLOOKUP(B166,'New Master-List'!$B$8:$AG$389,14,FALSE)</f>
        <v>#N/A</v>
      </c>
      <c r="I166" s="265" t="e">
        <f>+VLOOKUP(B166,'New Master-List'!$B$8:$AG$389,21,FALSE)</f>
        <v>#N/A</v>
      </c>
      <c r="J166" s="270" t="e">
        <f>+VLOOKUP(B166,'New Master-List'!$B$8:$AG$389,22,FALSE)</f>
        <v>#N/A</v>
      </c>
      <c r="K166" s="265" t="e">
        <f>+VLOOKUP(B166,'New Master-List'!$B$8:$AG$389,23,FALSE)</f>
        <v>#N/A</v>
      </c>
      <c r="L166" s="288" t="e">
        <f>+VLOOKUP(B166,'New Master-List'!$B$3:$AI$389,33,FALSE)</f>
        <v>#N/A</v>
      </c>
    </row>
    <row r="167" spans="1:12" ht="20.100000000000001" customHeight="1">
      <c r="A167" s="239"/>
      <c r="B167" s="240"/>
      <c r="C167" s="240"/>
      <c r="D167" s="240"/>
      <c r="E167" s="378" t="s">
        <v>395</v>
      </c>
      <c r="F167" s="980" t="s">
        <v>398</v>
      </c>
      <c r="G167" s="258" t="e">
        <f>+SUM(G166)</f>
        <v>#N/A</v>
      </c>
      <c r="H167" s="258" t="e">
        <f>+SUM(H166:H166)</f>
        <v>#N/A</v>
      </c>
      <c r="I167" s="258" t="e">
        <f>+SUM(I166:I166)</f>
        <v>#N/A</v>
      </c>
      <c r="J167" s="240"/>
      <c r="K167" s="240"/>
      <c r="L167" s="289"/>
    </row>
    <row r="168" spans="1:12" ht="20.100000000000001" customHeight="1">
      <c r="A168" s="239"/>
      <c r="B168" s="240"/>
      <c r="C168" s="240"/>
      <c r="D168" s="240"/>
      <c r="E168" s="378"/>
      <c r="F168" s="980" t="s">
        <v>399</v>
      </c>
      <c r="G168" s="258" t="e">
        <f>+G167*$K$4</f>
        <v>#N/A</v>
      </c>
      <c r="H168" s="258" t="e">
        <f>+H167*$K$4</f>
        <v>#N/A</v>
      </c>
      <c r="I168" s="258">
        <v>0</v>
      </c>
      <c r="J168" s="240"/>
      <c r="K168" s="240"/>
      <c r="L168" s="289"/>
    </row>
    <row r="169" spans="1:12" ht="20.100000000000001" customHeight="1">
      <c r="A169" s="295"/>
      <c r="B169" s="259" t="s">
        <v>425</v>
      </c>
      <c r="C169" s="282"/>
      <c r="D169" s="282"/>
      <c r="E169" s="282"/>
      <c r="F169" s="991"/>
      <c r="G169" s="282"/>
      <c r="H169" s="282"/>
      <c r="I169" s="282"/>
      <c r="J169" s="282"/>
      <c r="K169" s="282"/>
      <c r="L169" s="296"/>
    </row>
    <row r="170" spans="1:12" s="237" customFormat="1" ht="20.100000000000001" customHeight="1">
      <c r="A170" s="287"/>
      <c r="B170" s="248"/>
      <c r="C170" s="269"/>
      <c r="D170" s="269"/>
      <c r="E170" s="248"/>
      <c r="F170" s="979"/>
      <c r="G170" s="265"/>
      <c r="H170" s="265"/>
      <c r="I170" s="265"/>
      <c r="J170" s="270"/>
      <c r="K170" s="265"/>
      <c r="L170" s="288"/>
    </row>
    <row r="171" spans="1:12" ht="20.100000000000001" customHeight="1">
      <c r="A171" s="239"/>
      <c r="B171" s="240"/>
      <c r="C171" s="240"/>
      <c r="D171" s="240"/>
      <c r="E171" s="378" t="s">
        <v>395</v>
      </c>
      <c r="F171" s="980" t="s">
        <v>398</v>
      </c>
      <c r="G171" s="258">
        <f>+SUM(G170)</f>
        <v>0</v>
      </c>
      <c r="H171" s="258">
        <f>+SUM(H170:H170)</f>
        <v>0</v>
      </c>
      <c r="I171" s="258">
        <f>+SUM(I170:I170)</f>
        <v>0</v>
      </c>
      <c r="J171" s="240"/>
      <c r="K171" s="240"/>
      <c r="L171" s="289"/>
    </row>
    <row r="172" spans="1:12" ht="20.100000000000001" customHeight="1">
      <c r="A172" s="239"/>
      <c r="B172" s="240"/>
      <c r="C172" s="240"/>
      <c r="D172" s="240"/>
      <c r="E172" s="378"/>
      <c r="F172" s="980" t="s">
        <v>399</v>
      </c>
      <c r="G172" s="258">
        <f>+G171*$K$4</f>
        <v>0</v>
      </c>
      <c r="H172" s="258">
        <f>+H171*$K$4</f>
        <v>0</v>
      </c>
      <c r="I172" s="258">
        <f>+I171*$K$4</f>
        <v>0</v>
      </c>
      <c r="J172" s="240"/>
      <c r="K172" s="240"/>
      <c r="L172" s="289"/>
    </row>
    <row r="173" spans="1:12" ht="20.100000000000001" customHeight="1">
      <c r="A173" s="239"/>
      <c r="B173" s="240"/>
      <c r="C173" s="240"/>
      <c r="D173" s="240"/>
      <c r="E173" s="256"/>
      <c r="F173" s="985"/>
      <c r="G173" s="271"/>
      <c r="H173" s="271"/>
      <c r="I173" s="271"/>
      <c r="J173" s="240"/>
      <c r="K173" s="240"/>
      <c r="L173" s="289"/>
    </row>
    <row r="174" spans="1:12" ht="20.100000000000001" customHeight="1">
      <c r="A174" s="295"/>
      <c r="B174" s="259" t="s">
        <v>412</v>
      </c>
      <c r="C174" s="282"/>
      <c r="D174" s="282"/>
      <c r="E174" s="282"/>
      <c r="F174" s="991"/>
      <c r="G174" s="282"/>
      <c r="H174" s="282"/>
      <c r="I174" s="282"/>
      <c r="J174" s="282"/>
      <c r="K174" s="282"/>
      <c r="L174" s="296"/>
    </row>
    <row r="175" spans="1:12" s="237" customFormat="1" ht="20.100000000000001" customHeight="1">
      <c r="A175" s="287"/>
      <c r="B175" s="248"/>
      <c r="C175" s="269"/>
      <c r="D175" s="269"/>
      <c r="E175" s="248"/>
      <c r="F175" s="979"/>
      <c r="G175" s="265"/>
      <c r="H175" s="265"/>
      <c r="I175" s="265"/>
      <c r="J175" s="270"/>
      <c r="K175" s="265"/>
      <c r="L175" s="288"/>
    </row>
    <row r="176" spans="1:12" ht="20.100000000000001" customHeight="1">
      <c r="A176" s="239"/>
      <c r="B176" s="240"/>
      <c r="C176" s="240"/>
      <c r="D176" s="240"/>
      <c r="E176" s="378" t="s">
        <v>395</v>
      </c>
      <c r="F176" s="980" t="s">
        <v>398</v>
      </c>
      <c r="G176" s="258">
        <f>+SUM(G175)</f>
        <v>0</v>
      </c>
      <c r="H176" s="258">
        <f>+SUM(H175)</f>
        <v>0</v>
      </c>
      <c r="I176" s="258">
        <f>+SUM(I175)</f>
        <v>0</v>
      </c>
      <c r="J176" s="240"/>
      <c r="K176" s="240"/>
      <c r="L176" s="289"/>
    </row>
    <row r="177" spans="1:12" ht="20.100000000000001" customHeight="1">
      <c r="A177" s="239"/>
      <c r="B177" s="240"/>
      <c r="C177" s="240"/>
      <c r="D177" s="240"/>
      <c r="E177" s="378"/>
      <c r="F177" s="980" t="s">
        <v>399</v>
      </c>
      <c r="G177" s="258">
        <f>+G176*$K$4</f>
        <v>0</v>
      </c>
      <c r="H177" s="258">
        <f>+H176*$K$4</f>
        <v>0</v>
      </c>
      <c r="I177" s="258">
        <f>+I176*$K$4</f>
        <v>0</v>
      </c>
      <c r="J177" s="240"/>
      <c r="K177" s="240"/>
      <c r="L177" s="289"/>
    </row>
    <row r="178" spans="1:12" ht="20.100000000000001" customHeight="1">
      <c r="A178" s="272"/>
      <c r="B178" s="277" t="s">
        <v>434</v>
      </c>
      <c r="C178" s="273"/>
      <c r="D178" s="273"/>
      <c r="E178" s="274"/>
      <c r="F178" s="989"/>
      <c r="G178" s="275"/>
      <c r="H178" s="275"/>
      <c r="I178" s="273"/>
      <c r="J178" s="273"/>
      <c r="K178" s="273"/>
      <c r="L178" s="278"/>
    </row>
    <row r="179" spans="1:12" ht="20.100000000000001" customHeight="1">
      <c r="A179" s="272"/>
      <c r="B179" s="279" t="s">
        <v>435</v>
      </c>
      <c r="C179" s="273"/>
      <c r="D179" s="273"/>
      <c r="E179" s="274"/>
      <c r="F179" s="989"/>
      <c r="G179" s="275"/>
      <c r="H179" s="275"/>
      <c r="I179" s="273"/>
      <c r="J179" s="273"/>
      <c r="K179" s="273"/>
      <c r="L179" s="278"/>
    </row>
    <row r="180" spans="1:12" ht="20.100000000000001" customHeight="1">
      <c r="A180" s="254"/>
      <c r="B180" s="259" t="s">
        <v>412</v>
      </c>
      <c r="C180" s="255"/>
      <c r="D180" s="255"/>
      <c r="E180" s="256"/>
      <c r="F180" s="985"/>
      <c r="G180" s="271"/>
      <c r="H180" s="271"/>
      <c r="I180" s="255"/>
      <c r="J180" s="255"/>
      <c r="K180" s="255"/>
      <c r="L180" s="291"/>
    </row>
    <row r="181" spans="1:12">
      <c r="A181" s="287"/>
      <c r="B181" s="1400" t="s">
        <v>739</v>
      </c>
      <c r="C181" s="269" t="str">
        <f>+VLOOKUP(B181,'New Master-List'!$B$1:$AI$4223,31,FALSE)</f>
        <v>Repair all Kinds of Electronic Devices</v>
      </c>
      <c r="D181" s="269" t="str">
        <f>+VLOOKUP(B181,'New Master-List'!$B$1:$AI$4223,30,FALSE)</f>
        <v>Buy Car</v>
      </c>
      <c r="E181" s="269" t="str">
        <f>+VLOOKUP(B181,'New Master-List'!$B$1:$AI$4223,10,FALSE)</f>
        <v>T/L</v>
      </c>
      <c r="F181" s="979">
        <f>+VLOOKUP(B181,'New Master-List'!$B$8:$AG$389,9,FALSE)</f>
        <v>0.11</v>
      </c>
      <c r="G181" s="265">
        <f>+VLOOKUP(B181,'New Master-List'!$B$8:$AG$389,11,FALSE)</f>
        <v>40000</v>
      </c>
      <c r="H181" s="265">
        <f>+VLOOKUP(B181,'New Master-List'!$B$8:$AG$389,12,FALSE)+VLOOKUP(B181,'New Master-List'!$B$8:$AG$389,13,FALSE)++VLOOKUP(B181,'New Master-List'!$B$8:$AG$389,14,FALSE)</f>
        <v>26999.31</v>
      </c>
      <c r="I181" s="265">
        <f>+VLOOKUP(B181,'New Master-List'!$B$8:$AG$389,21,FALSE)</f>
        <v>265.60000000000002</v>
      </c>
      <c r="J181" s="270">
        <f>+VLOOKUP(B181,'New Master-List'!$B$8:$AG$389,22,FALSE)</f>
        <v>0.01</v>
      </c>
      <c r="K181" s="265">
        <f>+VLOOKUP(B181,'New Master-List'!$B$8:$AG$389,23,FALSE)</f>
        <v>269.99310000000003</v>
      </c>
      <c r="L181" s="288" t="str">
        <f>+VLOOKUP(B181,'New Master-List'!$B$3:$AI$389,33,FALSE)</f>
        <v>3.1.1- Secured, excluded Mortgages to purchase owner-occupied housing-HOUSE</v>
      </c>
    </row>
    <row r="182" spans="1:12" s="1353" customFormat="1" ht="15.75">
      <c r="A182" s="1040"/>
      <c r="B182" s="248"/>
      <c r="C182" s="248"/>
      <c r="D182" s="248"/>
      <c r="E182" s="248"/>
      <c r="F182" s="979"/>
      <c r="G182" s="265"/>
      <c r="H182" s="265"/>
      <c r="I182" s="265"/>
      <c r="J182" s="270"/>
      <c r="K182" s="265"/>
      <c r="L182" s="288"/>
    </row>
    <row r="183" spans="1:12" ht="20.100000000000001" customHeight="1">
      <c r="A183" s="239"/>
      <c r="B183" s="240"/>
      <c r="C183" s="240"/>
      <c r="D183" s="240"/>
      <c r="E183" s="394" t="s">
        <v>395</v>
      </c>
      <c r="F183" s="992" t="s">
        <v>398</v>
      </c>
      <c r="G183" s="315">
        <f>+SUM(G181:G182)</f>
        <v>40000</v>
      </c>
      <c r="H183" s="315">
        <f>+SUM(H181:H182)</f>
        <v>26999.31</v>
      </c>
      <c r="I183" s="315">
        <f>+SUM(I181:I182)</f>
        <v>265.60000000000002</v>
      </c>
      <c r="J183" s="240"/>
      <c r="K183" s="240"/>
      <c r="L183" s="289"/>
    </row>
    <row r="184" spans="1:12" ht="20.100000000000001" customHeight="1">
      <c r="A184" s="239"/>
      <c r="B184" s="240"/>
      <c r="C184" s="240"/>
      <c r="D184" s="240"/>
      <c r="E184" s="378"/>
      <c r="F184" s="980" t="s">
        <v>399</v>
      </c>
      <c r="G184" s="258">
        <f>+G183*$K$4</f>
        <v>161200000</v>
      </c>
      <c r="H184" s="258">
        <f>+H183*$K$4</f>
        <v>108807219.30000001</v>
      </c>
      <c r="I184" s="258">
        <f>+I183*$K$4</f>
        <v>1070368</v>
      </c>
      <c r="J184" s="240"/>
      <c r="K184" s="240"/>
      <c r="L184" s="289"/>
    </row>
    <row r="185" spans="1:12" ht="20.100000000000001" customHeight="1">
      <c r="A185" s="254"/>
      <c r="B185" s="255"/>
      <c r="C185" s="255"/>
      <c r="D185" s="255"/>
      <c r="E185" s="256"/>
      <c r="F185" s="985"/>
      <c r="G185" s="271"/>
      <c r="H185" s="271"/>
      <c r="I185" s="271"/>
      <c r="J185" s="255"/>
      <c r="K185" s="255"/>
      <c r="L185" s="291"/>
    </row>
    <row r="186" spans="1:12" ht="20.100000000000001" customHeight="1">
      <c r="A186" s="266"/>
      <c r="B186" s="279" t="s">
        <v>436</v>
      </c>
      <c r="C186" s="267"/>
      <c r="D186" s="267"/>
      <c r="E186" s="267"/>
      <c r="F186" s="990"/>
      <c r="G186" s="267"/>
      <c r="H186" s="267"/>
      <c r="I186" s="267"/>
      <c r="J186" s="267"/>
      <c r="K186" s="267"/>
      <c r="L186" s="268"/>
    </row>
    <row r="187" spans="1:12" ht="20.100000000000001" customHeight="1">
      <c r="A187" s="295"/>
      <c r="B187" s="246" t="s">
        <v>412</v>
      </c>
      <c r="C187" s="282"/>
      <c r="D187" s="282"/>
      <c r="E187" s="282"/>
      <c r="F187" s="991"/>
      <c r="G187" s="282"/>
      <c r="H187" s="282"/>
      <c r="I187" s="282"/>
      <c r="J187" s="282"/>
      <c r="K187" s="282"/>
      <c r="L187" s="296"/>
    </row>
    <row r="188" spans="1:12" s="237" customFormat="1" ht="22.5" customHeight="1">
      <c r="A188" s="287"/>
      <c r="B188" s="248"/>
      <c r="C188" s="809"/>
      <c r="D188" s="809"/>
      <c r="E188" s="248"/>
      <c r="F188" s="979"/>
      <c r="G188" s="265"/>
      <c r="H188" s="265"/>
      <c r="I188" s="265"/>
      <c r="J188" s="813"/>
      <c r="K188" s="814"/>
      <c r="L188" s="812"/>
    </row>
    <row r="189" spans="1:12" s="237" customFormat="1" ht="22.5" customHeight="1">
      <c r="A189" s="287"/>
      <c r="B189" s="248"/>
      <c r="C189" s="809"/>
      <c r="D189" s="809"/>
      <c r="E189" s="248"/>
      <c r="F189" s="979"/>
      <c r="G189" s="265"/>
      <c r="H189" s="265"/>
      <c r="I189" s="265"/>
      <c r="J189" s="813"/>
      <c r="K189" s="814"/>
      <c r="L189" s="812"/>
    </row>
    <row r="190" spans="1:12" ht="20.100000000000001" customHeight="1">
      <c r="A190" s="239"/>
      <c r="B190" s="240"/>
      <c r="C190" s="240"/>
      <c r="D190" s="240"/>
      <c r="E190" s="378" t="s">
        <v>395</v>
      </c>
      <c r="F190" s="980" t="s">
        <v>398</v>
      </c>
      <c r="G190" s="258">
        <f>+SUM(G188:G189)</f>
        <v>0</v>
      </c>
      <c r="H190" s="258">
        <f>+SUM(H188:H189)</f>
        <v>0</v>
      </c>
      <c r="I190" s="258">
        <f>+SUM(I188:I189)</f>
        <v>0</v>
      </c>
      <c r="J190" s="240"/>
      <c r="K190" s="240"/>
      <c r="L190" s="289"/>
    </row>
    <row r="191" spans="1:12" ht="20.100000000000001" customHeight="1">
      <c r="A191" s="254"/>
      <c r="B191" s="255"/>
      <c r="C191" s="255"/>
      <c r="D191" s="255"/>
      <c r="E191" s="378"/>
      <c r="F191" s="980" t="s">
        <v>399</v>
      </c>
      <c r="G191" s="258">
        <f>+G190*$K$4</f>
        <v>0</v>
      </c>
      <c r="H191" s="258">
        <f>+H190*$K$4</f>
        <v>0</v>
      </c>
      <c r="I191" s="258">
        <f>+I190*$K$4</f>
        <v>0</v>
      </c>
      <c r="J191" s="255"/>
      <c r="K191" s="255"/>
      <c r="L191" s="291"/>
    </row>
    <row r="192" spans="1:12" ht="20.100000000000001" customHeight="1">
      <c r="A192" s="266"/>
      <c r="B192" s="279" t="s">
        <v>437</v>
      </c>
      <c r="C192" s="267"/>
      <c r="D192" s="267"/>
      <c r="E192" s="267"/>
      <c r="F192" s="990"/>
      <c r="G192" s="267"/>
      <c r="H192" s="267"/>
      <c r="I192" s="267"/>
      <c r="J192" s="267"/>
      <c r="K192" s="267"/>
      <c r="L192" s="268"/>
    </row>
    <row r="193" spans="1:12" ht="20.100000000000001" customHeight="1">
      <c r="A193" s="287"/>
      <c r="B193" s="248" t="s">
        <v>33</v>
      </c>
      <c r="C193" s="248" t="s">
        <v>33</v>
      </c>
      <c r="D193" s="248" t="s">
        <v>33</v>
      </c>
      <c r="E193" s="248" t="s">
        <v>33</v>
      </c>
      <c r="F193" s="979" t="s">
        <v>33</v>
      </c>
      <c r="G193" s="248" t="s">
        <v>33</v>
      </c>
      <c r="H193" s="248" t="s">
        <v>33</v>
      </c>
      <c r="I193" s="248" t="s">
        <v>33</v>
      </c>
      <c r="J193" s="248" t="s">
        <v>33</v>
      </c>
      <c r="K193" s="248" t="s">
        <v>33</v>
      </c>
      <c r="L193" s="288" t="s">
        <v>33</v>
      </c>
    </row>
    <row r="194" spans="1:12" ht="20.100000000000001" customHeight="1">
      <c r="A194" s="239"/>
      <c r="B194" s="240"/>
      <c r="C194" s="240"/>
      <c r="D194" s="240"/>
      <c r="E194" s="378" t="s">
        <v>395</v>
      </c>
      <c r="F194" s="980" t="s">
        <v>398</v>
      </c>
      <c r="G194" s="258">
        <f>+SUM(G193)</f>
        <v>0</v>
      </c>
      <c r="H194" s="258">
        <f>+SUM(H193)</f>
        <v>0</v>
      </c>
      <c r="I194" s="258">
        <f>+SUM(I193)</f>
        <v>0</v>
      </c>
      <c r="J194" s="240"/>
      <c r="K194" s="240"/>
      <c r="L194" s="289"/>
    </row>
    <row r="195" spans="1:12" ht="20.100000000000001" customHeight="1">
      <c r="A195" s="254"/>
      <c r="B195" s="255"/>
      <c r="C195" s="255"/>
      <c r="D195" s="255"/>
      <c r="E195" s="378"/>
      <c r="F195" s="980" t="s">
        <v>399</v>
      </c>
      <c r="G195" s="258">
        <f>+G194*$K$4</f>
        <v>0</v>
      </c>
      <c r="H195" s="258">
        <f>+H194*$K$4</f>
        <v>0</v>
      </c>
      <c r="I195" s="258">
        <f>+I194*$K$4</f>
        <v>0</v>
      </c>
      <c r="J195" s="255"/>
      <c r="K195" s="255"/>
      <c r="L195" s="291"/>
    </row>
    <row r="196" spans="1:12" ht="20.100000000000001" customHeight="1">
      <c r="A196" s="266"/>
      <c r="B196" s="279" t="s">
        <v>438</v>
      </c>
      <c r="C196" s="267"/>
      <c r="D196" s="267"/>
      <c r="E196" s="267"/>
      <c r="F196" s="990"/>
      <c r="G196" s="267"/>
      <c r="H196" s="267"/>
      <c r="I196" s="267"/>
      <c r="J196" s="267"/>
      <c r="K196" s="267"/>
      <c r="L196" s="268"/>
    </row>
    <row r="197" spans="1:12" ht="20.100000000000001" customHeight="1">
      <c r="A197" s="295"/>
      <c r="B197" s="246" t="s">
        <v>412</v>
      </c>
      <c r="C197" s="282"/>
      <c r="D197" s="282"/>
      <c r="E197" s="282"/>
      <c r="F197" s="991"/>
      <c r="G197" s="282"/>
      <c r="H197" s="282"/>
      <c r="I197" s="282"/>
      <c r="J197" s="282"/>
      <c r="K197" s="282"/>
      <c r="L197" s="296"/>
    </row>
    <row r="198" spans="1:12" s="237" customFormat="1">
      <c r="A198" s="287"/>
      <c r="B198" s="248" t="s">
        <v>33</v>
      </c>
      <c r="C198" s="269" t="s">
        <v>33</v>
      </c>
      <c r="D198" s="269" t="s">
        <v>33</v>
      </c>
      <c r="E198" s="248" t="s">
        <v>33</v>
      </c>
      <c r="F198" s="979" t="s">
        <v>33</v>
      </c>
      <c r="G198" s="265" t="s">
        <v>33</v>
      </c>
      <c r="H198" s="265" t="s">
        <v>33</v>
      </c>
      <c r="I198" s="265" t="s">
        <v>33</v>
      </c>
      <c r="J198" s="270" t="s">
        <v>33</v>
      </c>
      <c r="K198" s="265" t="s">
        <v>33</v>
      </c>
      <c r="L198" s="288" t="s">
        <v>33</v>
      </c>
    </row>
    <row r="199" spans="1:12" ht="20.100000000000001" customHeight="1">
      <c r="A199" s="239"/>
      <c r="B199" s="240"/>
      <c r="C199" s="240"/>
      <c r="D199" s="240"/>
      <c r="E199" s="378" t="s">
        <v>395</v>
      </c>
      <c r="F199" s="980" t="s">
        <v>398</v>
      </c>
      <c r="G199" s="258">
        <f>+SUM(G198:G198)</f>
        <v>0</v>
      </c>
      <c r="H199" s="258">
        <f>+SUM(H198:H198)</f>
        <v>0</v>
      </c>
      <c r="I199" s="258">
        <f>+SUM(I198:I198)</f>
        <v>0</v>
      </c>
      <c r="J199" s="240"/>
      <c r="K199" s="240"/>
      <c r="L199" s="289"/>
    </row>
    <row r="200" spans="1:12" ht="20.100000000000001" customHeight="1">
      <c r="A200" s="254"/>
      <c r="B200" s="255"/>
      <c r="C200" s="255"/>
      <c r="D200" s="255"/>
      <c r="E200" s="378"/>
      <c r="F200" s="980" t="s">
        <v>399</v>
      </c>
      <c r="G200" s="258">
        <f>+G199*$K$4</f>
        <v>0</v>
      </c>
      <c r="H200" s="258">
        <f>+H199*$K$4</f>
        <v>0</v>
      </c>
      <c r="I200" s="258">
        <f>+I199*$K$4</f>
        <v>0</v>
      </c>
      <c r="J200" s="255"/>
      <c r="K200" s="255"/>
      <c r="L200" s="291"/>
    </row>
    <row r="201" spans="1:12" ht="20.100000000000001" customHeight="1">
      <c r="A201" s="272"/>
      <c r="B201" s="277" t="s">
        <v>439</v>
      </c>
      <c r="C201" s="273"/>
      <c r="D201" s="273"/>
      <c r="E201" s="274"/>
      <c r="F201" s="989"/>
      <c r="G201" s="275"/>
      <c r="H201" s="275"/>
      <c r="I201" s="273"/>
      <c r="J201" s="273"/>
      <c r="K201" s="273"/>
      <c r="L201" s="278"/>
    </row>
    <row r="202" spans="1:12" ht="20.100000000000001" customHeight="1">
      <c r="A202" s="272"/>
      <c r="B202" s="279" t="s">
        <v>440</v>
      </c>
      <c r="C202" s="273"/>
      <c r="D202" s="273"/>
      <c r="E202" s="274"/>
      <c r="F202" s="989"/>
      <c r="G202" s="275"/>
      <c r="H202" s="275"/>
      <c r="I202" s="273"/>
      <c r="J202" s="273"/>
      <c r="K202" s="273"/>
      <c r="L202" s="278"/>
    </row>
    <row r="203" spans="1:12" ht="20.100000000000001" customHeight="1">
      <c r="A203" s="254"/>
      <c r="B203" s="259" t="s">
        <v>412</v>
      </c>
      <c r="C203" s="255"/>
      <c r="D203" s="255"/>
      <c r="E203" s="256"/>
      <c r="F203" s="985"/>
      <c r="G203" s="271"/>
      <c r="H203" s="271"/>
      <c r="I203" s="255"/>
      <c r="J203" s="255"/>
      <c r="K203" s="255"/>
      <c r="L203" s="291"/>
    </row>
    <row r="204" spans="1:12" ht="20.100000000000001" customHeight="1">
      <c r="A204" s="287"/>
      <c r="B204" s="248" t="s">
        <v>33</v>
      </c>
      <c r="C204" s="248" t="s">
        <v>33</v>
      </c>
      <c r="D204" s="248" t="s">
        <v>33</v>
      </c>
      <c r="E204" s="248" t="s">
        <v>33</v>
      </c>
      <c r="F204" s="979" t="s">
        <v>33</v>
      </c>
      <c r="G204" s="248" t="s">
        <v>33</v>
      </c>
      <c r="H204" s="248" t="s">
        <v>33</v>
      </c>
      <c r="I204" s="248" t="s">
        <v>33</v>
      </c>
      <c r="J204" s="248" t="s">
        <v>33</v>
      </c>
      <c r="K204" s="248" t="s">
        <v>33</v>
      </c>
      <c r="L204" s="288" t="s">
        <v>33</v>
      </c>
    </row>
    <row r="205" spans="1:12" ht="20.100000000000001" customHeight="1">
      <c r="A205" s="239"/>
      <c r="B205" s="240"/>
      <c r="C205" s="240"/>
      <c r="D205" s="240"/>
      <c r="E205" s="378" t="s">
        <v>395</v>
      </c>
      <c r="F205" s="980" t="s">
        <v>398</v>
      </c>
      <c r="G205" s="258">
        <f>+SUM(G204)</f>
        <v>0</v>
      </c>
      <c r="H205" s="258">
        <f>+SUM(H204:H204)</f>
        <v>0</v>
      </c>
      <c r="I205" s="258">
        <f>+SUM(I204:I204)</f>
        <v>0</v>
      </c>
      <c r="J205" s="240"/>
      <c r="K205" s="240"/>
      <c r="L205" s="289"/>
    </row>
    <row r="206" spans="1:12" ht="20.100000000000001" customHeight="1">
      <c r="A206" s="239"/>
      <c r="B206" s="240"/>
      <c r="C206" s="240"/>
      <c r="D206" s="240"/>
      <c r="E206" s="378"/>
      <c r="F206" s="980" t="s">
        <v>399</v>
      </c>
      <c r="G206" s="258">
        <f>+G205*$K$4</f>
        <v>0</v>
      </c>
      <c r="H206" s="258">
        <f>+H205*$K$4</f>
        <v>0</v>
      </c>
      <c r="I206" s="258">
        <f>+I205*$K$4</f>
        <v>0</v>
      </c>
      <c r="J206" s="240"/>
      <c r="K206" s="240"/>
      <c r="L206" s="289"/>
    </row>
    <row r="207" spans="1:12" ht="19.5" customHeight="1">
      <c r="A207" s="254"/>
      <c r="B207" s="246"/>
      <c r="C207" s="255"/>
      <c r="D207" s="255"/>
      <c r="E207" s="256"/>
      <c r="F207" s="985"/>
      <c r="G207" s="271"/>
      <c r="H207" s="271"/>
      <c r="I207" s="255"/>
      <c r="J207" s="255"/>
      <c r="K207" s="255"/>
      <c r="L207" s="291"/>
    </row>
    <row r="208" spans="1:12" ht="20.100000000000001" customHeight="1">
      <c r="A208" s="272"/>
      <c r="B208" s="279" t="s">
        <v>441</v>
      </c>
      <c r="C208" s="273"/>
      <c r="D208" s="273"/>
      <c r="E208" s="274"/>
      <c r="F208" s="989"/>
      <c r="G208" s="275"/>
      <c r="H208" s="275"/>
      <c r="I208" s="273"/>
      <c r="J208" s="273"/>
      <c r="K208" s="273"/>
      <c r="L208" s="278"/>
    </row>
    <row r="209" spans="1:12" ht="20.100000000000001" customHeight="1">
      <c r="A209" s="287"/>
      <c r="B209" s="248" t="s">
        <v>33</v>
      </c>
      <c r="C209" s="248" t="s">
        <v>33</v>
      </c>
      <c r="D209" s="248" t="s">
        <v>33</v>
      </c>
      <c r="E209" s="248" t="s">
        <v>33</v>
      </c>
      <c r="F209" s="979" t="s">
        <v>33</v>
      </c>
      <c r="G209" s="248" t="s">
        <v>33</v>
      </c>
      <c r="H209" s="248" t="s">
        <v>33</v>
      </c>
      <c r="I209" s="248" t="s">
        <v>33</v>
      </c>
      <c r="J209" s="248" t="s">
        <v>33</v>
      </c>
      <c r="K209" s="248" t="s">
        <v>33</v>
      </c>
      <c r="L209" s="288" t="s">
        <v>33</v>
      </c>
    </row>
    <row r="210" spans="1:12" ht="20.100000000000001" customHeight="1">
      <c r="A210" s="239"/>
      <c r="B210" s="240"/>
      <c r="C210" s="240"/>
      <c r="D210" s="240"/>
      <c r="E210" s="378" t="s">
        <v>395</v>
      </c>
      <c r="F210" s="980" t="s">
        <v>398</v>
      </c>
      <c r="G210" s="258">
        <f>+SUM(G209)</f>
        <v>0</v>
      </c>
      <c r="H210" s="258">
        <f>+SUM(H209)</f>
        <v>0</v>
      </c>
      <c r="I210" s="258">
        <f>+SUM(I209)</f>
        <v>0</v>
      </c>
      <c r="J210" s="240"/>
      <c r="K210" s="240"/>
      <c r="L210" s="289"/>
    </row>
    <row r="211" spans="1:12" ht="20.100000000000001" customHeight="1">
      <c r="A211" s="254"/>
      <c r="B211" s="255"/>
      <c r="C211" s="255"/>
      <c r="D211" s="255"/>
      <c r="E211" s="378"/>
      <c r="F211" s="980" t="s">
        <v>399</v>
      </c>
      <c r="G211" s="258">
        <f>+G210*$K$4</f>
        <v>0</v>
      </c>
      <c r="H211" s="258">
        <f>+H210*$K$4</f>
        <v>0</v>
      </c>
      <c r="I211" s="258">
        <f>+I210*$K$4</f>
        <v>0</v>
      </c>
      <c r="J211" s="255"/>
      <c r="K211" s="255"/>
      <c r="L211" s="291"/>
    </row>
    <row r="212" spans="1:12" ht="20.100000000000001" customHeight="1">
      <c r="A212" s="272"/>
      <c r="B212" s="279" t="s">
        <v>442</v>
      </c>
      <c r="C212" s="273"/>
      <c r="D212" s="273"/>
      <c r="E212" s="274"/>
      <c r="F212" s="989"/>
      <c r="G212" s="275"/>
      <c r="H212" s="275"/>
      <c r="I212" s="273"/>
      <c r="J212" s="273"/>
      <c r="K212" s="273"/>
      <c r="L212" s="278"/>
    </row>
    <row r="213" spans="1:12" ht="20.100000000000001" customHeight="1">
      <c r="A213" s="287"/>
      <c r="B213" s="248" t="s">
        <v>33</v>
      </c>
      <c r="C213" s="248" t="s">
        <v>33</v>
      </c>
      <c r="D213" s="248" t="s">
        <v>33</v>
      </c>
      <c r="E213" s="248" t="s">
        <v>33</v>
      </c>
      <c r="F213" s="979" t="s">
        <v>33</v>
      </c>
      <c r="G213" s="248" t="s">
        <v>33</v>
      </c>
      <c r="H213" s="248" t="s">
        <v>33</v>
      </c>
      <c r="I213" s="248" t="s">
        <v>33</v>
      </c>
      <c r="J213" s="248" t="s">
        <v>33</v>
      </c>
      <c r="K213" s="248" t="s">
        <v>33</v>
      </c>
      <c r="L213" s="288" t="s">
        <v>33</v>
      </c>
    </row>
    <row r="214" spans="1:12" ht="20.100000000000001" customHeight="1">
      <c r="A214" s="239"/>
      <c r="B214" s="240"/>
      <c r="C214" s="240"/>
      <c r="D214" s="240"/>
      <c r="E214" s="378" t="s">
        <v>395</v>
      </c>
      <c r="F214" s="980" t="s">
        <v>398</v>
      </c>
      <c r="G214" s="258">
        <f>+SUM(G213)</f>
        <v>0</v>
      </c>
      <c r="H214" s="258">
        <f>+SUM(H213)</f>
        <v>0</v>
      </c>
      <c r="I214" s="258">
        <f>+SUM(I213)</f>
        <v>0</v>
      </c>
      <c r="J214" s="240"/>
      <c r="K214" s="240"/>
      <c r="L214" s="289"/>
    </row>
    <row r="215" spans="1:12" ht="20.100000000000001" customHeight="1">
      <c r="A215" s="254"/>
      <c r="B215" s="255"/>
      <c r="C215" s="255"/>
      <c r="D215" s="255"/>
      <c r="E215" s="378"/>
      <c r="F215" s="980" t="s">
        <v>399</v>
      </c>
      <c r="G215" s="258">
        <f>+G214*$K$4</f>
        <v>0</v>
      </c>
      <c r="H215" s="258">
        <f>+H214*$K$4</f>
        <v>0</v>
      </c>
      <c r="I215" s="258">
        <f>+I214*$K$4</f>
        <v>0</v>
      </c>
      <c r="J215" s="255"/>
      <c r="K215" s="255"/>
      <c r="L215" s="291"/>
    </row>
    <row r="216" spans="1:12" ht="20.100000000000001" customHeight="1">
      <c r="A216" s="272"/>
      <c r="B216" s="279" t="s">
        <v>443</v>
      </c>
      <c r="C216" s="273"/>
      <c r="D216" s="273"/>
      <c r="E216" s="274"/>
      <c r="F216" s="989"/>
      <c r="G216" s="275"/>
      <c r="H216" s="275"/>
      <c r="I216" s="273"/>
      <c r="J216" s="273"/>
      <c r="K216" s="273"/>
      <c r="L216" s="278"/>
    </row>
    <row r="217" spans="1:12" ht="20.100000000000001" customHeight="1">
      <c r="A217" s="287"/>
      <c r="B217" s="248" t="s">
        <v>33</v>
      </c>
      <c r="C217" s="248" t="s">
        <v>33</v>
      </c>
      <c r="D217" s="248" t="s">
        <v>33</v>
      </c>
      <c r="E217" s="248" t="s">
        <v>33</v>
      </c>
      <c r="F217" s="979" t="s">
        <v>33</v>
      </c>
      <c r="G217" s="248" t="s">
        <v>33</v>
      </c>
      <c r="H217" s="248" t="s">
        <v>33</v>
      </c>
      <c r="I217" s="248" t="s">
        <v>33</v>
      </c>
      <c r="J217" s="248" t="s">
        <v>33</v>
      </c>
      <c r="K217" s="248" t="s">
        <v>33</v>
      </c>
      <c r="L217" s="288" t="s">
        <v>33</v>
      </c>
    </row>
    <row r="218" spans="1:12" ht="20.100000000000001" customHeight="1">
      <c r="A218" s="239"/>
      <c r="B218" s="240"/>
      <c r="C218" s="240"/>
      <c r="D218" s="240"/>
      <c r="E218" s="378" t="s">
        <v>395</v>
      </c>
      <c r="F218" s="980" t="s">
        <v>398</v>
      </c>
      <c r="G218" s="258">
        <f>+SUM(G217)</f>
        <v>0</v>
      </c>
      <c r="H218" s="258">
        <f>+SUM(H217)</f>
        <v>0</v>
      </c>
      <c r="I218" s="258">
        <f>+SUM(I217)</f>
        <v>0</v>
      </c>
      <c r="J218" s="240"/>
      <c r="K218" s="240"/>
      <c r="L218" s="289"/>
    </row>
    <row r="219" spans="1:12" ht="20.100000000000001" customHeight="1">
      <c r="A219" s="254"/>
      <c r="B219" s="255"/>
      <c r="C219" s="255"/>
      <c r="D219" s="255"/>
      <c r="E219" s="378"/>
      <c r="F219" s="980" t="s">
        <v>399</v>
      </c>
      <c r="G219" s="258">
        <f>+G218*$K$4</f>
        <v>0</v>
      </c>
      <c r="H219" s="258">
        <f>+H218*$K$4</f>
        <v>0</v>
      </c>
      <c r="I219" s="258">
        <f>+I218*$K$4</f>
        <v>0</v>
      </c>
      <c r="J219" s="255"/>
      <c r="K219" s="255"/>
      <c r="L219" s="291"/>
    </row>
    <row r="220" spans="1:12" ht="20.100000000000001" customHeight="1">
      <c r="A220" s="272"/>
      <c r="B220" s="279" t="s">
        <v>444</v>
      </c>
      <c r="C220" s="273"/>
      <c r="D220" s="273"/>
      <c r="E220" s="274"/>
      <c r="F220" s="989"/>
      <c r="G220" s="275"/>
      <c r="H220" s="275"/>
      <c r="I220" s="273"/>
      <c r="J220" s="273"/>
      <c r="K220" s="273"/>
      <c r="L220" s="278"/>
    </row>
    <row r="221" spans="1:12" ht="20.100000000000001" customHeight="1">
      <c r="A221" s="254"/>
      <c r="B221" s="283" t="s">
        <v>412</v>
      </c>
      <c r="C221" s="255"/>
      <c r="D221" s="255"/>
      <c r="E221" s="256"/>
      <c r="F221" s="985"/>
      <c r="G221" s="271"/>
      <c r="H221" s="271"/>
      <c r="I221" s="255"/>
      <c r="J221" s="255"/>
      <c r="K221" s="255"/>
      <c r="L221" s="291"/>
    </row>
    <row r="222" spans="1:12" ht="20.100000000000001" customHeight="1">
      <c r="A222" s="287"/>
      <c r="B222" s="248" t="s">
        <v>33</v>
      </c>
      <c r="C222" s="248" t="s">
        <v>33</v>
      </c>
      <c r="D222" s="248" t="s">
        <v>33</v>
      </c>
      <c r="E222" s="248" t="s">
        <v>33</v>
      </c>
      <c r="F222" s="979" t="s">
        <v>33</v>
      </c>
      <c r="G222" s="248" t="s">
        <v>33</v>
      </c>
      <c r="H222" s="248" t="s">
        <v>33</v>
      </c>
      <c r="I222" s="248" t="s">
        <v>33</v>
      </c>
      <c r="J222" s="248" t="s">
        <v>33</v>
      </c>
      <c r="K222" s="248" t="s">
        <v>33</v>
      </c>
      <c r="L222" s="288" t="s">
        <v>33</v>
      </c>
    </row>
    <row r="223" spans="1:12" ht="20.100000000000001" customHeight="1">
      <c r="A223" s="239"/>
      <c r="B223" s="240"/>
      <c r="C223" s="240"/>
      <c r="D223" s="240"/>
      <c r="E223" s="378" t="s">
        <v>395</v>
      </c>
      <c r="F223" s="980" t="s">
        <v>398</v>
      </c>
      <c r="G223" s="258">
        <f>+SUM(G222:G222)</f>
        <v>0</v>
      </c>
      <c r="H223" s="258">
        <f>+SUM(H222:H222)</f>
        <v>0</v>
      </c>
      <c r="I223" s="258">
        <f>+SUM(I222:I222)</f>
        <v>0</v>
      </c>
      <c r="J223" s="240"/>
      <c r="K223" s="240"/>
      <c r="L223" s="289"/>
    </row>
    <row r="224" spans="1:12" ht="20.100000000000001" customHeight="1">
      <c r="A224" s="254"/>
      <c r="B224" s="255"/>
      <c r="C224" s="255"/>
      <c r="D224" s="255"/>
      <c r="E224" s="378"/>
      <c r="F224" s="980" t="s">
        <v>399</v>
      </c>
      <c r="G224" s="258">
        <f>+G223*$K$4</f>
        <v>0</v>
      </c>
      <c r="H224" s="258">
        <f>+H223*$K$4</f>
        <v>0</v>
      </c>
      <c r="I224" s="258">
        <f>+I223*$K$4</f>
        <v>0</v>
      </c>
      <c r="J224" s="255"/>
      <c r="K224" s="255"/>
      <c r="L224" s="291"/>
    </row>
    <row r="225" spans="1:12" ht="20.100000000000001" customHeight="1">
      <c r="A225" s="411"/>
      <c r="B225" s="354" t="s">
        <v>445</v>
      </c>
      <c r="C225" s="273"/>
      <c r="D225" s="273"/>
      <c r="E225" s="274"/>
      <c r="F225" s="989"/>
      <c r="G225" s="275"/>
      <c r="H225" s="275"/>
      <c r="I225" s="273"/>
      <c r="J225" s="273"/>
      <c r="K225" s="273"/>
      <c r="L225" s="278"/>
    </row>
    <row r="226" spans="1:12" ht="20.100000000000001" customHeight="1">
      <c r="A226" s="254"/>
      <c r="B226" s="259" t="s">
        <v>425</v>
      </c>
      <c r="C226" s="255"/>
      <c r="D226" s="255"/>
      <c r="E226" s="256"/>
      <c r="F226" s="985"/>
      <c r="G226" s="271"/>
      <c r="H226" s="271"/>
      <c r="I226" s="255"/>
      <c r="J226" s="255"/>
      <c r="K226" s="255"/>
      <c r="L226" s="291"/>
    </row>
    <row r="227" spans="1:12" s="237" customFormat="1" ht="20.100000000000001" customHeight="1">
      <c r="A227" s="377"/>
      <c r="B227" s="1049" t="s">
        <v>33</v>
      </c>
      <c r="C227" s="269" t="s">
        <v>33</v>
      </c>
      <c r="D227" s="269" t="s">
        <v>33</v>
      </c>
      <c r="E227" s="248" t="s">
        <v>33</v>
      </c>
      <c r="F227" s="979" t="s">
        <v>33</v>
      </c>
      <c r="G227" s="265" t="s">
        <v>33</v>
      </c>
      <c r="H227" s="265" t="s">
        <v>33</v>
      </c>
      <c r="I227" s="265" t="s">
        <v>33</v>
      </c>
      <c r="J227" s="270" t="s">
        <v>33</v>
      </c>
      <c r="K227" s="265" t="s">
        <v>33</v>
      </c>
      <c r="L227" s="288" t="s">
        <v>33</v>
      </c>
    </row>
    <row r="228" spans="1:12" ht="20.100000000000001" customHeight="1">
      <c r="A228" s="239"/>
      <c r="B228" s="240"/>
      <c r="C228" s="240"/>
      <c r="D228" s="240"/>
      <c r="E228" s="378" t="s">
        <v>395</v>
      </c>
      <c r="F228" s="980" t="s">
        <v>398</v>
      </c>
      <c r="G228" s="258">
        <f>SUM(G227:G227)</f>
        <v>0</v>
      </c>
      <c r="H228" s="258">
        <f>+SUM(H227:H227)</f>
        <v>0</v>
      </c>
      <c r="I228" s="258">
        <f>+SUM(I227:I227)</f>
        <v>0</v>
      </c>
      <c r="J228" s="240"/>
      <c r="K228" s="240"/>
      <c r="L228" s="289"/>
    </row>
    <row r="229" spans="1:12" ht="20.100000000000001" customHeight="1">
      <c r="A229" s="254"/>
      <c r="B229" s="255"/>
      <c r="C229" s="255"/>
      <c r="D229" s="255"/>
      <c r="E229" s="378"/>
      <c r="F229" s="980" t="s">
        <v>399</v>
      </c>
      <c r="G229" s="258">
        <f>+G228*$K$4</f>
        <v>0</v>
      </c>
      <c r="H229" s="258">
        <f>+H228*$K$4</f>
        <v>0</v>
      </c>
      <c r="I229" s="258">
        <f>+I228*$K$4</f>
        <v>0</v>
      </c>
      <c r="J229" s="255"/>
      <c r="K229" s="255"/>
      <c r="L229" s="291"/>
    </row>
    <row r="230" spans="1:12" ht="20.100000000000001" customHeight="1">
      <c r="A230" s="272"/>
      <c r="B230" s="279" t="s">
        <v>446</v>
      </c>
      <c r="C230" s="273"/>
      <c r="D230" s="273"/>
      <c r="E230" s="274"/>
      <c r="F230" s="989"/>
      <c r="G230" s="275"/>
      <c r="H230" s="275"/>
      <c r="I230" s="273"/>
      <c r="J230" s="273"/>
      <c r="K230" s="273"/>
      <c r="L230" s="278"/>
    </row>
    <row r="231" spans="1:12" ht="20.100000000000001" customHeight="1">
      <c r="A231" s="254"/>
      <c r="B231" s="259" t="s">
        <v>425</v>
      </c>
      <c r="C231" s="255"/>
      <c r="D231" s="255"/>
      <c r="E231" s="256"/>
      <c r="F231" s="985"/>
      <c r="G231" s="271"/>
      <c r="H231" s="271"/>
      <c r="I231" s="255"/>
      <c r="J231" s="255"/>
      <c r="K231" s="255"/>
      <c r="L231" s="291"/>
    </row>
    <row r="232" spans="1:12" s="238" customFormat="1" ht="20.100000000000001" customHeight="1">
      <c r="A232" s="447"/>
      <c r="B232" s="1415"/>
      <c r="C232" s="269"/>
      <c r="D232" s="269"/>
      <c r="E232" s="269"/>
      <c r="F232" s="979"/>
      <c r="G232" s="265"/>
      <c r="H232" s="265"/>
      <c r="I232" s="265"/>
      <c r="J232" s="270"/>
      <c r="K232" s="265"/>
      <c r="L232" s="288"/>
    </row>
    <row r="233" spans="1:12" s="878" customFormat="1" ht="20.100000000000001" customHeight="1">
      <c r="A233" s="1407"/>
      <c r="B233" s="1408"/>
      <c r="C233" s="1408"/>
      <c r="D233" s="1408"/>
      <c r="E233" s="1409"/>
      <c r="F233" s="1410"/>
      <c r="G233" s="1411"/>
      <c r="H233" s="1411"/>
      <c r="I233" s="1411"/>
      <c r="J233" s="1412"/>
      <c r="K233" s="1413"/>
      <c r="L233" s="1414"/>
    </row>
    <row r="234" spans="1:12" s="878" customFormat="1" ht="20.100000000000001" customHeight="1">
      <c r="A234" s="1407"/>
      <c r="B234" s="1408"/>
      <c r="C234" s="1408"/>
      <c r="D234" s="1408"/>
      <c r="E234" s="1409"/>
      <c r="F234" s="1410"/>
      <c r="G234" s="1411"/>
      <c r="H234" s="1411"/>
      <c r="I234" s="1411"/>
      <c r="J234" s="1412"/>
      <c r="K234" s="1413"/>
      <c r="L234" s="1414"/>
    </row>
    <row r="235" spans="1:12" ht="20.100000000000001" customHeight="1">
      <c r="A235" s="239"/>
      <c r="B235" s="240"/>
      <c r="C235" s="240"/>
      <c r="D235" s="240"/>
      <c r="E235" s="394" t="s">
        <v>395</v>
      </c>
      <c r="F235" s="992" t="s">
        <v>398</v>
      </c>
      <c r="G235" s="315">
        <f>SUM(G232)</f>
        <v>0</v>
      </c>
      <c r="H235" s="315">
        <f>+SUM(H232:H232)</f>
        <v>0</v>
      </c>
      <c r="I235" s="315">
        <f>+SUM(I232:I232)</f>
        <v>0</v>
      </c>
      <c r="J235" s="240"/>
      <c r="K235" s="240"/>
      <c r="L235" s="289"/>
    </row>
    <row r="236" spans="1:12" ht="20.100000000000001" customHeight="1">
      <c r="A236" s="254"/>
      <c r="B236" s="255"/>
      <c r="C236" s="255"/>
      <c r="D236" s="255"/>
      <c r="E236" s="378"/>
      <c r="F236" s="980" t="s">
        <v>399</v>
      </c>
      <c r="G236" s="258">
        <f>+G235*$K$4</f>
        <v>0</v>
      </c>
      <c r="H236" s="258">
        <f>+H235*$K$4</f>
        <v>0</v>
      </c>
      <c r="I236" s="258">
        <f>+I235*$K$4</f>
        <v>0</v>
      </c>
      <c r="J236" s="255"/>
      <c r="K236" s="255"/>
      <c r="L236" s="291"/>
    </row>
    <row r="237" spans="1:12" ht="20.100000000000001" customHeight="1">
      <c r="A237" s="254"/>
      <c r="B237" s="259" t="s">
        <v>412</v>
      </c>
      <c r="C237" s="255"/>
      <c r="D237" s="255"/>
      <c r="E237" s="256"/>
      <c r="F237" s="985"/>
      <c r="G237" s="271"/>
      <c r="H237" s="271"/>
      <c r="I237" s="255"/>
      <c r="J237" s="255"/>
      <c r="K237" s="255"/>
      <c r="L237" s="291"/>
    </row>
    <row r="238" spans="1:12" s="429" customFormat="1" ht="27" customHeight="1">
      <c r="A238" s="316"/>
      <c r="B238" s="317" t="s">
        <v>644</v>
      </c>
      <c r="C238" s="269" t="e">
        <f>+VLOOKUP(B238,'New Master-List'!$B$1:$AI$4223,31,FALSE)</f>
        <v>#N/A</v>
      </c>
      <c r="D238" s="269" t="e">
        <f>+VLOOKUP(B238,'New Master-List'!$B$1:$AI$4223,30,FALSE)</f>
        <v>#N/A</v>
      </c>
      <c r="E238" s="248" t="e">
        <f>+VLOOKUP(B238,'New Master-List'!$B$1:$AI$4223,10,FALSE)</f>
        <v>#N/A</v>
      </c>
      <c r="F238" s="979" t="e">
        <f>+VLOOKUP(B238,'New Master-List'!$B$8:$AG$389,9,FALSE)</f>
        <v>#N/A</v>
      </c>
      <c r="G238" s="265" t="e">
        <f>+VLOOKUP(B238,'New Master-List'!$B$8:$AG$389,11,FALSE)</f>
        <v>#N/A</v>
      </c>
      <c r="H238" s="265" t="e">
        <f>+VLOOKUP(B238,'New Master-List'!$B$8:$AG$389,12,FALSE)+VLOOKUP(B238,'New Master-List'!$B$8:$AG$389,13,FALSE)++VLOOKUP(B238,'New Master-List'!$B$8:$AG$389,14,FALSE)</f>
        <v>#N/A</v>
      </c>
      <c r="I238" s="265" t="e">
        <f>+VLOOKUP(B238,'New Master-List'!$B$8:$AG$389,21,FALSE)</f>
        <v>#N/A</v>
      </c>
      <c r="J238" s="270" t="e">
        <f>+VLOOKUP(B238,'New Master-List'!$B$8:$AG$389,22,FALSE)</f>
        <v>#N/A</v>
      </c>
      <c r="K238" s="265" t="e">
        <f>+VLOOKUP(B238,'New Master-List'!$B$8:$AG$389,23,FALSE)</f>
        <v>#N/A</v>
      </c>
      <c r="L238" s="288" t="e">
        <f>+VLOOKUP(B238,'New Master-List'!$B$3:$AI$389,33,FALSE)</f>
        <v>#N/A</v>
      </c>
    </row>
    <row r="239" spans="1:12" ht="20.100000000000001" customHeight="1">
      <c r="A239" s="239"/>
      <c r="B239" s="240"/>
      <c r="C239" s="240"/>
      <c r="D239" s="240"/>
      <c r="E239" s="378" t="s">
        <v>395</v>
      </c>
      <c r="F239" s="992" t="s">
        <v>398</v>
      </c>
      <c r="G239" s="315" t="e">
        <f>+SUM(G238:G238)</f>
        <v>#N/A</v>
      </c>
      <c r="H239" s="315" t="e">
        <f>+SUM(H238:H238)</f>
        <v>#N/A</v>
      </c>
      <c r="I239" s="315" t="e">
        <f>+SUM(I238:I238)</f>
        <v>#N/A</v>
      </c>
      <c r="J239" s="240"/>
      <c r="K239" s="240"/>
      <c r="L239" s="289"/>
    </row>
    <row r="240" spans="1:12" ht="20.100000000000001" customHeight="1">
      <c r="A240" s="254"/>
      <c r="B240" s="255"/>
      <c r="C240" s="255"/>
      <c r="D240" s="255"/>
      <c r="E240" s="378"/>
      <c r="F240" s="980" t="s">
        <v>399</v>
      </c>
      <c r="G240" s="258" t="e">
        <f>+G239*$K$4</f>
        <v>#N/A</v>
      </c>
      <c r="H240" s="258" t="e">
        <f>+H239*$K$4</f>
        <v>#N/A</v>
      </c>
      <c r="I240" s="258" t="e">
        <f>+I239*$K$4</f>
        <v>#N/A</v>
      </c>
      <c r="J240" s="255"/>
      <c r="K240" s="255"/>
      <c r="L240" s="291"/>
    </row>
    <row r="241" spans="1:12" ht="20.100000000000001" customHeight="1">
      <c r="A241" s="272"/>
      <c r="B241" s="279" t="s">
        <v>447</v>
      </c>
      <c r="C241" s="273"/>
      <c r="D241" s="273"/>
      <c r="E241" s="274"/>
      <c r="F241" s="989"/>
      <c r="G241" s="275"/>
      <c r="H241" s="275"/>
      <c r="I241" s="273"/>
      <c r="J241" s="273"/>
      <c r="K241" s="273"/>
      <c r="L241" s="278"/>
    </row>
    <row r="242" spans="1:12" ht="20.100000000000001" customHeight="1">
      <c r="A242" s="254"/>
      <c r="B242" s="259" t="s">
        <v>422</v>
      </c>
      <c r="C242" s="255"/>
      <c r="D242" s="255"/>
      <c r="E242" s="256"/>
      <c r="F242" s="985"/>
      <c r="G242" s="271"/>
      <c r="H242" s="271"/>
      <c r="I242" s="255"/>
      <c r="J242" s="255"/>
      <c r="K242" s="255"/>
      <c r="L242" s="291"/>
    </row>
    <row r="243" spans="1:12" s="1496" customFormat="1" ht="27" customHeight="1">
      <c r="A243" s="1548"/>
      <c r="B243" s="1549" t="s">
        <v>951</v>
      </c>
      <c r="C243" s="1550"/>
      <c r="D243" s="1550"/>
      <c r="E243" s="1549"/>
      <c r="F243" s="1551"/>
      <c r="G243" s="1552"/>
      <c r="H243" s="1552"/>
      <c r="I243" s="1552"/>
      <c r="J243" s="1553"/>
      <c r="K243" s="1552"/>
      <c r="L243" s="1554"/>
    </row>
    <row r="244" spans="1:12" s="1496" customFormat="1" ht="27" customHeight="1">
      <c r="A244" s="1548"/>
      <c r="B244" s="1549" t="s">
        <v>927</v>
      </c>
      <c r="C244" s="1550"/>
      <c r="D244" s="1550"/>
      <c r="E244" s="1549"/>
      <c r="F244" s="1551"/>
      <c r="G244" s="1552"/>
      <c r="H244" s="1552"/>
      <c r="I244" s="1552"/>
      <c r="J244" s="1553"/>
      <c r="K244" s="1552"/>
      <c r="L244" s="1554"/>
    </row>
    <row r="245" spans="1:12" ht="20.100000000000001" customHeight="1">
      <c r="A245" s="239"/>
      <c r="B245" s="240"/>
      <c r="C245" s="240"/>
      <c r="D245" s="240"/>
      <c r="E245" s="378" t="s">
        <v>395</v>
      </c>
      <c r="F245" s="980" t="s">
        <v>398</v>
      </c>
      <c r="G245" s="258">
        <f>+SUM(G243:G244)</f>
        <v>0</v>
      </c>
      <c r="H245" s="258">
        <f>+SUM(H243:H244)</f>
        <v>0</v>
      </c>
      <c r="I245" s="258">
        <f>+SUM(I243:I244)</f>
        <v>0</v>
      </c>
      <c r="J245" s="240"/>
      <c r="K245" s="240"/>
      <c r="L245" s="289"/>
    </row>
    <row r="246" spans="1:12" ht="20.100000000000001" customHeight="1">
      <c r="A246" s="254"/>
      <c r="B246" s="255"/>
      <c r="C246" s="255"/>
      <c r="D246" s="255"/>
      <c r="E246" s="378"/>
      <c r="F246" s="980" t="s">
        <v>399</v>
      </c>
      <c r="G246" s="258">
        <f>+G245*$K$4</f>
        <v>0</v>
      </c>
      <c r="H246" s="258">
        <f>+H245*$K$4</f>
        <v>0</v>
      </c>
      <c r="I246" s="258">
        <f>+I245*$K$4</f>
        <v>0</v>
      </c>
      <c r="J246" s="255"/>
      <c r="K246" s="255"/>
      <c r="L246" s="291"/>
    </row>
    <row r="247" spans="1:12" ht="20.100000000000001" customHeight="1">
      <c r="A247" s="254"/>
      <c r="B247" s="259" t="s">
        <v>425</v>
      </c>
      <c r="C247" s="255"/>
      <c r="D247" s="255"/>
      <c r="E247" s="256"/>
      <c r="F247" s="985"/>
      <c r="G247" s="271"/>
      <c r="H247" s="271"/>
      <c r="I247" s="255"/>
      <c r="J247" s="255"/>
      <c r="K247" s="255"/>
      <c r="L247" s="291"/>
    </row>
    <row r="248" spans="1:12" ht="20.100000000000001" customHeight="1">
      <c r="A248" s="287"/>
      <c r="B248" s="692"/>
      <c r="C248" s="269"/>
      <c r="D248" s="269"/>
      <c r="E248" s="248"/>
      <c r="F248" s="979"/>
      <c r="G248" s="265"/>
      <c r="H248" s="265"/>
      <c r="I248" s="265"/>
      <c r="J248" s="270"/>
      <c r="K248" s="265"/>
      <c r="L248" s="288"/>
    </row>
    <row r="249" spans="1:12" ht="20.100000000000001" customHeight="1">
      <c r="A249" s="377"/>
      <c r="B249" s="691"/>
      <c r="C249" s="844"/>
      <c r="D249" s="269"/>
      <c r="E249" s="248"/>
      <c r="F249" s="979"/>
      <c r="G249" s="265"/>
      <c r="H249" s="265"/>
      <c r="I249" s="265"/>
      <c r="J249" s="270"/>
      <c r="K249" s="265"/>
      <c r="L249" s="288"/>
    </row>
    <row r="250" spans="1:12" ht="20.100000000000001" customHeight="1">
      <c r="A250" s="239"/>
      <c r="B250" s="240"/>
      <c r="C250" s="240"/>
      <c r="D250" s="240"/>
      <c r="E250" s="378" t="s">
        <v>395</v>
      </c>
      <c r="F250" s="980" t="s">
        <v>398</v>
      </c>
      <c r="G250" s="300">
        <f>SUM(G248:G249)</f>
        <v>0</v>
      </c>
      <c r="H250" s="300">
        <f>+SUM(H248:H249)</f>
        <v>0</v>
      </c>
      <c r="I250" s="300">
        <f>+SUM(I248:I249)</f>
        <v>0</v>
      </c>
      <c r="J250" s="240"/>
      <c r="K250" s="240"/>
      <c r="L250" s="289"/>
    </row>
    <row r="251" spans="1:12" ht="20.100000000000001" customHeight="1">
      <c r="A251" s="254"/>
      <c r="B251" s="255"/>
      <c r="C251" s="255"/>
      <c r="D251" s="255"/>
      <c r="E251" s="378"/>
      <c r="F251" s="980" t="s">
        <v>399</v>
      </c>
      <c r="G251" s="258">
        <f>+G250*$K$4</f>
        <v>0</v>
      </c>
      <c r="H251" s="258">
        <f>+H250*$K$4</f>
        <v>0</v>
      </c>
      <c r="I251" s="258">
        <f>+I250*$K$4</f>
        <v>0</v>
      </c>
      <c r="J251" s="255"/>
      <c r="K251" s="255"/>
      <c r="L251" s="291"/>
    </row>
    <row r="252" spans="1:12" ht="20.100000000000001" customHeight="1">
      <c r="A252" s="1010"/>
      <c r="B252" s="259" t="s">
        <v>412</v>
      </c>
      <c r="C252" s="255"/>
      <c r="D252" s="255"/>
      <c r="E252" s="256"/>
      <c r="F252" s="985"/>
      <c r="G252" s="271"/>
      <c r="H252" s="271"/>
      <c r="I252" s="255"/>
      <c r="J252" s="255"/>
      <c r="K252" s="255"/>
      <c r="L252" s="291"/>
    </row>
    <row r="253" spans="1:12" ht="20.100000000000001" customHeight="1">
      <c r="A253" s="317"/>
      <c r="B253" s="1007"/>
      <c r="C253" s="269"/>
      <c r="D253" s="269"/>
      <c r="E253" s="248"/>
      <c r="F253" s="979"/>
      <c r="G253" s="265"/>
      <c r="H253" s="265"/>
      <c r="I253" s="265"/>
      <c r="J253" s="270"/>
      <c r="K253" s="265"/>
      <c r="L253" s="288"/>
    </row>
    <row r="254" spans="1:12" s="237" customFormat="1" ht="20.100000000000001" customHeight="1">
      <c r="A254" s="317"/>
      <c r="B254" s="1241"/>
      <c r="C254" s="269"/>
      <c r="D254" s="269"/>
      <c r="E254" s="248"/>
      <c r="F254" s="979"/>
      <c r="G254" s="265"/>
      <c r="H254" s="265"/>
      <c r="I254" s="265"/>
      <c r="J254" s="270"/>
      <c r="K254" s="265"/>
      <c r="L254" s="288"/>
    </row>
    <row r="255" spans="1:12" ht="20.100000000000001" customHeight="1">
      <c r="A255" s="1008"/>
      <c r="B255" s="240"/>
      <c r="C255" s="240"/>
      <c r="D255" s="240"/>
      <c r="E255" s="378" t="s">
        <v>395</v>
      </c>
      <c r="F255" s="980" t="s">
        <v>398</v>
      </c>
      <c r="G255" s="258">
        <f>+SUM(G253:G254)</f>
        <v>0</v>
      </c>
      <c r="H255" s="258">
        <f>+SUM(H253:H254)</f>
        <v>0</v>
      </c>
      <c r="I255" s="258">
        <f>+SUM(I253:I254)</f>
        <v>0</v>
      </c>
      <c r="J255" s="240"/>
      <c r="K255" s="240"/>
      <c r="L255" s="289"/>
    </row>
    <row r="256" spans="1:12" ht="20.100000000000001" customHeight="1">
      <c r="A256" s="1009"/>
      <c r="B256" s="255"/>
      <c r="C256" s="255"/>
      <c r="D256" s="255"/>
      <c r="E256" s="378"/>
      <c r="F256" s="980" t="s">
        <v>399</v>
      </c>
      <c r="G256" s="258">
        <f>+G255*$K$4</f>
        <v>0</v>
      </c>
      <c r="H256" s="258">
        <f>+H255*$K$4</f>
        <v>0</v>
      </c>
      <c r="I256" s="258">
        <f>+I255*$K$4</f>
        <v>0</v>
      </c>
      <c r="J256" s="255"/>
      <c r="K256" s="255"/>
      <c r="L256" s="291"/>
    </row>
    <row r="257" spans="1:12" ht="20.100000000000001" customHeight="1">
      <c r="A257" s="272"/>
      <c r="B257" s="277" t="s">
        <v>448</v>
      </c>
      <c r="C257" s="273"/>
      <c r="D257" s="273"/>
      <c r="E257" s="274"/>
      <c r="F257" s="989"/>
      <c r="G257" s="275"/>
      <c r="H257" s="342"/>
      <c r="I257" s="273"/>
      <c r="J257" s="273"/>
      <c r="K257" s="273"/>
      <c r="L257" s="278"/>
    </row>
    <row r="258" spans="1:12" ht="20.100000000000001" customHeight="1">
      <c r="A258" s="272"/>
      <c r="B258" s="279" t="s">
        <v>468</v>
      </c>
      <c r="C258" s="273"/>
      <c r="D258" s="273"/>
      <c r="E258" s="274"/>
      <c r="F258" s="989"/>
      <c r="G258" s="275"/>
      <c r="H258" s="275"/>
      <c r="I258" s="273"/>
      <c r="J258" s="273"/>
      <c r="K258" s="273"/>
      <c r="L258" s="278"/>
    </row>
    <row r="259" spans="1:12" ht="20.100000000000001" customHeight="1">
      <c r="A259" s="254"/>
      <c r="B259" s="259" t="s">
        <v>422</v>
      </c>
      <c r="C259" s="255"/>
      <c r="D259" s="255"/>
      <c r="E259" s="256"/>
      <c r="F259" s="985"/>
      <c r="G259" s="271"/>
      <c r="H259" s="271"/>
      <c r="I259" s="255"/>
      <c r="J259" s="255"/>
      <c r="K259" s="255"/>
      <c r="L259" s="291"/>
    </row>
    <row r="260" spans="1:12" s="237" customFormat="1" ht="20.100000000000001" customHeight="1">
      <c r="A260" s="287"/>
      <c r="B260" s="317" t="s">
        <v>724</v>
      </c>
      <c r="C260" s="844" t="str">
        <f>+VLOOKUP(B260,'New Master-List'!$B$1:$AI$4223,31,FALSE)</f>
        <v>Owner Business ( Tong Hourt Spare Part)</v>
      </c>
      <c r="D260" s="269" t="str">
        <f>+VLOOKUP(B260,'New Master-List'!$B$1:$AI$4223,30,FALSE)</f>
        <v>Working Capital</v>
      </c>
      <c r="E260" s="248" t="str">
        <f>+VLOOKUP(B260,'New Master-List'!$B$1:$AI$4223,10,FALSE)</f>
        <v>O/D</v>
      </c>
      <c r="F260" s="979">
        <f>+VLOOKUP(B260,'New Master-List'!$B$8:$AG$389,9,FALSE)</f>
        <v>0.09</v>
      </c>
      <c r="G260" s="265">
        <f>+VLOOKUP(B260,'New Master-List'!$B$8:$AG$389,11,FALSE)</f>
        <v>50000</v>
      </c>
      <c r="H260" s="265">
        <f>+VLOOKUP(B260,'New Master-List'!$B$8:$AG$389,12,FALSE)+VLOOKUP(B260,'New Master-List'!$B$8:$AG$389,13,FALSE)++VLOOKUP(B260,'New Master-List'!$B$8:$AG$389,14,FALSE)</f>
        <v>48399.07</v>
      </c>
      <c r="I260" s="265">
        <f>+VLOOKUP(B260,'New Master-List'!$B$8:$AG$389,21,FALSE)</f>
        <v>0</v>
      </c>
      <c r="J260" s="270">
        <f>+VLOOKUP(B260,'New Master-List'!$B$8:$AG$389,22,FALSE)</f>
        <v>0.01</v>
      </c>
      <c r="K260" s="265">
        <f>+VLOOKUP(B260,'New Master-List'!$B$8:$AG$389,23,FALSE)</f>
        <v>483.9907</v>
      </c>
      <c r="L260" s="288" t="str">
        <f>+VLOOKUP(B260,'New Master-List'!$B$3:$AI$389,33,FALSE)</f>
        <v>2.6.1- Wholesale - Import-HOUSE</v>
      </c>
    </row>
    <row r="261" spans="1:12" s="237" customFormat="1" ht="20.100000000000001" customHeight="1">
      <c r="A261" s="287"/>
      <c r="B261" s="248"/>
      <c r="C261" s="269"/>
      <c r="D261" s="269"/>
      <c r="E261" s="248"/>
      <c r="F261" s="979"/>
      <c r="G261" s="265"/>
      <c r="H261" s="265"/>
      <c r="I261" s="265"/>
      <c r="J261" s="270"/>
      <c r="K261" s="265"/>
      <c r="L261" s="288"/>
    </row>
    <row r="262" spans="1:12" ht="20.100000000000001" customHeight="1">
      <c r="A262" s="239"/>
      <c r="B262" s="240"/>
      <c r="C262" s="240"/>
      <c r="D262" s="240"/>
      <c r="E262" s="393" t="s">
        <v>395</v>
      </c>
      <c r="F262" s="980" t="s">
        <v>398</v>
      </c>
      <c r="G262" s="300">
        <f>+SUM(G260:G261)</f>
        <v>50000</v>
      </c>
      <c r="H262" s="300">
        <f>+SUM(H260:H261)</f>
        <v>48399.07</v>
      </c>
      <c r="I262" s="300">
        <f>+SUM(I260:I261)</f>
        <v>0</v>
      </c>
      <c r="J262" s="240"/>
      <c r="K262" s="240"/>
      <c r="L262" s="289"/>
    </row>
    <row r="263" spans="1:12" ht="20.100000000000001" customHeight="1">
      <c r="A263" s="254"/>
      <c r="B263" s="255"/>
      <c r="C263" s="255"/>
      <c r="D263" s="255"/>
      <c r="E263" s="394"/>
      <c r="F263" s="980" t="s">
        <v>399</v>
      </c>
      <c r="G263" s="258">
        <f>+G262*$K$4</f>
        <v>201500000</v>
      </c>
      <c r="H263" s="258">
        <f>+H262*$K$4</f>
        <v>195048252.09999999</v>
      </c>
      <c r="I263" s="258">
        <f>+I262*$K$4</f>
        <v>0</v>
      </c>
      <c r="J263" s="255"/>
      <c r="K263" s="255"/>
      <c r="L263" s="291"/>
    </row>
    <row r="264" spans="1:12" ht="20.100000000000001" customHeight="1">
      <c r="A264" s="254"/>
      <c r="B264" s="255"/>
      <c r="C264" s="255"/>
      <c r="D264" s="255"/>
      <c r="E264" s="256"/>
      <c r="F264" s="985"/>
      <c r="G264" s="271"/>
      <c r="H264" s="271"/>
      <c r="I264" s="271"/>
      <c r="J264" s="255"/>
      <c r="K264" s="255"/>
      <c r="L264" s="291"/>
    </row>
    <row r="265" spans="1:12" ht="20.100000000000001" customHeight="1">
      <c r="A265" s="254"/>
      <c r="B265" s="259" t="s">
        <v>425</v>
      </c>
      <c r="C265" s="255"/>
      <c r="D265" s="255"/>
      <c r="E265" s="256"/>
      <c r="F265" s="985"/>
      <c r="G265" s="271"/>
      <c r="H265" s="271"/>
      <c r="I265" s="255"/>
      <c r="J265" s="255"/>
      <c r="K265" s="255"/>
      <c r="L265" s="291"/>
    </row>
    <row r="266" spans="1:12" s="237" customFormat="1" ht="20.100000000000001" customHeight="1">
      <c r="A266" s="287"/>
      <c r="B266" s="248"/>
      <c r="C266" s="269"/>
      <c r="D266" s="269"/>
      <c r="E266" s="248"/>
      <c r="F266" s="979"/>
      <c r="G266" s="265"/>
      <c r="H266" s="265"/>
      <c r="I266" s="265"/>
      <c r="J266" s="270"/>
      <c r="K266" s="265"/>
      <c r="L266" s="288"/>
    </row>
    <row r="267" spans="1:12" s="237" customFormat="1" ht="20.100000000000001" customHeight="1">
      <c r="A267" s="287"/>
      <c r="B267" s="248"/>
      <c r="C267" s="269"/>
      <c r="D267" s="269"/>
      <c r="E267" s="248"/>
      <c r="F267" s="979"/>
      <c r="G267" s="265"/>
      <c r="H267" s="265"/>
      <c r="I267" s="265"/>
      <c r="J267" s="270"/>
      <c r="K267" s="265"/>
      <c r="L267" s="288"/>
    </row>
    <row r="268" spans="1:12" ht="20.100000000000001" customHeight="1">
      <c r="A268" s="239"/>
      <c r="B268" s="240"/>
      <c r="C268" s="240"/>
      <c r="D268" s="240"/>
      <c r="E268" s="393" t="s">
        <v>395</v>
      </c>
      <c r="F268" s="980" t="s">
        <v>398</v>
      </c>
      <c r="G268" s="300">
        <f>+SUM(G266:G267)</f>
        <v>0</v>
      </c>
      <c r="H268" s="300">
        <f>+SUM(H266:H267)</f>
        <v>0</v>
      </c>
      <c r="I268" s="300">
        <f>+SUM(I266:I267)</f>
        <v>0</v>
      </c>
      <c r="J268" s="240"/>
      <c r="K268" s="240"/>
      <c r="L268" s="289"/>
    </row>
    <row r="269" spans="1:12" ht="20.100000000000001" customHeight="1">
      <c r="A269" s="254"/>
      <c r="B269" s="255"/>
      <c r="C269" s="255"/>
      <c r="D269" s="255"/>
      <c r="E269" s="394"/>
      <c r="F269" s="980" t="s">
        <v>399</v>
      </c>
      <c r="G269" s="258">
        <f>+G268*$K$4</f>
        <v>0</v>
      </c>
      <c r="H269" s="258">
        <f>+H268*$K$4</f>
        <v>0</v>
      </c>
      <c r="I269" s="258">
        <f>+I268*$K$4</f>
        <v>0</v>
      </c>
      <c r="J269" s="255"/>
      <c r="K269" s="255"/>
      <c r="L269" s="291"/>
    </row>
    <row r="270" spans="1:12" ht="20.100000000000001" customHeight="1">
      <c r="A270" s="280"/>
      <c r="B270" s="886" t="s">
        <v>412</v>
      </c>
      <c r="C270" s="281"/>
      <c r="D270" s="281"/>
      <c r="E270" s="256"/>
      <c r="F270" s="985"/>
      <c r="G270" s="271"/>
      <c r="H270" s="271"/>
      <c r="I270" s="255"/>
      <c r="J270" s="281"/>
      <c r="K270" s="281"/>
      <c r="L270" s="294"/>
    </row>
    <row r="271" spans="1:12" s="237" customFormat="1" ht="20.100000000000001" customHeight="1">
      <c r="A271" s="377"/>
      <c r="B271" s="478" t="s">
        <v>616</v>
      </c>
      <c r="C271" s="844" t="e">
        <f>+VLOOKUP(B271,'New Master-List'!$B$1:$AI$4223,31,FALSE)</f>
        <v>#N/A</v>
      </c>
      <c r="D271" s="269" t="e">
        <f>+VLOOKUP(B271,'New Master-List'!$B$1:$AI$4223,30,FALSE)</f>
        <v>#N/A</v>
      </c>
      <c r="E271" s="248" t="e">
        <f>+VLOOKUP(B271,'New Master-List'!$B$1:$AI$4223,10,FALSE)</f>
        <v>#N/A</v>
      </c>
      <c r="F271" s="979" t="e">
        <f>+VLOOKUP(B271,'New Master-List'!$B$8:$AG$389,9,FALSE)</f>
        <v>#N/A</v>
      </c>
      <c r="G271" s="265" t="e">
        <f>+VLOOKUP(B271,'New Master-List'!$B$8:$AG$389,11,FALSE)</f>
        <v>#N/A</v>
      </c>
      <c r="H271" s="265" t="e">
        <f>+VLOOKUP(B271,'New Master-List'!$B$8:$AG$389,12,FALSE)+VLOOKUP(B271,'New Master-List'!$B$8:$AG$389,13,FALSE)++VLOOKUP(B271,'New Master-List'!$B$8:$AG$389,14,FALSE)</f>
        <v>#N/A</v>
      </c>
      <c r="I271" s="265" t="e">
        <f>+VLOOKUP(B271,'New Master-List'!$B$8:$AG$389,21,FALSE)</f>
        <v>#N/A</v>
      </c>
      <c r="J271" s="270" t="e">
        <f>+VLOOKUP(B271,'New Master-List'!$B$8:$AG$389,22,FALSE)</f>
        <v>#N/A</v>
      </c>
      <c r="K271" s="265" t="e">
        <f>+VLOOKUP(B271,'New Master-List'!$B$8:$AG$389,23,FALSE)</f>
        <v>#N/A</v>
      </c>
      <c r="L271" s="288" t="e">
        <f>+VLOOKUP(B271,'New Master-List'!$B$3:$AI$389,33,FALSE)</f>
        <v>#N/A</v>
      </c>
    </row>
    <row r="272" spans="1:12" s="237" customFormat="1" ht="20.100000000000001" customHeight="1">
      <c r="A272" s="377"/>
      <c r="B272" s="1050"/>
      <c r="C272" s="269"/>
      <c r="D272" s="269"/>
      <c r="E272" s="248"/>
      <c r="F272" s="979"/>
      <c r="G272" s="265"/>
      <c r="H272" s="265"/>
      <c r="I272" s="265"/>
      <c r="J272" s="270"/>
      <c r="K272" s="265"/>
      <c r="L272" s="288"/>
    </row>
    <row r="273" spans="1:12" ht="20.100000000000001" customHeight="1">
      <c r="A273" s="239"/>
      <c r="B273" s="240"/>
      <c r="C273" s="240"/>
      <c r="D273" s="240"/>
      <c r="E273" s="393" t="s">
        <v>395</v>
      </c>
      <c r="F273" s="980" t="s">
        <v>398</v>
      </c>
      <c r="G273" s="258" t="e">
        <f>+SUM(G271:G272)</f>
        <v>#N/A</v>
      </c>
      <c r="H273" s="258" t="e">
        <f>+SUM(H271:H272)</f>
        <v>#N/A</v>
      </c>
      <c r="I273" s="258" t="e">
        <f>+SUM(I271:I272)</f>
        <v>#N/A</v>
      </c>
      <c r="J273" s="240"/>
      <c r="K273" s="240"/>
      <c r="L273" s="289"/>
    </row>
    <row r="274" spans="1:12" ht="20.100000000000001" customHeight="1">
      <c r="A274" s="254"/>
      <c r="B274" s="255"/>
      <c r="C274" s="255"/>
      <c r="D274" s="255"/>
      <c r="E274" s="394"/>
      <c r="F274" s="980" t="s">
        <v>399</v>
      </c>
      <c r="G274" s="258" t="e">
        <f>+G273*$K$4</f>
        <v>#N/A</v>
      </c>
      <c r="H274" s="258" t="e">
        <f>+H273*$K$4</f>
        <v>#N/A</v>
      </c>
      <c r="I274" s="258" t="e">
        <f>+I273*$K$4</f>
        <v>#N/A</v>
      </c>
      <c r="J274" s="255"/>
      <c r="K274" s="255"/>
      <c r="L274" s="291"/>
    </row>
    <row r="275" spans="1:12" ht="20.100000000000001" customHeight="1">
      <c r="A275" s="272"/>
      <c r="B275" s="354" t="s">
        <v>469</v>
      </c>
      <c r="C275" s="273"/>
      <c r="D275" s="273"/>
      <c r="E275" s="274"/>
      <c r="F275" s="989"/>
      <c r="G275" s="275"/>
      <c r="H275" s="275"/>
      <c r="I275" s="273"/>
      <c r="J275" s="273"/>
      <c r="K275" s="273"/>
      <c r="L275" s="278"/>
    </row>
    <row r="276" spans="1:12" ht="20.100000000000001" customHeight="1">
      <c r="A276" s="254"/>
      <c r="B276" s="259" t="s">
        <v>422</v>
      </c>
      <c r="C276" s="255"/>
      <c r="D276" s="255"/>
      <c r="E276" s="256"/>
      <c r="F276" s="985"/>
      <c r="G276" s="271"/>
      <c r="H276" s="271"/>
      <c r="I276" s="255"/>
      <c r="J276" s="255"/>
      <c r="K276" s="255"/>
      <c r="L276" s="291"/>
    </row>
    <row r="277" spans="1:12" s="237" customFormat="1" ht="20.25" customHeight="1">
      <c r="A277" s="250"/>
      <c r="B277" s="248"/>
      <c r="C277" s="269"/>
      <c r="D277" s="269"/>
      <c r="E277" s="248"/>
      <c r="F277" s="979"/>
      <c r="G277" s="265"/>
      <c r="H277" s="265"/>
      <c r="I277" s="265"/>
      <c r="J277" s="270"/>
      <c r="K277" s="265"/>
      <c r="L277" s="288"/>
    </row>
    <row r="278" spans="1:12" ht="20.100000000000001" customHeight="1">
      <c r="A278" s="239"/>
      <c r="B278" s="240"/>
      <c r="C278" s="240"/>
      <c r="D278" s="240"/>
      <c r="E278" s="378" t="s">
        <v>395</v>
      </c>
      <c r="F278" s="980" t="s">
        <v>398</v>
      </c>
      <c r="G278" s="258">
        <f>+SUM(G277)</f>
        <v>0</v>
      </c>
      <c r="H278" s="258">
        <f>+SUM(H277:H277)</f>
        <v>0</v>
      </c>
      <c r="I278" s="258">
        <f>+SUM(I277:I277)</f>
        <v>0</v>
      </c>
      <c r="J278" s="240"/>
      <c r="K278" s="240"/>
      <c r="L278" s="289"/>
    </row>
    <row r="279" spans="1:12" ht="20.100000000000001" customHeight="1">
      <c r="A279" s="254"/>
      <c r="B279" s="255"/>
      <c r="C279" s="255"/>
      <c r="D279" s="255"/>
      <c r="E279" s="378"/>
      <c r="F279" s="980" t="s">
        <v>399</v>
      </c>
      <c r="G279" s="258">
        <f>+G278*$K$4</f>
        <v>0</v>
      </c>
      <c r="H279" s="258">
        <f>+H278*$K$4</f>
        <v>0</v>
      </c>
      <c r="I279" s="258">
        <f>+I278*$K$4</f>
        <v>0</v>
      </c>
      <c r="J279" s="255"/>
      <c r="K279" s="255"/>
      <c r="L279" s="291"/>
    </row>
    <row r="280" spans="1:12" ht="20.100000000000001" customHeight="1">
      <c r="A280" s="280"/>
      <c r="B280" s="886" t="s">
        <v>412</v>
      </c>
      <c r="C280" s="281"/>
      <c r="D280" s="281"/>
      <c r="E280" s="256"/>
      <c r="F280" s="985"/>
      <c r="G280" s="271"/>
      <c r="H280" s="271"/>
      <c r="I280" s="255"/>
      <c r="J280" s="281"/>
      <c r="K280" s="281"/>
      <c r="L280" s="294"/>
    </row>
    <row r="281" spans="1:12" s="237" customFormat="1" ht="20.25" customHeight="1">
      <c r="A281" s="250"/>
      <c r="B281" s="248"/>
      <c r="C281" s="269"/>
      <c r="D281" s="269"/>
      <c r="E281" s="248"/>
      <c r="F281" s="979"/>
      <c r="G281" s="265"/>
      <c r="H281" s="265"/>
      <c r="I281" s="265"/>
      <c r="J281" s="270"/>
      <c r="K281" s="265"/>
      <c r="L281" s="288"/>
    </row>
    <row r="282" spans="1:12" s="237" customFormat="1" ht="20.25" customHeight="1">
      <c r="A282" s="250"/>
      <c r="B282" s="248"/>
      <c r="C282" s="269"/>
      <c r="D282" s="269"/>
      <c r="E282" s="248"/>
      <c r="F282" s="979"/>
      <c r="G282" s="265"/>
      <c r="H282" s="265"/>
      <c r="I282" s="265"/>
      <c r="J282" s="270"/>
      <c r="K282" s="265"/>
      <c r="L282" s="288"/>
    </row>
    <row r="283" spans="1:12" ht="20.100000000000001" customHeight="1">
      <c r="A283" s="239"/>
      <c r="B283" s="240"/>
      <c r="C283" s="240"/>
      <c r="D283" s="240"/>
      <c r="E283" s="378" t="s">
        <v>395</v>
      </c>
      <c r="F283" s="980" t="s">
        <v>398</v>
      </c>
      <c r="G283" s="258">
        <f>+SUM(G281:G282)</f>
        <v>0</v>
      </c>
      <c r="H283" s="258">
        <f>+SUM(H281:H282)</f>
        <v>0</v>
      </c>
      <c r="I283" s="258">
        <f>+SUM(I281:I282)</f>
        <v>0</v>
      </c>
      <c r="J283" s="240"/>
      <c r="K283" s="240"/>
      <c r="L283" s="289"/>
    </row>
    <row r="284" spans="1:12" ht="20.100000000000001" customHeight="1">
      <c r="A284" s="254"/>
      <c r="B284" s="255"/>
      <c r="C284" s="255"/>
      <c r="D284" s="255"/>
      <c r="E284" s="378"/>
      <c r="F284" s="980" t="s">
        <v>399</v>
      </c>
      <c r="G284" s="258">
        <f>+G283*$K$4</f>
        <v>0</v>
      </c>
      <c r="H284" s="258">
        <f>+H283*$K$4</f>
        <v>0</v>
      </c>
      <c r="I284" s="258">
        <f>+I283*$K$4</f>
        <v>0</v>
      </c>
      <c r="J284" s="255"/>
      <c r="K284" s="255"/>
      <c r="L284" s="291"/>
    </row>
    <row r="285" spans="1:12" ht="20.100000000000001" customHeight="1">
      <c r="A285" s="272"/>
      <c r="B285" s="279" t="s">
        <v>470</v>
      </c>
      <c r="C285" s="273"/>
      <c r="D285" s="273"/>
      <c r="E285" s="274"/>
      <c r="F285" s="989"/>
      <c r="G285" s="275"/>
      <c r="H285" s="275"/>
      <c r="I285" s="273"/>
      <c r="J285" s="273"/>
      <c r="K285" s="273"/>
      <c r="L285" s="278"/>
    </row>
    <row r="286" spans="1:12" ht="20.100000000000001" customHeight="1">
      <c r="A286" s="254"/>
      <c r="B286" s="259" t="s">
        <v>422</v>
      </c>
      <c r="C286" s="255"/>
      <c r="D286" s="255"/>
      <c r="E286" s="256"/>
      <c r="F286" s="985"/>
      <c r="G286" s="271"/>
      <c r="H286" s="271"/>
      <c r="I286" s="255"/>
      <c r="J286" s="255"/>
      <c r="K286" s="255"/>
      <c r="L286" s="291"/>
    </row>
    <row r="287" spans="1:12" ht="20.100000000000001" customHeight="1">
      <c r="A287" s="287"/>
      <c r="B287" s="248"/>
      <c r="C287" s="269"/>
      <c r="D287" s="269"/>
      <c r="E287" s="248"/>
      <c r="F287" s="979"/>
      <c r="G287" s="265"/>
      <c r="H287" s="265"/>
      <c r="I287" s="265"/>
      <c r="J287" s="270"/>
      <c r="K287" s="265"/>
      <c r="L287" s="288"/>
    </row>
    <row r="288" spans="1:12" ht="20.100000000000001" customHeight="1">
      <c r="A288" s="239"/>
      <c r="B288" s="240"/>
      <c r="C288" s="240"/>
      <c r="D288" s="240"/>
      <c r="E288" s="378" t="s">
        <v>395</v>
      </c>
      <c r="F288" s="980" t="s">
        <v>398</v>
      </c>
      <c r="G288" s="258">
        <f>+SUM(G287)</f>
        <v>0</v>
      </c>
      <c r="H288" s="258">
        <f>+SUM(H287:H287)</f>
        <v>0</v>
      </c>
      <c r="I288" s="258">
        <f>+SUM(I287:I287)</f>
        <v>0</v>
      </c>
      <c r="J288" s="240"/>
      <c r="K288" s="240"/>
      <c r="L288" s="289"/>
    </row>
    <row r="289" spans="1:12" ht="20.100000000000001" customHeight="1">
      <c r="A289" s="254"/>
      <c r="B289" s="255"/>
      <c r="C289" s="255"/>
      <c r="D289" s="255"/>
      <c r="E289" s="378"/>
      <c r="F289" s="980" t="s">
        <v>399</v>
      </c>
      <c r="G289" s="258">
        <f>+G288*$K$4</f>
        <v>0</v>
      </c>
      <c r="H289" s="258">
        <f>+H288*$K$4</f>
        <v>0</v>
      </c>
      <c r="I289" s="258">
        <f>+I288*$K$4</f>
        <v>0</v>
      </c>
      <c r="J289" s="255"/>
      <c r="K289" s="255"/>
      <c r="L289" s="291"/>
    </row>
    <row r="290" spans="1:12" ht="20.100000000000001" customHeight="1">
      <c r="A290" s="411"/>
      <c r="B290" s="259" t="s">
        <v>425</v>
      </c>
      <c r="C290" s="281"/>
      <c r="D290" s="281"/>
      <c r="E290" s="256"/>
      <c r="F290" s="985"/>
      <c r="G290" s="271"/>
      <c r="H290" s="271"/>
      <c r="I290" s="255"/>
      <c r="J290" s="281"/>
      <c r="K290" s="281"/>
      <c r="L290" s="294"/>
    </row>
    <row r="291" spans="1:12" s="237" customFormat="1" ht="20.100000000000001" customHeight="1">
      <c r="A291" s="287"/>
      <c r="B291" s="248"/>
      <c r="C291" s="269"/>
      <c r="D291" s="269"/>
      <c r="E291" s="248"/>
      <c r="F291" s="979"/>
      <c r="G291" s="265"/>
      <c r="H291" s="265"/>
      <c r="I291" s="265"/>
      <c r="J291" s="270"/>
      <c r="K291" s="265"/>
      <c r="L291" s="288"/>
    </row>
    <row r="292" spans="1:12" ht="20.100000000000001" customHeight="1">
      <c r="A292" s="239"/>
      <c r="B292" s="240"/>
      <c r="C292" s="240"/>
      <c r="D292" s="240"/>
      <c r="E292" s="378" t="s">
        <v>395</v>
      </c>
      <c r="F292" s="980" t="s">
        <v>398</v>
      </c>
      <c r="G292" s="258">
        <f>+SUM(G291)</f>
        <v>0</v>
      </c>
      <c r="H292" s="258">
        <f>+SUM(H291:H291)</f>
        <v>0</v>
      </c>
      <c r="I292" s="258">
        <f>+SUM(I291:I291)</f>
        <v>0</v>
      </c>
      <c r="J292" s="240"/>
      <c r="K292" s="240"/>
      <c r="L292" s="289"/>
    </row>
    <row r="293" spans="1:12" ht="20.100000000000001" customHeight="1">
      <c r="A293" s="254"/>
      <c r="B293" s="255"/>
      <c r="C293" s="255"/>
      <c r="D293" s="255"/>
      <c r="E293" s="378"/>
      <c r="F293" s="980" t="s">
        <v>399</v>
      </c>
      <c r="G293" s="258">
        <f>+G292*$K$4</f>
        <v>0</v>
      </c>
      <c r="H293" s="258">
        <f>+H292*$K$4</f>
        <v>0</v>
      </c>
      <c r="I293" s="258">
        <f>+I292*$K$4</f>
        <v>0</v>
      </c>
      <c r="J293" s="255"/>
      <c r="K293" s="255"/>
      <c r="L293" s="291"/>
    </row>
    <row r="294" spans="1:12" ht="20.100000000000001" customHeight="1">
      <c r="A294" s="280"/>
      <c r="B294" s="283" t="s">
        <v>412</v>
      </c>
      <c r="C294" s="281"/>
      <c r="D294" s="281"/>
      <c r="E294" s="256"/>
      <c r="F294" s="985"/>
      <c r="G294" s="271"/>
      <c r="H294" s="271"/>
      <c r="I294" s="255"/>
      <c r="J294" s="281"/>
      <c r="K294" s="281"/>
      <c r="L294" s="294"/>
    </row>
    <row r="295" spans="1:12" ht="20.100000000000001" customHeight="1">
      <c r="A295" s="287"/>
      <c r="B295" s="248"/>
      <c r="C295" s="269"/>
      <c r="D295" s="269"/>
      <c r="E295" s="248"/>
      <c r="F295" s="979"/>
      <c r="G295" s="265"/>
      <c r="H295" s="265"/>
      <c r="I295" s="265"/>
      <c r="J295" s="270"/>
      <c r="K295" s="265"/>
      <c r="L295" s="288"/>
    </row>
    <row r="296" spans="1:12" s="237" customFormat="1" ht="20.100000000000001" customHeight="1">
      <c r="A296" s="250"/>
      <c r="B296" s="248"/>
      <c r="C296" s="269"/>
      <c r="D296" s="269"/>
      <c r="E296" s="248"/>
      <c r="F296" s="979"/>
      <c r="G296" s="265"/>
      <c r="H296" s="265"/>
      <c r="I296" s="265"/>
      <c r="J296" s="270"/>
      <c r="K296" s="265"/>
      <c r="L296" s="288"/>
    </row>
    <row r="297" spans="1:12" ht="20.100000000000001" customHeight="1">
      <c r="A297" s="239"/>
      <c r="B297" s="240"/>
      <c r="C297" s="240"/>
      <c r="D297" s="240"/>
      <c r="E297" s="378" t="s">
        <v>395</v>
      </c>
      <c r="F297" s="980" t="s">
        <v>398</v>
      </c>
      <c r="G297" s="258">
        <f>+SUM(G295:G296)</f>
        <v>0</v>
      </c>
      <c r="H297" s="258">
        <f>+SUM(H295:H296)</f>
        <v>0</v>
      </c>
      <c r="I297" s="258">
        <f>+SUM(I295:I296)</f>
        <v>0</v>
      </c>
      <c r="J297" s="240"/>
      <c r="K297" s="240"/>
      <c r="L297" s="289"/>
    </row>
    <row r="298" spans="1:12" ht="20.100000000000001" customHeight="1">
      <c r="A298" s="254"/>
      <c r="B298" s="255"/>
      <c r="C298" s="255"/>
      <c r="D298" s="255"/>
      <c r="E298" s="378"/>
      <c r="F298" s="980" t="s">
        <v>399</v>
      </c>
      <c r="G298" s="258">
        <f>+G297*$K$4</f>
        <v>0</v>
      </c>
      <c r="H298" s="258">
        <f>+H297*$K$4</f>
        <v>0</v>
      </c>
      <c r="I298" s="258">
        <f>+I297*$K$4</f>
        <v>0</v>
      </c>
      <c r="J298" s="255"/>
      <c r="K298" s="255"/>
      <c r="L298" s="291"/>
    </row>
    <row r="299" spans="1:12" ht="20.100000000000001" customHeight="1">
      <c r="A299" s="272"/>
      <c r="B299" s="277" t="s">
        <v>449</v>
      </c>
      <c r="C299" s="273"/>
      <c r="D299" s="273"/>
      <c r="E299" s="274"/>
      <c r="F299" s="989"/>
      <c r="G299" s="275"/>
      <c r="H299" s="275"/>
      <c r="I299" s="273"/>
      <c r="J299" s="273"/>
      <c r="K299" s="273"/>
      <c r="L299" s="278"/>
    </row>
    <row r="300" spans="1:12" ht="20.100000000000001" customHeight="1">
      <c r="A300" s="254"/>
      <c r="B300" s="259" t="s">
        <v>425</v>
      </c>
      <c r="C300" s="255"/>
      <c r="D300" s="255"/>
      <c r="E300" s="256"/>
      <c r="F300" s="985"/>
      <c r="G300" s="271"/>
      <c r="H300" s="271"/>
      <c r="I300" s="255"/>
      <c r="J300" s="255"/>
      <c r="K300" s="255"/>
      <c r="L300" s="291"/>
    </row>
    <row r="301" spans="1:12" s="410" customFormat="1" ht="20.100000000000001" customHeight="1">
      <c r="A301" s="1361"/>
      <c r="B301" s="1056"/>
      <c r="C301" s="1055"/>
      <c r="D301" s="1055"/>
      <c r="E301" s="1056"/>
      <c r="F301" s="1057"/>
      <c r="G301" s="1058"/>
      <c r="H301" s="1058"/>
      <c r="I301" s="1058"/>
      <c r="J301" s="1059"/>
      <c r="K301" s="1058"/>
      <c r="L301" s="1060"/>
    </row>
    <row r="302" spans="1:12" s="237" customFormat="1" ht="20.100000000000001" customHeight="1">
      <c r="A302" s="287"/>
      <c r="B302" s="248"/>
      <c r="C302" s="269"/>
      <c r="D302" s="269"/>
      <c r="E302" s="248"/>
      <c r="F302" s="979"/>
      <c r="G302" s="265"/>
      <c r="H302" s="265"/>
      <c r="I302" s="265"/>
      <c r="J302" s="270"/>
      <c r="K302" s="265"/>
      <c r="L302" s="288"/>
    </row>
    <row r="303" spans="1:12" ht="20.100000000000001" customHeight="1">
      <c r="A303" s="297"/>
      <c r="B303" s="298"/>
      <c r="C303" s="298"/>
      <c r="D303" s="298"/>
      <c r="E303" s="395" t="s">
        <v>395</v>
      </c>
      <c r="F303" s="993" t="s">
        <v>398</v>
      </c>
      <c r="G303" s="258">
        <f>+SUM(G301:G302)</f>
        <v>0</v>
      </c>
      <c r="H303" s="258">
        <f>+SUM(H301:H302)</f>
        <v>0</v>
      </c>
      <c r="I303" s="258">
        <f>+SUM(I301:I302)</f>
        <v>0</v>
      </c>
      <c r="J303" s="298"/>
      <c r="K303" s="298"/>
      <c r="L303" s="301"/>
    </row>
    <row r="304" spans="1:12" ht="20.100000000000001" customHeight="1">
      <c r="A304" s="319"/>
      <c r="B304" s="320"/>
      <c r="C304" s="320"/>
      <c r="D304" s="320"/>
      <c r="E304" s="395"/>
      <c r="F304" s="993" t="s">
        <v>399</v>
      </c>
      <c r="G304" s="258">
        <f>+G303*$K$4</f>
        <v>0</v>
      </c>
      <c r="H304" s="258">
        <f>+H303*$K$4</f>
        <v>0</v>
      </c>
      <c r="I304" s="258">
        <f>+I303*$K$4</f>
        <v>0</v>
      </c>
      <c r="J304" s="320"/>
      <c r="K304" s="320"/>
      <c r="L304" s="321"/>
    </row>
    <row r="305" spans="1:12" ht="20.100000000000001" customHeight="1">
      <c r="A305" s="280"/>
      <c r="B305" s="283" t="s">
        <v>412</v>
      </c>
      <c r="C305" s="281"/>
      <c r="D305" s="281"/>
      <c r="E305" s="256"/>
      <c r="F305" s="985"/>
      <c r="G305" s="271"/>
      <c r="H305" s="271"/>
      <c r="I305" s="255"/>
      <c r="J305" s="281"/>
      <c r="K305" s="281"/>
      <c r="L305" s="294"/>
    </row>
    <row r="306" spans="1:12" ht="20.100000000000001" customHeight="1">
      <c r="A306" s="1393"/>
      <c r="B306" s="317" t="s">
        <v>985</v>
      </c>
      <c r="C306" s="269" t="e">
        <f>+VLOOKUP(B306,'New Master-List'!$B$1:$AI$4223,31,FALSE)</f>
        <v>#N/A</v>
      </c>
      <c r="D306" s="269" t="e">
        <f>+VLOOKUP(B306,'New Master-List'!$B$1:$AI$4223,30,FALSE)</f>
        <v>#N/A</v>
      </c>
      <c r="E306" s="248" t="e">
        <f>+VLOOKUP(B306,'New Master-List'!$B$1:$AI$4223,10,FALSE)</f>
        <v>#N/A</v>
      </c>
      <c r="F306" s="979" t="e">
        <f>+VLOOKUP(B306,'New Master-List'!$B$8:$AG$389,9,FALSE)</f>
        <v>#N/A</v>
      </c>
      <c r="G306" s="265" t="e">
        <f>+VLOOKUP(B306,'New Master-List'!$B$8:$AG$389,11,FALSE)</f>
        <v>#N/A</v>
      </c>
      <c r="H306" s="265" t="e">
        <f>+VLOOKUP(B306,'New Master-List'!$B$8:$AG$389,12,FALSE)+VLOOKUP(B306,'New Master-List'!$B$8:$AG$389,13,FALSE)++VLOOKUP(B306,'New Master-List'!$B$8:$AG$389,14,FALSE)</f>
        <v>#N/A</v>
      </c>
      <c r="I306" s="265" t="e">
        <f>+VLOOKUP(B306,'New Master-List'!$B$8:$AG$389,21,FALSE)</f>
        <v>#N/A</v>
      </c>
      <c r="J306" s="270" t="e">
        <f>+VLOOKUP(B306,'New Master-List'!$B$8:$AG$389,22,FALSE)</f>
        <v>#N/A</v>
      </c>
      <c r="K306" s="265" t="e">
        <f>+VLOOKUP(B306,'New Master-List'!$B$8:$AG$389,23,FALSE)</f>
        <v>#N/A</v>
      </c>
      <c r="L306" s="288" t="e">
        <f>+VLOOKUP(B306,'New Master-List'!$B$3:$AI$389,33,FALSE)</f>
        <v>#N/A</v>
      </c>
    </row>
    <row r="307" spans="1:12" ht="20.100000000000001" customHeight="1">
      <c r="A307" s="1393"/>
      <c r="B307" s="317" t="s">
        <v>752</v>
      </c>
      <c r="C307" s="269" t="str">
        <f>+VLOOKUP(B307,'New Master-List'!$B$1:$AI$4223,31,FALSE)</f>
        <v>Car Accessories Sellor</v>
      </c>
      <c r="D307" s="269" t="str">
        <f>+VLOOKUP(B307,'New Master-List'!$B$1:$AI$4223,30,FALSE)</f>
        <v>Buy Land</v>
      </c>
      <c r="E307" s="248" t="str">
        <f>+VLOOKUP(B307,'New Master-List'!$B$1:$AI$4223,10,FALSE)</f>
        <v>T/L</v>
      </c>
      <c r="F307" s="979">
        <f>+VLOOKUP(B307,'New Master-List'!$B$8:$AG$389,9,FALSE)</f>
        <v>0.1</v>
      </c>
      <c r="G307" s="265">
        <f>+VLOOKUP(B307,'New Master-List'!$B$8:$AG$389,11,FALSE)</f>
        <v>100000</v>
      </c>
      <c r="H307" s="265">
        <f>+VLOOKUP(B307,'New Master-List'!$B$8:$AG$389,12,FALSE)+VLOOKUP(B307,'New Master-List'!$B$8:$AG$389,13,FALSE)++VLOOKUP(B307,'New Master-List'!$B$8:$AG$389,14,FALSE)</f>
        <v>81912.09</v>
      </c>
      <c r="I307" s="265">
        <f>+VLOOKUP(B307,'New Master-List'!$B$8:$AG$389,21,FALSE)</f>
        <v>475.37</v>
      </c>
      <c r="J307" s="270">
        <f>+VLOOKUP(B307,'New Master-List'!$B$8:$AG$389,22,FALSE)</f>
        <v>0.01</v>
      </c>
      <c r="K307" s="265">
        <f>+VLOOKUP(B307,'New Master-List'!$B$8:$AG$389,23,FALSE)</f>
        <v>819.12090000000001</v>
      </c>
      <c r="L307" s="288" t="str">
        <f>+VLOOKUP(B307,'New Master-List'!$B$3:$AI$389,33,FALSE)</f>
        <v>3.1.1- Secured, excluded Mortgages to purchase owner-occupied housing-HOUSE</v>
      </c>
    </row>
    <row r="308" spans="1:12" ht="20.100000000000001" customHeight="1">
      <c r="A308" s="1393"/>
      <c r="B308" s="317" t="s">
        <v>648</v>
      </c>
      <c r="C308" s="269" t="e">
        <f>+VLOOKUP(B308,'New Master-List'!$B$1:$AI$4223,31,FALSE)</f>
        <v>#N/A</v>
      </c>
      <c r="D308" s="269" t="e">
        <f>+VLOOKUP(B308,'New Master-List'!$B$1:$AI$4223,30,FALSE)</f>
        <v>#N/A</v>
      </c>
      <c r="E308" s="248" t="e">
        <f>+VLOOKUP(B308,'New Master-List'!$B$1:$AI$4223,10,FALSE)</f>
        <v>#N/A</v>
      </c>
      <c r="F308" s="979" t="e">
        <f>+VLOOKUP(B308,'New Master-List'!$B$8:$AG$389,9,FALSE)</f>
        <v>#N/A</v>
      </c>
      <c r="G308" s="265" t="e">
        <f>+VLOOKUP(B308,'New Master-List'!$B$8:$AG$389,11,FALSE)</f>
        <v>#N/A</v>
      </c>
      <c r="H308" s="265" t="e">
        <f>+VLOOKUP(B308,'New Master-List'!$B$8:$AG$389,12,FALSE)+VLOOKUP(B308,'New Master-List'!$B$8:$AG$389,13,FALSE)++VLOOKUP(B308,'New Master-List'!$B$8:$AG$389,14,FALSE)</f>
        <v>#N/A</v>
      </c>
      <c r="I308" s="265" t="e">
        <f>+VLOOKUP(B308,'New Master-List'!$B$8:$AG$389,21,FALSE)</f>
        <v>#N/A</v>
      </c>
      <c r="J308" s="270" t="e">
        <f>+VLOOKUP(B308,'New Master-List'!$B$8:$AG$389,22,FALSE)</f>
        <v>#N/A</v>
      </c>
      <c r="K308" s="265" t="e">
        <f>+VLOOKUP(B308,'New Master-List'!$B$8:$AG$389,23,FALSE)</f>
        <v>#N/A</v>
      </c>
      <c r="L308" s="288" t="e">
        <f>+VLOOKUP(B308,'New Master-List'!$B$3:$AI$389,33,FALSE)</f>
        <v>#N/A</v>
      </c>
    </row>
    <row r="309" spans="1:12">
      <c r="A309" s="1393"/>
      <c r="B309" s="317" t="s">
        <v>645</v>
      </c>
      <c r="C309" s="269" t="e">
        <f>+VLOOKUP(B309,'New Master-List'!$B$1:$AI$4223,31,FALSE)</f>
        <v>#N/A</v>
      </c>
      <c r="D309" s="269" t="e">
        <f>+VLOOKUP(B309,'New Master-List'!$B$1:$AI$4223,30,FALSE)</f>
        <v>#N/A</v>
      </c>
      <c r="E309" s="248" t="e">
        <f>+VLOOKUP(B309,'New Master-List'!$B$1:$AI$4223,10,FALSE)</f>
        <v>#N/A</v>
      </c>
      <c r="F309" s="979" t="e">
        <f>+VLOOKUP(B309,'New Master-List'!$B$8:$AG$389,9,FALSE)</f>
        <v>#N/A</v>
      </c>
      <c r="G309" s="265" t="e">
        <f>+VLOOKUP(B309,'New Master-List'!$B$8:$AG$389,11,FALSE)</f>
        <v>#N/A</v>
      </c>
      <c r="H309" s="265" t="e">
        <f>+VLOOKUP(B309,'New Master-List'!$B$8:$AG$389,12,FALSE)+VLOOKUP(B309,'New Master-List'!$B$8:$AG$389,13,FALSE)++VLOOKUP(B309,'New Master-List'!$B$8:$AG$389,14,FALSE)</f>
        <v>#N/A</v>
      </c>
      <c r="I309" s="265" t="e">
        <f>+VLOOKUP(B309,'New Master-List'!$B$8:$AG$389,21,FALSE)</f>
        <v>#N/A</v>
      </c>
      <c r="J309" s="270" t="e">
        <f>+VLOOKUP(B309,'New Master-List'!$B$8:$AG$389,22,FALSE)</f>
        <v>#N/A</v>
      </c>
      <c r="K309" s="265" t="e">
        <f>+VLOOKUP(B309,'New Master-List'!$B$8:$AG$389,23,FALSE)</f>
        <v>#N/A</v>
      </c>
      <c r="L309" s="288" t="e">
        <f>+VLOOKUP(B309,'New Master-List'!$B$3:$AI$389,33,FALSE)</f>
        <v>#N/A</v>
      </c>
    </row>
    <row r="310" spans="1:12" s="237" customFormat="1" ht="20.100000000000001" customHeight="1">
      <c r="A310" s="250"/>
      <c r="B310" s="1041" t="s">
        <v>728</v>
      </c>
      <c r="C310" s="269" t="e">
        <f>+VLOOKUP(B310,'New Master-List'!$B$1:$AI$4223,31,FALSE)</f>
        <v>#N/A</v>
      </c>
      <c r="D310" s="269" t="e">
        <f>+VLOOKUP(B310,'New Master-List'!$B$1:$AI$4223,30,FALSE)</f>
        <v>#N/A</v>
      </c>
      <c r="E310" s="248" t="e">
        <f>+VLOOKUP(B310,'New Master-List'!$B$1:$AI$4223,10,FALSE)</f>
        <v>#N/A</v>
      </c>
      <c r="F310" s="979" t="e">
        <f>+VLOOKUP(B310,'New Master-List'!$B$8:$AG$389,9,FALSE)</f>
        <v>#N/A</v>
      </c>
      <c r="G310" s="265" t="e">
        <f>+VLOOKUP(B310,'New Master-List'!$B$8:$AG$389,11,FALSE)</f>
        <v>#N/A</v>
      </c>
      <c r="H310" s="265" t="e">
        <f>+VLOOKUP(B310,'New Master-List'!$B$8:$AG$389,12,FALSE)+VLOOKUP(B310,'New Master-List'!$B$8:$AG$389,13,FALSE)++VLOOKUP(B310,'New Master-List'!$B$8:$AG$389,14,FALSE)</f>
        <v>#N/A</v>
      </c>
      <c r="I310" s="265" t="e">
        <f>+VLOOKUP(B310,'New Master-List'!$B$8:$AG$389,21,FALSE)</f>
        <v>#N/A</v>
      </c>
      <c r="J310" s="270" t="e">
        <f>+VLOOKUP(B310,'New Master-List'!$B$8:$AG$389,22,FALSE)</f>
        <v>#N/A</v>
      </c>
      <c r="K310" s="265" t="e">
        <f>+VLOOKUP(B310,'New Master-List'!$B$8:$AG$389,23,FALSE)</f>
        <v>#N/A</v>
      </c>
      <c r="L310" s="288" t="e">
        <f>+VLOOKUP(B310,'New Master-List'!$B$3:$AI$389,33,FALSE)</f>
        <v>#N/A</v>
      </c>
    </row>
    <row r="311" spans="1:12" s="237" customFormat="1" ht="20.100000000000001" customHeight="1">
      <c r="A311" s="250"/>
      <c r="B311" s="1041" t="s">
        <v>712</v>
      </c>
      <c r="C311" s="269" t="str">
        <f>+VLOOKUP(B311,'New Master-List'!$B$1:$AI$4223,31,FALSE)</f>
        <v>Home Appliance seller</v>
      </c>
      <c r="D311" s="269" t="str">
        <f>+VLOOKUP(B311,'New Master-List'!$B$1:$AI$4223,30,FALSE)</f>
        <v>Housing Loan</v>
      </c>
      <c r="E311" s="248" t="str">
        <f>+VLOOKUP(B311,'New Master-List'!$B$1:$AI$4223,10,FALSE)</f>
        <v>T/L</v>
      </c>
      <c r="F311" s="979">
        <f>+VLOOKUP(B311,'New Master-List'!$B$8:$AG$389,9,FALSE)</f>
        <v>9.5000000000000001E-2</v>
      </c>
      <c r="G311" s="265">
        <f>+VLOOKUP(B311,'New Master-List'!$B$8:$AG$389,11,FALSE)</f>
        <v>170000</v>
      </c>
      <c r="H311" s="265">
        <f>+VLOOKUP(B311,'New Master-List'!$B$8:$AG$389,12,FALSE)+VLOOKUP(B311,'New Master-List'!$B$8:$AG$389,13,FALSE)++VLOOKUP(B311,'New Master-List'!$B$8:$AG$389,14,FALSE)</f>
        <v>59828.93</v>
      </c>
      <c r="I311" s="265">
        <f>+VLOOKUP(B311,'New Master-List'!$B$8:$AG$389,21,FALSE)</f>
        <v>535.87</v>
      </c>
      <c r="J311" s="270">
        <f>+VLOOKUP(B311,'New Master-List'!$B$8:$AG$389,22,FALSE)</f>
        <v>0.01</v>
      </c>
      <c r="K311" s="265">
        <f>+VLOOKUP(B311,'New Master-List'!$B$8:$AG$389,23,FALSE)</f>
        <v>598.28930000000003</v>
      </c>
      <c r="L311" s="288" t="str">
        <f>+VLOOKUP(B311,'New Master-List'!$B$3:$AI$389,33,FALSE)</f>
        <v>3.3- Mortgages, Owner-Occupied Housing only-HOUSE</v>
      </c>
    </row>
    <row r="312" spans="1:12" s="237" customFormat="1" ht="20.100000000000001" customHeight="1">
      <c r="A312" s="250"/>
      <c r="B312" s="1041" t="s">
        <v>711</v>
      </c>
      <c r="C312" s="269" t="e">
        <f>+VLOOKUP(B312,'New Master-List'!$B$1:$AI$4223,31,FALSE)</f>
        <v>#N/A</v>
      </c>
      <c r="D312" s="269" t="e">
        <f>+VLOOKUP(B312,'New Master-List'!$B$1:$AI$4223,30,FALSE)</f>
        <v>#N/A</v>
      </c>
      <c r="E312" s="248" t="e">
        <f>+VLOOKUP(B312,'New Master-List'!$B$1:$AI$4223,10,FALSE)</f>
        <v>#N/A</v>
      </c>
      <c r="F312" s="979" t="e">
        <f>+VLOOKUP(B312,'New Master-List'!$B$8:$AG$389,9,FALSE)</f>
        <v>#N/A</v>
      </c>
      <c r="G312" s="265" t="e">
        <f>+VLOOKUP(B312,'New Master-List'!$B$8:$AG$389,11,FALSE)</f>
        <v>#N/A</v>
      </c>
      <c r="H312" s="265" t="e">
        <f>+VLOOKUP(B312,'New Master-List'!$B$8:$AG$389,12,FALSE)+VLOOKUP(B312,'New Master-List'!$B$8:$AG$389,13,FALSE)++VLOOKUP(B312,'New Master-List'!$B$8:$AG$389,14,FALSE)</f>
        <v>#N/A</v>
      </c>
      <c r="I312" s="265" t="e">
        <f>+VLOOKUP(B312,'New Master-List'!$B$8:$AG$389,21,FALSE)</f>
        <v>#N/A</v>
      </c>
      <c r="J312" s="270" t="e">
        <f>+VLOOKUP(B312,'New Master-List'!$B$8:$AG$389,22,FALSE)</f>
        <v>#N/A</v>
      </c>
      <c r="K312" s="265" t="e">
        <f>+VLOOKUP(B312,'New Master-List'!$B$8:$AG$389,23,FALSE)</f>
        <v>#N/A</v>
      </c>
      <c r="L312" s="288" t="e">
        <f>+VLOOKUP(B312,'New Master-List'!$B$3:$AI$389,33,FALSE)</f>
        <v>#N/A</v>
      </c>
    </row>
    <row r="313" spans="1:12" ht="20.100000000000001" customHeight="1">
      <c r="A313" s="239"/>
      <c r="B313" s="240"/>
      <c r="C313" s="728"/>
      <c r="D313" s="240"/>
      <c r="E313" s="378" t="s">
        <v>395</v>
      </c>
      <c r="F313" s="980" t="s">
        <v>398</v>
      </c>
      <c r="G313" s="258" t="e">
        <f>+SUM(G306:G312)</f>
        <v>#N/A</v>
      </c>
      <c r="H313" s="258" t="e">
        <f>SUM(H306:H312)</f>
        <v>#N/A</v>
      </c>
      <c r="I313" s="258" t="e">
        <f>+SUM(I306:I312)</f>
        <v>#N/A</v>
      </c>
      <c r="J313" s="240"/>
      <c r="K313" s="240"/>
      <c r="L313" s="289"/>
    </row>
    <row r="314" spans="1:12" ht="20.100000000000001" customHeight="1">
      <c r="A314" s="254"/>
      <c r="B314" s="255"/>
      <c r="C314" s="273"/>
      <c r="D314" s="255"/>
      <c r="E314" s="378"/>
      <c r="F314" s="980" t="s">
        <v>399</v>
      </c>
      <c r="G314" s="258" t="e">
        <f>+G313*$K$4</f>
        <v>#N/A</v>
      </c>
      <c r="H314" s="258" t="e">
        <f>+H313*$K$4</f>
        <v>#N/A</v>
      </c>
      <c r="I314" s="258" t="e">
        <f>+I313*$K$4</f>
        <v>#N/A</v>
      </c>
      <c r="J314" s="255"/>
      <c r="K314" s="255"/>
      <c r="L314" s="291"/>
    </row>
    <row r="315" spans="1:12" ht="20.100000000000001" customHeight="1">
      <c r="A315" s="272"/>
      <c r="B315" s="277" t="s">
        <v>450</v>
      </c>
      <c r="C315" s="273"/>
      <c r="D315" s="273"/>
      <c r="E315" s="274"/>
      <c r="F315" s="989"/>
      <c r="G315" s="275"/>
      <c r="H315" s="275"/>
      <c r="I315" s="273"/>
      <c r="J315" s="273"/>
      <c r="K315" s="273"/>
      <c r="L315" s="278"/>
    </row>
    <row r="316" spans="1:12" ht="20.100000000000001" customHeight="1">
      <c r="A316" s="254"/>
      <c r="B316" s="259" t="s">
        <v>422</v>
      </c>
      <c r="C316" s="255"/>
      <c r="D316" s="255"/>
      <c r="E316" s="256"/>
      <c r="F316" s="985"/>
      <c r="G316" s="271"/>
      <c r="H316" s="271"/>
      <c r="I316" s="255"/>
      <c r="J316" s="255"/>
      <c r="K316" s="255"/>
      <c r="L316" s="291"/>
    </row>
    <row r="317" spans="1:12" ht="20.100000000000001" customHeight="1">
      <c r="A317" s="287"/>
      <c r="B317" s="248"/>
      <c r="C317" s="269"/>
      <c r="D317" s="269"/>
      <c r="E317" s="248"/>
      <c r="F317" s="979"/>
      <c r="G317" s="265"/>
      <c r="H317" s="265"/>
      <c r="I317" s="265"/>
      <c r="J317" s="270"/>
      <c r="K317" s="265"/>
      <c r="L317" s="288"/>
    </row>
    <row r="318" spans="1:12" s="410" customFormat="1" ht="20.100000000000001" customHeight="1">
      <c r="A318" s="1361"/>
      <c r="B318" s="1056"/>
      <c r="C318" s="1055"/>
      <c r="D318" s="1055"/>
      <c r="E318" s="1056"/>
      <c r="F318" s="1057"/>
      <c r="G318" s="1058"/>
      <c r="H318" s="1058"/>
      <c r="I318" s="1058"/>
      <c r="J318" s="1059"/>
      <c r="K318" s="1058"/>
      <c r="L318" s="1060"/>
    </row>
    <row r="319" spans="1:12" ht="20.100000000000001" customHeight="1">
      <c r="A319" s="239"/>
      <c r="B319" s="240"/>
      <c r="C319" s="240"/>
      <c r="D319" s="240"/>
      <c r="E319" s="378" t="s">
        <v>395</v>
      </c>
      <c r="F319" s="980" t="s">
        <v>398</v>
      </c>
      <c r="G319" s="258">
        <f>+SUM(G317:G318)</f>
        <v>0</v>
      </c>
      <c r="H319" s="258">
        <f>+SUM(H317:H318)</f>
        <v>0</v>
      </c>
      <c r="I319" s="258">
        <f>+SUM(I317:I318)</f>
        <v>0</v>
      </c>
      <c r="J319" s="240"/>
      <c r="K319" s="240"/>
      <c r="L319" s="289"/>
    </row>
    <row r="320" spans="1:12" ht="20.100000000000001" customHeight="1">
      <c r="A320" s="254"/>
      <c r="B320" s="255"/>
      <c r="C320" s="255"/>
      <c r="D320" s="255"/>
      <c r="E320" s="378"/>
      <c r="F320" s="980" t="s">
        <v>399</v>
      </c>
      <c r="G320" s="258">
        <f>+G319*$K$4</f>
        <v>0</v>
      </c>
      <c r="H320" s="258">
        <f>+H319*$K$4</f>
        <v>0</v>
      </c>
      <c r="I320" s="258">
        <f>+I319*$K$4</f>
        <v>0</v>
      </c>
      <c r="J320" s="255"/>
      <c r="K320" s="255"/>
      <c r="L320" s="291"/>
    </row>
    <row r="321" spans="1:12" ht="20.100000000000001" customHeight="1">
      <c r="A321" s="254"/>
      <c r="B321" s="259" t="s">
        <v>425</v>
      </c>
      <c r="C321" s="255"/>
      <c r="D321" s="255"/>
      <c r="E321" s="256"/>
      <c r="F321" s="985"/>
      <c r="G321" s="271"/>
      <c r="H321" s="271"/>
      <c r="I321" s="255"/>
      <c r="J321" s="255"/>
      <c r="K321" s="255"/>
      <c r="L321" s="291"/>
    </row>
    <row r="322" spans="1:12" s="237" customFormat="1" ht="20.100000000000001" customHeight="1">
      <c r="A322" s="287"/>
      <c r="B322" s="248"/>
      <c r="C322" s="269"/>
      <c r="D322" s="269"/>
      <c r="E322" s="248"/>
      <c r="F322" s="979"/>
      <c r="G322" s="265"/>
      <c r="H322" s="265"/>
      <c r="I322" s="265"/>
      <c r="J322" s="270"/>
      <c r="K322" s="265"/>
      <c r="L322" s="288"/>
    </row>
    <row r="323" spans="1:12" ht="20.100000000000001" customHeight="1">
      <c r="A323" s="239"/>
      <c r="B323" s="240"/>
      <c r="C323" s="240"/>
      <c r="D323" s="240"/>
      <c r="E323" s="378" t="s">
        <v>395</v>
      </c>
      <c r="F323" s="980" t="s">
        <v>398</v>
      </c>
      <c r="G323" s="258">
        <f>+SUM(G322)</f>
        <v>0</v>
      </c>
      <c r="H323" s="258">
        <f>+SUM(H322)</f>
        <v>0</v>
      </c>
      <c r="I323" s="258">
        <f>+SUM(I322)</f>
        <v>0</v>
      </c>
      <c r="J323" s="240"/>
      <c r="K323" s="240"/>
      <c r="L323" s="289"/>
    </row>
    <row r="324" spans="1:12" ht="20.100000000000001" customHeight="1">
      <c r="A324" s="254"/>
      <c r="B324" s="255"/>
      <c r="C324" s="255"/>
      <c r="D324" s="255"/>
      <c r="E324" s="378"/>
      <c r="F324" s="980" t="s">
        <v>399</v>
      </c>
      <c r="G324" s="258">
        <f>+G323*$K$4</f>
        <v>0</v>
      </c>
      <c r="H324" s="258">
        <f>+H323*$K$4</f>
        <v>0</v>
      </c>
      <c r="I324" s="258">
        <f>+I323*$K$4</f>
        <v>0</v>
      </c>
      <c r="J324" s="255"/>
      <c r="K324" s="255"/>
      <c r="L324" s="291"/>
    </row>
    <row r="325" spans="1:12" ht="20.100000000000001" customHeight="1">
      <c r="A325" s="280"/>
      <c r="B325" s="283" t="s">
        <v>412</v>
      </c>
      <c r="C325" s="281"/>
      <c r="D325" s="281"/>
      <c r="E325" s="256"/>
      <c r="F325" s="985"/>
      <c r="G325" s="271"/>
      <c r="H325" s="271"/>
      <c r="I325" s="255"/>
      <c r="J325" s="281"/>
      <c r="K325" s="281"/>
      <c r="L325" s="294"/>
    </row>
    <row r="326" spans="1:12" s="237" customFormat="1">
      <c r="A326" s="287"/>
      <c r="B326" s="248" t="s">
        <v>641</v>
      </c>
      <c r="C326" s="269" t="e">
        <f>+VLOOKUP(B326,'New Master-List'!$B$1:$AI$4223,31,FALSE)</f>
        <v>#N/A</v>
      </c>
      <c r="D326" s="269" t="e">
        <f>+VLOOKUP(B326,'New Master-List'!$B$1:$AI$4223,30,FALSE)</f>
        <v>#N/A</v>
      </c>
      <c r="E326" s="248" t="e">
        <f>+VLOOKUP(B326,'New Master-List'!$B$1:$AI$4223,10,FALSE)</f>
        <v>#N/A</v>
      </c>
      <c r="F326" s="979" t="e">
        <f>+VLOOKUP(B326,'New Master-List'!$B$8:$AG$389,9,FALSE)</f>
        <v>#N/A</v>
      </c>
      <c r="G326" s="265" t="e">
        <f>+VLOOKUP(B326,'New Master-List'!$B$8:$AG$389,11,FALSE)</f>
        <v>#N/A</v>
      </c>
      <c r="H326" s="265" t="e">
        <f>+VLOOKUP(B326,'New Master-List'!$B$8:$AG$389,12,FALSE)+VLOOKUP(B326,'New Master-List'!$B$8:$AG$389,13,FALSE)++VLOOKUP(B326,'New Master-List'!$B$8:$AG$389,14,FALSE)</f>
        <v>#N/A</v>
      </c>
      <c r="I326" s="265" t="e">
        <f>+VLOOKUP(B326,'New Master-List'!$B$8:$AG$389,21,FALSE)</f>
        <v>#N/A</v>
      </c>
      <c r="J326" s="270" t="e">
        <f>+VLOOKUP(B326,'New Master-List'!$B$8:$AG$389,22,FALSE)</f>
        <v>#N/A</v>
      </c>
      <c r="K326" s="265" t="e">
        <f>+VLOOKUP(B326,'New Master-List'!$B$8:$AG$389,23,FALSE)</f>
        <v>#N/A</v>
      </c>
      <c r="L326" s="288" t="e">
        <f>+VLOOKUP(B326,'New Master-List'!$B$3:$AI$389,33,FALSE)</f>
        <v>#N/A</v>
      </c>
    </row>
    <row r="327" spans="1:12" s="237" customFormat="1" ht="20.100000000000001" customHeight="1">
      <c r="A327" s="287"/>
      <c r="B327" s="248"/>
      <c r="C327" s="269"/>
      <c r="D327" s="269"/>
      <c r="E327" s="248"/>
      <c r="F327" s="979"/>
      <c r="G327" s="265"/>
      <c r="H327" s="265"/>
      <c r="I327" s="265"/>
      <c r="J327" s="270"/>
      <c r="K327" s="265"/>
      <c r="L327" s="288"/>
    </row>
    <row r="328" spans="1:12" ht="20.100000000000001" customHeight="1">
      <c r="A328" s="239"/>
      <c r="B328" s="240"/>
      <c r="C328" s="240"/>
      <c r="D328" s="240"/>
      <c r="E328" s="394" t="s">
        <v>395</v>
      </c>
      <c r="F328" s="992" t="s">
        <v>398</v>
      </c>
      <c r="G328" s="315" t="e">
        <f>+SUM(G326:G327)</f>
        <v>#N/A</v>
      </c>
      <c r="H328" s="315" t="e">
        <f>+SUM(H326:H327)</f>
        <v>#N/A</v>
      </c>
      <c r="I328" s="315" t="e">
        <f>+SUM(I326:I327)</f>
        <v>#N/A</v>
      </c>
      <c r="J328" s="240"/>
      <c r="K328" s="240"/>
      <c r="L328" s="289"/>
    </row>
    <row r="329" spans="1:12" ht="20.100000000000001" customHeight="1">
      <c r="A329" s="254"/>
      <c r="B329" s="255"/>
      <c r="C329" s="255"/>
      <c r="D329" s="255"/>
      <c r="E329" s="378"/>
      <c r="F329" s="980" t="s">
        <v>399</v>
      </c>
      <c r="G329" s="258" t="e">
        <f>+G328*$K$4</f>
        <v>#N/A</v>
      </c>
      <c r="H329" s="258" t="e">
        <f>+H328*$K$4</f>
        <v>#N/A</v>
      </c>
      <c r="I329" s="258" t="e">
        <f>+I328*$K$4</f>
        <v>#N/A</v>
      </c>
      <c r="J329" s="255"/>
      <c r="K329" s="255"/>
      <c r="L329" s="291"/>
    </row>
    <row r="330" spans="1:12" ht="20.100000000000001" customHeight="1">
      <c r="A330" s="272"/>
      <c r="B330" s="277" t="s">
        <v>451</v>
      </c>
      <c r="C330" s="273"/>
      <c r="D330" s="273"/>
      <c r="E330" s="274"/>
      <c r="F330" s="989"/>
      <c r="G330" s="275"/>
      <c r="H330" s="275"/>
      <c r="I330" s="273"/>
      <c r="J330" s="273"/>
      <c r="K330" s="273"/>
      <c r="L330" s="278"/>
    </row>
    <row r="331" spans="1:12" ht="20.100000000000001" customHeight="1">
      <c r="A331" s="280"/>
      <c r="B331" s="283" t="s">
        <v>412</v>
      </c>
      <c r="C331" s="281"/>
      <c r="D331" s="281"/>
      <c r="E331" s="256"/>
      <c r="F331" s="985"/>
      <c r="G331" s="271"/>
      <c r="H331" s="271"/>
      <c r="I331" s="255"/>
      <c r="J331" s="281"/>
      <c r="K331" s="281"/>
      <c r="L331" s="294"/>
    </row>
    <row r="332" spans="1:12" s="237" customFormat="1" ht="20.100000000000001" customHeight="1">
      <c r="A332" s="287"/>
      <c r="B332" s="692"/>
      <c r="C332" s="269"/>
      <c r="D332" s="269"/>
      <c r="E332" s="248"/>
      <c r="F332" s="979"/>
      <c r="G332" s="265"/>
      <c r="H332" s="265"/>
      <c r="I332" s="265"/>
      <c r="J332" s="270"/>
      <c r="K332" s="265"/>
      <c r="L332" s="288"/>
    </row>
    <row r="333" spans="1:12" s="237" customFormat="1" ht="20.100000000000001" customHeight="1">
      <c r="A333" s="377"/>
      <c r="B333" s="739"/>
      <c r="C333" s="269"/>
      <c r="D333" s="269"/>
      <c r="E333" s="248"/>
      <c r="F333" s="979"/>
      <c r="G333" s="265"/>
      <c r="H333" s="265"/>
      <c r="I333" s="265"/>
      <c r="J333" s="270"/>
      <c r="K333" s="265"/>
      <c r="L333" s="288"/>
    </row>
    <row r="334" spans="1:12" ht="20.100000000000001" customHeight="1">
      <c r="A334" s="239"/>
      <c r="B334" s="240"/>
      <c r="C334" s="240"/>
      <c r="D334" s="240"/>
      <c r="E334" s="378" t="s">
        <v>395</v>
      </c>
      <c r="F334" s="980" t="s">
        <v>398</v>
      </c>
      <c r="G334" s="258">
        <f>+SUM(G332:G333)</f>
        <v>0</v>
      </c>
      <c r="H334" s="258">
        <f>+SUM(H332:H333)</f>
        <v>0</v>
      </c>
      <c r="I334" s="258">
        <f>+SUM(I332:I333)</f>
        <v>0</v>
      </c>
      <c r="J334" s="240"/>
      <c r="K334" s="240"/>
      <c r="L334" s="289"/>
    </row>
    <row r="335" spans="1:12" ht="20.100000000000001" customHeight="1">
      <c r="A335" s="254"/>
      <c r="B335" s="255"/>
      <c r="C335" s="255"/>
      <c r="D335" s="255"/>
      <c r="E335" s="378"/>
      <c r="F335" s="980" t="s">
        <v>399</v>
      </c>
      <c r="G335" s="258">
        <f>+G334*$K$4</f>
        <v>0</v>
      </c>
      <c r="H335" s="258">
        <f>+H334*$K$4</f>
        <v>0</v>
      </c>
      <c r="I335" s="258">
        <f>+I334*$K$4</f>
        <v>0</v>
      </c>
      <c r="J335" s="255"/>
      <c r="K335" s="255"/>
      <c r="L335" s="291"/>
    </row>
    <row r="336" spans="1:12" ht="20.100000000000001" customHeight="1">
      <c r="A336" s="272"/>
      <c r="B336" s="277" t="s">
        <v>452</v>
      </c>
      <c r="C336" s="273"/>
      <c r="D336" s="273"/>
      <c r="E336" s="274"/>
      <c r="F336" s="989"/>
      <c r="G336" s="275"/>
      <c r="H336" s="275"/>
      <c r="I336" s="273"/>
      <c r="J336" s="273"/>
      <c r="K336" s="273"/>
      <c r="L336" s="278"/>
    </row>
    <row r="337" spans="1:12" ht="20.100000000000001" customHeight="1">
      <c r="A337" s="254"/>
      <c r="B337" s="259" t="s">
        <v>422</v>
      </c>
      <c r="C337" s="255"/>
      <c r="D337" s="255"/>
      <c r="E337" s="256"/>
      <c r="F337" s="985"/>
      <c r="G337" s="271"/>
      <c r="H337" s="271"/>
      <c r="I337" s="255"/>
      <c r="J337" s="255"/>
      <c r="K337" s="255"/>
      <c r="L337" s="291"/>
    </row>
    <row r="338" spans="1:12" ht="20.100000000000001" customHeight="1">
      <c r="A338" s="287"/>
      <c r="B338" s="248" t="s">
        <v>33</v>
      </c>
      <c r="C338" s="248" t="s">
        <v>33</v>
      </c>
      <c r="D338" s="248" t="s">
        <v>33</v>
      </c>
      <c r="E338" s="248" t="s">
        <v>33</v>
      </c>
      <c r="F338" s="979" t="s">
        <v>33</v>
      </c>
      <c r="G338" s="248" t="s">
        <v>33</v>
      </c>
      <c r="H338" s="248" t="s">
        <v>33</v>
      </c>
      <c r="I338" s="248" t="s">
        <v>33</v>
      </c>
      <c r="J338" s="248" t="s">
        <v>33</v>
      </c>
      <c r="K338" s="248" t="s">
        <v>33</v>
      </c>
      <c r="L338" s="288" t="s">
        <v>33</v>
      </c>
    </row>
    <row r="339" spans="1:12" ht="20.100000000000001" customHeight="1">
      <c r="A339" s="239"/>
      <c r="B339" s="240"/>
      <c r="C339" s="240"/>
      <c r="D339" s="240"/>
      <c r="E339" s="378" t="s">
        <v>395</v>
      </c>
      <c r="F339" s="980" t="s">
        <v>398</v>
      </c>
      <c r="G339" s="258">
        <f>+SUM(G338)</f>
        <v>0</v>
      </c>
      <c r="H339" s="258">
        <f>+SUM(H338:H338)</f>
        <v>0</v>
      </c>
      <c r="I339" s="258">
        <f>+SUM(I338:I338)</f>
        <v>0</v>
      </c>
      <c r="J339" s="240"/>
      <c r="K339" s="240"/>
      <c r="L339" s="289"/>
    </row>
    <row r="340" spans="1:12" ht="20.100000000000001" customHeight="1">
      <c r="A340" s="254"/>
      <c r="B340" s="255"/>
      <c r="C340" s="255"/>
      <c r="D340" s="255"/>
      <c r="E340" s="378"/>
      <c r="F340" s="980" t="s">
        <v>399</v>
      </c>
      <c r="G340" s="258">
        <f>+G339*$K$4</f>
        <v>0</v>
      </c>
      <c r="H340" s="258">
        <f>+H339*$K$4</f>
        <v>0</v>
      </c>
      <c r="I340" s="258">
        <f>+I339*$K$4</f>
        <v>0</v>
      </c>
      <c r="J340" s="255"/>
      <c r="K340" s="255"/>
      <c r="L340" s="291"/>
    </row>
    <row r="341" spans="1:12" ht="20.100000000000001" customHeight="1">
      <c r="A341" s="280"/>
      <c r="B341" s="283" t="s">
        <v>412</v>
      </c>
      <c r="C341" s="281"/>
      <c r="D341" s="281"/>
      <c r="E341" s="256"/>
      <c r="F341" s="985"/>
      <c r="G341" s="271"/>
      <c r="H341" s="271"/>
      <c r="I341" s="255"/>
      <c r="J341" s="281"/>
      <c r="K341" s="281"/>
      <c r="L341" s="294"/>
    </row>
    <row r="342" spans="1:12" s="237" customFormat="1" ht="20.100000000000001" customHeight="1">
      <c r="A342" s="1040"/>
      <c r="B342" s="486"/>
      <c r="C342" s="486"/>
      <c r="D342" s="486"/>
      <c r="E342" s="486"/>
      <c r="F342" s="486"/>
      <c r="G342" s="265"/>
      <c r="H342" s="265"/>
      <c r="I342" s="265"/>
      <c r="J342" s="270"/>
      <c r="K342" s="265"/>
      <c r="L342" s="265"/>
    </row>
    <row r="343" spans="1:12" s="237" customFormat="1" ht="20.100000000000001" customHeight="1">
      <c r="A343" s="287"/>
      <c r="B343" s="1242"/>
      <c r="C343" s="269"/>
      <c r="D343" s="269"/>
      <c r="E343" s="248"/>
      <c r="F343" s="979"/>
      <c r="G343" s="265"/>
      <c r="H343" s="265"/>
      <c r="I343" s="265"/>
      <c r="J343" s="270"/>
      <c r="K343" s="265"/>
      <c r="L343" s="288"/>
    </row>
    <row r="344" spans="1:12" ht="20.100000000000001" customHeight="1">
      <c r="A344" s="239"/>
      <c r="B344" s="240"/>
      <c r="C344" s="240"/>
      <c r="D344" s="240"/>
      <c r="E344" s="378" t="s">
        <v>395</v>
      </c>
      <c r="F344" s="980" t="s">
        <v>398</v>
      </c>
      <c r="G344" s="258">
        <f>+SUM(G342:G343)</f>
        <v>0</v>
      </c>
      <c r="H344" s="258">
        <f>+SUM(H342:H343)</f>
        <v>0</v>
      </c>
      <c r="I344" s="258">
        <f>+SUM(I342:I343)</f>
        <v>0</v>
      </c>
      <c r="J344" s="240"/>
      <c r="K344" s="240"/>
      <c r="L344" s="289"/>
    </row>
    <row r="345" spans="1:12" ht="20.100000000000001" customHeight="1">
      <c r="A345" s="254"/>
      <c r="B345" s="255"/>
      <c r="C345" s="255"/>
      <c r="D345" s="255"/>
      <c r="E345" s="378"/>
      <c r="F345" s="980" t="s">
        <v>399</v>
      </c>
      <c r="G345" s="258">
        <f>+G344*$K$4</f>
        <v>0</v>
      </c>
      <c r="H345" s="258">
        <f>+H344*$K$4</f>
        <v>0</v>
      </c>
      <c r="I345" s="258">
        <f>+I344*$K$4</f>
        <v>0</v>
      </c>
      <c r="J345" s="255"/>
      <c r="K345" s="255"/>
      <c r="L345" s="291"/>
    </row>
    <row r="346" spans="1:12" ht="20.100000000000001" customHeight="1">
      <c r="A346" s="266"/>
      <c r="B346" s="267"/>
      <c r="C346" s="267"/>
      <c r="D346" s="267"/>
      <c r="E346" s="267"/>
      <c r="F346" s="990"/>
      <c r="G346" s="267"/>
      <c r="H346" s="267"/>
      <c r="I346" s="267"/>
      <c r="J346" s="267"/>
      <c r="K346" s="267"/>
      <c r="L346" s="268"/>
    </row>
    <row r="347" spans="1:12" ht="20.100000000000001" customHeight="1">
      <c r="A347" s="272"/>
      <c r="B347" s="277" t="s">
        <v>453</v>
      </c>
      <c r="C347" s="273"/>
      <c r="D347" s="273"/>
      <c r="E347" s="274"/>
      <c r="F347" s="989"/>
      <c r="G347" s="275"/>
      <c r="H347" s="275"/>
      <c r="I347" s="273"/>
      <c r="J347" s="273"/>
      <c r="K347" s="273"/>
      <c r="L347" s="278"/>
    </row>
    <row r="348" spans="1:12" ht="20.100000000000001" customHeight="1">
      <c r="A348" s="254"/>
      <c r="B348" s="283" t="s">
        <v>412</v>
      </c>
      <c r="C348" s="255"/>
      <c r="D348" s="255"/>
      <c r="E348" s="256"/>
      <c r="F348" s="985"/>
      <c r="G348" s="271"/>
      <c r="H348" s="271"/>
      <c r="I348" s="255"/>
      <c r="J348" s="255"/>
      <c r="K348" s="255"/>
      <c r="L348" s="291"/>
    </row>
    <row r="349" spans="1:12" s="237" customFormat="1" ht="20.100000000000001" customHeight="1">
      <c r="A349" s="287"/>
      <c r="B349" s="486"/>
      <c r="C349" s="269"/>
      <c r="D349" s="269"/>
      <c r="E349" s="248"/>
      <c r="F349" s="979"/>
      <c r="G349" s="265"/>
      <c r="H349" s="265"/>
      <c r="I349" s="265"/>
      <c r="J349" s="270"/>
      <c r="K349" s="265"/>
      <c r="L349" s="288"/>
    </row>
    <row r="350" spans="1:12" s="237" customFormat="1" ht="20.100000000000001" customHeight="1">
      <c r="A350" s="287"/>
      <c r="B350" s="486"/>
      <c r="C350" s="269"/>
      <c r="D350" s="269"/>
      <c r="E350" s="248"/>
      <c r="F350" s="979"/>
      <c r="G350" s="265"/>
      <c r="H350" s="265"/>
      <c r="I350" s="265"/>
      <c r="J350" s="270"/>
      <c r="K350" s="265"/>
      <c r="L350" s="288"/>
    </row>
    <row r="351" spans="1:12" ht="20.100000000000001" customHeight="1">
      <c r="A351" s="239"/>
      <c r="B351" s="240"/>
      <c r="C351" s="240"/>
      <c r="D351" s="240"/>
      <c r="E351" s="378" t="s">
        <v>395</v>
      </c>
      <c r="F351" s="980" t="s">
        <v>398</v>
      </c>
      <c r="G351" s="258">
        <f>+SUM(G349:G350)</f>
        <v>0</v>
      </c>
      <c r="H351" s="258">
        <f>+SUM(H349:H350)</f>
        <v>0</v>
      </c>
      <c r="I351" s="258">
        <f>+SUM(I349:I350)</f>
        <v>0</v>
      </c>
      <c r="J351" s="240"/>
      <c r="K351" s="240"/>
      <c r="L351" s="289"/>
    </row>
    <row r="352" spans="1:12" ht="20.100000000000001" customHeight="1">
      <c r="A352" s="254"/>
      <c r="B352" s="255"/>
      <c r="C352" s="255"/>
      <c r="D352" s="255"/>
      <c r="E352" s="378"/>
      <c r="F352" s="980" t="s">
        <v>399</v>
      </c>
      <c r="G352" s="258">
        <f>+G351*$K$4</f>
        <v>0</v>
      </c>
      <c r="H352" s="258">
        <f>+H351*$K$4</f>
        <v>0</v>
      </c>
      <c r="I352" s="258">
        <f>+I351*$K$4</f>
        <v>0</v>
      </c>
      <c r="J352" s="255"/>
      <c r="K352" s="255"/>
      <c r="L352" s="291"/>
    </row>
    <row r="353" spans="1:12" ht="20.100000000000001" customHeight="1">
      <c r="A353" s="272"/>
      <c r="B353" s="277" t="s">
        <v>455</v>
      </c>
      <c r="C353" s="273"/>
      <c r="D353" s="273"/>
      <c r="E353" s="274"/>
      <c r="F353" s="989"/>
      <c r="G353" s="275"/>
      <c r="H353" s="275"/>
      <c r="I353" s="273"/>
      <c r="J353" s="273"/>
      <c r="K353" s="273"/>
      <c r="L353" s="278"/>
    </row>
    <row r="354" spans="1:12" ht="20.100000000000001" customHeight="1">
      <c r="A354" s="272"/>
      <c r="B354" s="279" t="s">
        <v>454</v>
      </c>
      <c r="C354" s="273"/>
      <c r="D354" s="273"/>
      <c r="E354" s="274"/>
      <c r="F354" s="989"/>
      <c r="G354" s="275"/>
      <c r="H354" s="275"/>
      <c r="I354" s="273"/>
      <c r="J354" s="273"/>
      <c r="K354" s="273"/>
      <c r="L354" s="278"/>
    </row>
    <row r="355" spans="1:12" ht="20.100000000000001" customHeight="1">
      <c r="A355" s="280"/>
      <c r="B355" s="283" t="s">
        <v>412</v>
      </c>
      <c r="C355" s="281"/>
      <c r="D355" s="281"/>
      <c r="E355" s="256"/>
      <c r="F355" s="985"/>
      <c r="G355" s="271"/>
      <c r="H355" s="271"/>
      <c r="I355" s="255"/>
      <c r="J355" s="281"/>
      <c r="K355" s="281"/>
      <c r="L355" s="294"/>
    </row>
    <row r="356" spans="1:12" s="237" customFormat="1" ht="20.100000000000001" customHeight="1">
      <c r="A356" s="287"/>
      <c r="B356" s="248"/>
      <c r="C356" s="269"/>
      <c r="D356" s="269"/>
      <c r="E356" s="248"/>
      <c r="F356" s="979"/>
      <c r="G356" s="265"/>
      <c r="H356" s="265"/>
      <c r="I356" s="265"/>
      <c r="J356" s="270"/>
      <c r="K356" s="265"/>
      <c r="L356" s="288"/>
    </row>
    <row r="357" spans="1:12" s="237" customFormat="1" ht="20.100000000000001" customHeight="1">
      <c r="A357" s="287"/>
      <c r="B357" s="248"/>
      <c r="C357" s="269"/>
      <c r="D357" s="269"/>
      <c r="E357" s="248"/>
      <c r="F357" s="979"/>
      <c r="G357" s="265"/>
      <c r="H357" s="265"/>
      <c r="I357" s="265"/>
      <c r="J357" s="270"/>
      <c r="K357" s="265"/>
      <c r="L357" s="288"/>
    </row>
    <row r="358" spans="1:12" ht="20.100000000000001" customHeight="1">
      <c r="A358" s="239"/>
      <c r="B358" s="240"/>
      <c r="C358" s="240"/>
      <c r="D358" s="240"/>
      <c r="E358" s="393" t="s">
        <v>395</v>
      </c>
      <c r="F358" s="980" t="s">
        <v>398</v>
      </c>
      <c r="G358" s="258">
        <f>+SUM(G356:G357)</f>
        <v>0</v>
      </c>
      <c r="H358" s="258">
        <f>+SUM(H356:H357)</f>
        <v>0</v>
      </c>
      <c r="I358" s="258">
        <f>+SUM(I356:I357)</f>
        <v>0</v>
      </c>
      <c r="J358" s="240"/>
      <c r="K358" s="240"/>
      <c r="L358" s="289"/>
    </row>
    <row r="359" spans="1:12" ht="20.100000000000001" customHeight="1">
      <c r="A359" s="254"/>
      <c r="B359" s="255"/>
      <c r="C359" s="255"/>
      <c r="D359" s="255"/>
      <c r="E359" s="394"/>
      <c r="F359" s="980" t="s">
        <v>399</v>
      </c>
      <c r="G359" s="258">
        <f>+G358*$K$4</f>
        <v>0</v>
      </c>
      <c r="H359" s="258">
        <f>+H358*$K$4</f>
        <v>0</v>
      </c>
      <c r="I359" s="258">
        <f>+I358*$K$4</f>
        <v>0</v>
      </c>
      <c r="J359" s="255"/>
      <c r="K359" s="255"/>
      <c r="L359" s="291"/>
    </row>
    <row r="360" spans="1:12" ht="20.100000000000001" customHeight="1">
      <c r="A360" s="272"/>
      <c r="B360" s="279" t="s">
        <v>456</v>
      </c>
      <c r="C360" s="273"/>
      <c r="D360" s="273"/>
      <c r="E360" s="274"/>
      <c r="F360" s="989"/>
      <c r="G360" s="275"/>
      <c r="H360" s="275"/>
      <c r="I360" s="273"/>
      <c r="J360" s="273"/>
      <c r="K360" s="273"/>
      <c r="L360" s="278"/>
    </row>
    <row r="361" spans="1:12" ht="20.100000000000001" customHeight="1">
      <c r="A361" s="254"/>
      <c r="B361" s="259" t="s">
        <v>422</v>
      </c>
      <c r="C361" s="255"/>
      <c r="D361" s="255"/>
      <c r="E361" s="256"/>
      <c r="F361" s="985"/>
      <c r="G361" s="271"/>
      <c r="H361" s="271"/>
      <c r="I361" s="255"/>
      <c r="J361" s="255"/>
      <c r="K361" s="255"/>
      <c r="L361" s="291"/>
    </row>
    <row r="362" spans="1:12" ht="20.100000000000001" customHeight="1">
      <c r="A362" s="287"/>
      <c r="B362" s="861"/>
      <c r="C362" s="248" t="s">
        <v>33</v>
      </c>
      <c r="D362" s="248" t="s">
        <v>33</v>
      </c>
      <c r="E362" s="248" t="s">
        <v>33</v>
      </c>
      <c r="F362" s="979" t="s">
        <v>33</v>
      </c>
      <c r="G362" s="248" t="s">
        <v>33</v>
      </c>
      <c r="H362" s="248" t="s">
        <v>33</v>
      </c>
      <c r="I362" s="248" t="s">
        <v>33</v>
      </c>
      <c r="J362" s="248" t="s">
        <v>33</v>
      </c>
      <c r="K362" s="248" t="s">
        <v>33</v>
      </c>
      <c r="L362" s="288" t="s">
        <v>33</v>
      </c>
    </row>
    <row r="363" spans="1:12" ht="20.100000000000001" customHeight="1">
      <c r="A363" s="239"/>
      <c r="B363" s="240"/>
      <c r="C363" s="240"/>
      <c r="D363" s="240"/>
      <c r="E363" s="378" t="s">
        <v>395</v>
      </c>
      <c r="F363" s="980" t="s">
        <v>398</v>
      </c>
      <c r="G363" s="258">
        <f>+SUM(G362)</f>
        <v>0</v>
      </c>
      <c r="H363" s="258">
        <f>+SUM(H362:H362)</f>
        <v>0</v>
      </c>
      <c r="I363" s="258">
        <f>+SUM(I362:I362)</f>
        <v>0</v>
      </c>
      <c r="J363" s="240"/>
      <c r="K363" s="240"/>
      <c r="L363" s="289"/>
    </row>
    <row r="364" spans="1:12" ht="20.100000000000001" customHeight="1">
      <c r="A364" s="254"/>
      <c r="B364" s="255"/>
      <c r="C364" s="255"/>
      <c r="D364" s="255"/>
      <c r="E364" s="378"/>
      <c r="F364" s="980" t="s">
        <v>399</v>
      </c>
      <c r="G364" s="258">
        <f>+G363*$K$4</f>
        <v>0</v>
      </c>
      <c r="H364" s="258">
        <f>+H363*$K$4</f>
        <v>0</v>
      </c>
      <c r="I364" s="258">
        <f>+I363*$K$4</f>
        <v>0</v>
      </c>
      <c r="J364" s="255"/>
      <c r="K364" s="255"/>
      <c r="L364" s="291"/>
    </row>
    <row r="365" spans="1:12" ht="20.100000000000001" customHeight="1">
      <c r="A365" s="254"/>
      <c r="B365" s="259" t="s">
        <v>425</v>
      </c>
      <c r="C365" s="255"/>
      <c r="D365" s="255"/>
      <c r="E365" s="256"/>
      <c r="F365" s="985"/>
      <c r="G365" s="271"/>
      <c r="H365" s="271"/>
      <c r="I365" s="255"/>
      <c r="J365" s="255"/>
      <c r="K365" s="255"/>
      <c r="L365" s="291"/>
    </row>
    <row r="366" spans="1:12" ht="20.100000000000001" customHeight="1">
      <c r="A366" s="287"/>
      <c r="B366" s="248" t="s">
        <v>33</v>
      </c>
      <c r="C366" s="248" t="s">
        <v>33</v>
      </c>
      <c r="D366" s="248" t="s">
        <v>33</v>
      </c>
      <c r="E366" s="248" t="s">
        <v>33</v>
      </c>
      <c r="F366" s="979" t="s">
        <v>33</v>
      </c>
      <c r="G366" s="979" t="s">
        <v>33</v>
      </c>
      <c r="H366" s="979" t="s">
        <v>33</v>
      </c>
      <c r="I366" s="979" t="s">
        <v>33</v>
      </c>
      <c r="J366" s="248" t="s">
        <v>33</v>
      </c>
      <c r="K366" s="248" t="s">
        <v>33</v>
      </c>
      <c r="L366" s="288" t="s">
        <v>33</v>
      </c>
    </row>
    <row r="367" spans="1:12" ht="20.100000000000001" customHeight="1">
      <c r="A367" s="239"/>
      <c r="B367" s="240"/>
      <c r="C367" s="240"/>
      <c r="D367" s="240"/>
      <c r="E367" s="378" t="s">
        <v>395</v>
      </c>
      <c r="F367" s="980" t="s">
        <v>398</v>
      </c>
      <c r="G367" s="258">
        <f>+SUM(G366:G366)</f>
        <v>0</v>
      </c>
      <c r="H367" s="258">
        <f>+SUM(H366:H366)</f>
        <v>0</v>
      </c>
      <c r="I367" s="258">
        <f>+SUM(I366:I366)</f>
        <v>0</v>
      </c>
      <c r="J367" s="240"/>
      <c r="K367" s="240"/>
      <c r="L367" s="289"/>
    </row>
    <row r="368" spans="1:12" ht="20.100000000000001" customHeight="1">
      <c r="A368" s="280"/>
      <c r="B368" s="283" t="s">
        <v>412</v>
      </c>
      <c r="C368" s="281"/>
      <c r="D368" s="281"/>
      <c r="E368" s="256"/>
      <c r="F368" s="985"/>
      <c r="G368" s="271"/>
      <c r="H368" s="271"/>
      <c r="I368" s="255"/>
      <c r="J368" s="281"/>
      <c r="K368" s="281"/>
      <c r="L368" s="294"/>
    </row>
    <row r="369" spans="1:12" s="237" customFormat="1" ht="20.100000000000001" customHeight="1">
      <c r="A369" s="287"/>
      <c r="B369" s="248"/>
      <c r="C369" s="269"/>
      <c r="D369" s="269"/>
      <c r="E369" s="248"/>
      <c r="F369" s="979"/>
      <c r="G369" s="265"/>
      <c r="H369" s="265"/>
      <c r="I369" s="265"/>
      <c r="J369" s="270"/>
      <c r="K369" s="265"/>
      <c r="L369" s="288"/>
    </row>
    <row r="370" spans="1:12" ht="20.100000000000001" customHeight="1">
      <c r="A370" s="239"/>
      <c r="B370" s="240"/>
      <c r="C370" s="240"/>
      <c r="D370" s="240"/>
      <c r="E370" s="378" t="s">
        <v>395</v>
      </c>
      <c r="F370" s="980" t="s">
        <v>398</v>
      </c>
      <c r="G370" s="258">
        <f>+SUM(G369:G369)</f>
        <v>0</v>
      </c>
      <c r="H370" s="258">
        <f>+SUM(H369:H369)</f>
        <v>0</v>
      </c>
      <c r="I370" s="258">
        <f>+SUM(I369:I369)</f>
        <v>0</v>
      </c>
      <c r="J370" s="240"/>
      <c r="K370" s="240"/>
      <c r="L370" s="289"/>
    </row>
    <row r="371" spans="1:12" ht="20.100000000000001" customHeight="1">
      <c r="A371" s="254"/>
      <c r="B371" s="255"/>
      <c r="C371" s="255"/>
      <c r="D371" s="255"/>
      <c r="E371" s="378"/>
      <c r="F371" s="980" t="s">
        <v>399</v>
      </c>
      <c r="G371" s="258">
        <f>+G370*$K$4</f>
        <v>0</v>
      </c>
      <c r="H371" s="258">
        <f>+H370*$K$4</f>
        <v>0</v>
      </c>
      <c r="I371" s="258">
        <f>+I370*$K$4</f>
        <v>0</v>
      </c>
      <c r="J371" s="255"/>
      <c r="K371" s="255"/>
      <c r="L371" s="291"/>
    </row>
    <row r="372" spans="1:12" ht="20.100000000000001" customHeight="1">
      <c r="A372" s="272"/>
      <c r="B372" s="279" t="s">
        <v>457</v>
      </c>
      <c r="C372" s="273"/>
      <c r="D372" s="273"/>
      <c r="E372" s="274"/>
      <c r="F372" s="989"/>
      <c r="G372" s="275"/>
      <c r="H372" s="275"/>
      <c r="I372" s="273"/>
      <c r="J372" s="273"/>
      <c r="K372" s="273"/>
      <c r="L372" s="278"/>
    </row>
    <row r="373" spans="1:12" ht="20.100000000000001" customHeight="1">
      <c r="A373" s="287"/>
      <c r="B373" s="248" t="s">
        <v>33</v>
      </c>
      <c r="C373" s="248" t="s">
        <v>33</v>
      </c>
      <c r="D373" s="248" t="s">
        <v>33</v>
      </c>
      <c r="E373" s="248" t="s">
        <v>33</v>
      </c>
      <c r="F373" s="979" t="s">
        <v>33</v>
      </c>
      <c r="G373" s="248" t="s">
        <v>33</v>
      </c>
      <c r="H373" s="248" t="s">
        <v>33</v>
      </c>
      <c r="I373" s="248" t="s">
        <v>33</v>
      </c>
      <c r="J373" s="248" t="s">
        <v>33</v>
      </c>
      <c r="K373" s="248" t="s">
        <v>33</v>
      </c>
      <c r="L373" s="288" t="s">
        <v>33</v>
      </c>
    </row>
    <row r="374" spans="1:12" ht="20.100000000000001" customHeight="1">
      <c r="A374" s="239"/>
      <c r="B374" s="240"/>
      <c r="C374" s="240"/>
      <c r="D374" s="240"/>
      <c r="E374" s="393" t="s">
        <v>395</v>
      </c>
      <c r="F374" s="980" t="s">
        <v>398</v>
      </c>
      <c r="G374" s="258">
        <f>+SUM(G373:G373)</f>
        <v>0</v>
      </c>
      <c r="H374" s="258">
        <f>+SUM(H373:H373)</f>
        <v>0</v>
      </c>
      <c r="I374" s="258">
        <f>+SUM(I373:I373)</f>
        <v>0</v>
      </c>
      <c r="J374" s="240"/>
      <c r="K374" s="240"/>
      <c r="L374" s="289"/>
    </row>
    <row r="375" spans="1:12" ht="20.100000000000001" customHeight="1">
      <c r="A375" s="254"/>
      <c r="B375" s="255"/>
      <c r="C375" s="255"/>
      <c r="D375" s="255"/>
      <c r="E375" s="394"/>
      <c r="F375" s="980" t="s">
        <v>399</v>
      </c>
      <c r="G375" s="258">
        <f>+G374*$K$4</f>
        <v>0</v>
      </c>
      <c r="H375" s="258">
        <f>+H374*$K$4</f>
        <v>0</v>
      </c>
      <c r="I375" s="258">
        <f>+I374*$K$4</f>
        <v>0</v>
      </c>
      <c r="J375" s="255"/>
      <c r="K375" s="255"/>
      <c r="L375" s="291"/>
    </row>
    <row r="376" spans="1:12" ht="20.100000000000001" customHeight="1">
      <c r="A376" s="272"/>
      <c r="B376" s="279" t="s">
        <v>458</v>
      </c>
      <c r="C376" s="273"/>
      <c r="D376" s="273"/>
      <c r="E376" s="274"/>
      <c r="F376" s="989"/>
      <c r="G376" s="275"/>
      <c r="H376" s="275"/>
      <c r="I376" s="273"/>
      <c r="J376" s="273"/>
      <c r="K376" s="273"/>
      <c r="L376" s="278"/>
    </row>
    <row r="377" spans="1:12" ht="20.100000000000001" customHeight="1">
      <c r="A377" s="254"/>
      <c r="B377" s="259" t="s">
        <v>412</v>
      </c>
      <c r="C377" s="255"/>
      <c r="D377" s="255"/>
      <c r="E377" s="256"/>
      <c r="F377" s="985"/>
      <c r="G377" s="271"/>
      <c r="H377" s="271"/>
      <c r="I377" s="255"/>
      <c r="J377" s="255"/>
      <c r="K377" s="255"/>
      <c r="L377" s="291"/>
    </row>
    <row r="378" spans="1:12" ht="20.100000000000001" customHeight="1">
      <c r="A378" s="287"/>
      <c r="B378" s="248"/>
      <c r="C378" s="269"/>
      <c r="D378" s="269"/>
      <c r="E378" s="248"/>
      <c r="F378" s="979"/>
      <c r="G378" s="265"/>
      <c r="H378" s="265"/>
      <c r="I378" s="265"/>
      <c r="J378" s="270"/>
      <c r="K378" s="265"/>
      <c r="L378" s="288"/>
    </row>
    <row r="379" spans="1:12" s="237" customFormat="1" ht="20.100000000000001" customHeight="1">
      <c r="A379" s="287"/>
      <c r="B379" s="515"/>
      <c r="C379" s="269"/>
      <c r="D379" s="269"/>
      <c r="E379" s="248"/>
      <c r="F379" s="979"/>
      <c r="G379" s="265"/>
      <c r="H379" s="265"/>
      <c r="I379" s="265"/>
      <c r="J379" s="270"/>
      <c r="K379" s="265"/>
      <c r="L379" s="288"/>
    </row>
    <row r="380" spans="1:12" ht="20.100000000000001" customHeight="1">
      <c r="A380" s="239"/>
      <c r="B380" s="240"/>
      <c r="C380" s="240"/>
      <c r="D380" s="240"/>
      <c r="E380" s="378" t="s">
        <v>395</v>
      </c>
      <c r="F380" s="980" t="s">
        <v>398</v>
      </c>
      <c r="G380" s="258">
        <f>+SUM(G378:G379)</f>
        <v>0</v>
      </c>
      <c r="H380" s="258">
        <f>+SUM(H378:H379)</f>
        <v>0</v>
      </c>
      <c r="I380" s="258">
        <f>+SUM(I378:I379)</f>
        <v>0</v>
      </c>
      <c r="J380" s="240"/>
      <c r="K380" s="240"/>
      <c r="L380" s="289"/>
    </row>
    <row r="381" spans="1:12" ht="20.100000000000001" customHeight="1">
      <c r="A381" s="254"/>
      <c r="B381" s="255"/>
      <c r="C381" s="255"/>
      <c r="D381" s="255"/>
      <c r="E381" s="378"/>
      <c r="F381" s="980" t="s">
        <v>399</v>
      </c>
      <c r="G381" s="258">
        <f>+G380*$K$4</f>
        <v>0</v>
      </c>
      <c r="H381" s="258">
        <f>+H380*$K$4</f>
        <v>0</v>
      </c>
      <c r="I381" s="258">
        <f>+I380*$K$4</f>
        <v>0</v>
      </c>
      <c r="J381" s="255"/>
      <c r="K381" s="255"/>
      <c r="L381" s="291"/>
    </row>
    <row r="382" spans="1:12" ht="20.100000000000001" customHeight="1">
      <c r="A382" s="272"/>
      <c r="B382" s="279" t="s">
        <v>459</v>
      </c>
      <c r="C382" s="273"/>
      <c r="D382" s="273"/>
      <c r="E382" s="274"/>
      <c r="F382" s="989"/>
      <c r="G382" s="275"/>
      <c r="H382" s="275"/>
      <c r="I382" s="273"/>
      <c r="J382" s="273"/>
      <c r="K382" s="273"/>
      <c r="L382" s="278"/>
    </row>
    <row r="383" spans="1:12" ht="20.100000000000001" customHeight="1">
      <c r="A383" s="254"/>
      <c r="B383" s="259" t="s">
        <v>412</v>
      </c>
      <c r="C383" s="255"/>
      <c r="D383" s="255"/>
      <c r="E383" s="256"/>
      <c r="F383" s="985"/>
      <c r="G383" s="271"/>
      <c r="H383" s="271"/>
      <c r="I383" s="255"/>
      <c r="J383" s="255"/>
      <c r="K383" s="255"/>
      <c r="L383" s="291"/>
    </row>
    <row r="384" spans="1:12" s="237" customFormat="1" ht="20.100000000000001" customHeight="1">
      <c r="A384" s="287"/>
      <c r="B384" s="515"/>
      <c r="C384" s="269"/>
      <c r="D384" s="269"/>
      <c r="E384" s="248"/>
      <c r="F384" s="979"/>
      <c r="G384" s="265"/>
      <c r="H384" s="265"/>
      <c r="I384" s="265"/>
      <c r="J384" s="270"/>
      <c r="K384" s="265"/>
      <c r="L384" s="288"/>
    </row>
    <row r="385" spans="1:12" s="429" customFormat="1" ht="20.100000000000001" customHeight="1">
      <c r="A385" s="1015"/>
      <c r="B385" s="739"/>
      <c r="C385" s="318"/>
      <c r="D385" s="318"/>
      <c r="E385" s="317"/>
      <c r="F385" s="988"/>
      <c r="G385" s="311"/>
      <c r="H385" s="311"/>
      <c r="I385" s="311"/>
      <c r="J385" s="310"/>
      <c r="K385" s="311"/>
      <c r="L385" s="312"/>
    </row>
    <row r="386" spans="1:12" ht="20.100000000000001" customHeight="1">
      <c r="A386" s="239"/>
      <c r="B386" s="240"/>
      <c r="C386" s="240"/>
      <c r="D386" s="240"/>
      <c r="E386" s="378" t="s">
        <v>395</v>
      </c>
      <c r="F386" s="980" t="s">
        <v>398</v>
      </c>
      <c r="G386" s="258">
        <f>+SUM(G384:G385)</f>
        <v>0</v>
      </c>
      <c r="H386" s="258">
        <f>+SUM(H384:H385)</f>
        <v>0</v>
      </c>
      <c r="I386" s="258">
        <f>+SUM(I384:I385)</f>
        <v>0</v>
      </c>
      <c r="J386" s="240"/>
      <c r="K386" s="240"/>
      <c r="L386" s="289"/>
    </row>
    <row r="387" spans="1:12" ht="20.100000000000001" customHeight="1">
      <c r="A387" s="254"/>
      <c r="B387" s="255"/>
      <c r="C387" s="255"/>
      <c r="D387" s="255"/>
      <c r="E387" s="378"/>
      <c r="F387" s="980" t="s">
        <v>399</v>
      </c>
      <c r="G387" s="258">
        <f>+G386*$K$4</f>
        <v>0</v>
      </c>
      <c r="H387" s="258">
        <f>+H386*$K$4</f>
        <v>0</v>
      </c>
      <c r="I387" s="258">
        <f>+I386*$K$4</f>
        <v>0</v>
      </c>
      <c r="J387" s="255"/>
      <c r="K387" s="255"/>
      <c r="L387" s="291"/>
    </row>
    <row r="388" spans="1:12" ht="20.100000000000001" customHeight="1">
      <c r="A388" s="272"/>
      <c r="B388" s="279" t="s">
        <v>460</v>
      </c>
      <c r="C388" s="273"/>
      <c r="D388" s="273"/>
      <c r="E388" s="274"/>
      <c r="F388" s="989"/>
      <c r="G388" s="275"/>
      <c r="H388" s="275"/>
      <c r="I388" s="273"/>
      <c r="J388" s="273"/>
      <c r="K388" s="273"/>
      <c r="L388" s="278"/>
    </row>
    <row r="389" spans="1:12" ht="20.100000000000001" customHeight="1">
      <c r="A389" s="254"/>
      <c r="B389" s="259" t="s">
        <v>412</v>
      </c>
      <c r="C389" s="255"/>
      <c r="D389" s="255"/>
      <c r="E389" s="256"/>
      <c r="F389" s="985"/>
      <c r="G389" s="271"/>
      <c r="H389" s="271"/>
      <c r="I389" s="255"/>
      <c r="J389" s="255"/>
      <c r="K389" s="255"/>
      <c r="L389" s="291"/>
    </row>
    <row r="390" spans="1:12" ht="20.100000000000001" customHeight="1">
      <c r="A390" s="287"/>
      <c r="B390" s="492" t="s">
        <v>33</v>
      </c>
      <c r="C390" s="248" t="s">
        <v>33</v>
      </c>
      <c r="D390" s="248" t="s">
        <v>33</v>
      </c>
      <c r="E390" s="248" t="s">
        <v>33</v>
      </c>
      <c r="F390" s="979" t="s">
        <v>33</v>
      </c>
      <c r="G390" s="493" t="s">
        <v>33</v>
      </c>
      <c r="H390" s="493" t="s">
        <v>33</v>
      </c>
      <c r="I390" s="493" t="s">
        <v>33</v>
      </c>
      <c r="J390" s="494" t="s">
        <v>33</v>
      </c>
      <c r="K390" s="493" t="s">
        <v>33</v>
      </c>
      <c r="L390" s="288" t="s">
        <v>33</v>
      </c>
    </row>
    <row r="391" spans="1:12" ht="20.100000000000001" customHeight="1">
      <c r="A391" s="239"/>
      <c r="B391" s="240"/>
      <c r="C391" s="240"/>
      <c r="D391" s="240"/>
      <c r="E391" s="378" t="s">
        <v>395</v>
      </c>
      <c r="F391" s="980" t="s">
        <v>398</v>
      </c>
      <c r="G391" s="258">
        <f>+SUM(G390)</f>
        <v>0</v>
      </c>
      <c r="H391" s="258">
        <f>+SUM(H390:H390)</f>
        <v>0</v>
      </c>
      <c r="I391" s="258">
        <f>+SUM(I390:I390)</f>
        <v>0</v>
      </c>
      <c r="J391" s="240"/>
      <c r="K391" s="240"/>
      <c r="L391" s="289"/>
    </row>
    <row r="392" spans="1:12" ht="20.100000000000001" customHeight="1">
      <c r="A392" s="254"/>
      <c r="B392" s="255"/>
      <c r="C392" s="255"/>
      <c r="D392" s="255"/>
      <c r="E392" s="378"/>
      <c r="F392" s="980" t="s">
        <v>399</v>
      </c>
      <c r="G392" s="258">
        <f>+G391*$K$4</f>
        <v>0</v>
      </c>
      <c r="H392" s="258">
        <f>+H391*$K$4</f>
        <v>0</v>
      </c>
      <c r="I392" s="258">
        <f>+I391*$K$4</f>
        <v>0</v>
      </c>
      <c r="J392" s="255"/>
      <c r="K392" s="255"/>
      <c r="L392" s="291"/>
    </row>
    <row r="393" spans="1:12" ht="20.100000000000001" customHeight="1">
      <c r="A393" s="272"/>
      <c r="B393" s="277" t="s">
        <v>461</v>
      </c>
      <c r="C393" s="273"/>
      <c r="D393" s="273"/>
      <c r="E393" s="274"/>
      <c r="F393" s="989"/>
      <c r="G393" s="275"/>
      <c r="H393" s="275"/>
      <c r="I393" s="273"/>
      <c r="J393" s="273"/>
      <c r="K393" s="273"/>
      <c r="L393" s="278"/>
    </row>
    <row r="394" spans="1:12" ht="20.100000000000001" customHeight="1">
      <c r="A394" s="254"/>
      <c r="B394" s="259" t="s">
        <v>422</v>
      </c>
      <c r="C394" s="255"/>
      <c r="D394" s="255"/>
      <c r="E394" s="256"/>
      <c r="F394" s="985"/>
      <c r="G394" s="271"/>
      <c r="H394" s="271"/>
      <c r="I394" s="255"/>
      <c r="J394" s="255"/>
      <c r="K394" s="255"/>
      <c r="L394" s="291"/>
    </row>
    <row r="395" spans="1:12" s="429" customFormat="1" ht="20.100000000000001" customHeight="1">
      <c r="A395" s="1406"/>
      <c r="B395" s="375" t="s">
        <v>686</v>
      </c>
      <c r="C395" s="269" t="str">
        <f>+VLOOKUP(B395,'New Master-List'!$B$1:$AI$4223,31,FALSE)</f>
        <v>Clothes seller</v>
      </c>
      <c r="D395" s="269" t="str">
        <f>+VLOOKUP(B395,'New Master-List'!$B$1:$AI$4223,30,FALSE)</f>
        <v>To settle loan and buy abig plot of land</v>
      </c>
      <c r="E395" s="248" t="str">
        <f>+VLOOKUP(B395,'New Master-List'!$B$1:$AI$4223,10,FALSE)</f>
        <v>T/L</v>
      </c>
      <c r="F395" s="979">
        <f>+VLOOKUP(B395,'New Master-List'!$B$8:$AG$389,9,FALSE)</f>
        <v>0.1</v>
      </c>
      <c r="G395" s="265">
        <f>+VLOOKUP(B395,'New Master-List'!$B$8:$AG$389,11,FALSE)</f>
        <v>200000</v>
      </c>
      <c r="H395" s="265">
        <f>+VLOOKUP(B395,'New Master-List'!$B$8:$AG$389,12,FALSE)+VLOOKUP(B395,'New Master-List'!$B$8:$AG$389,13,FALSE)++VLOOKUP(B395,'New Master-List'!$B$8:$AG$389,14,FALSE)</f>
        <v>134781.6</v>
      </c>
      <c r="I395" s="265">
        <f>+VLOOKUP(B395,'New Master-List'!$B$8:$AG$389,21,FALSE)</f>
        <v>1289.1300000000001</v>
      </c>
      <c r="J395" s="270">
        <f>+VLOOKUP(B395,'New Master-List'!$B$8:$AG$389,22,FALSE)</f>
        <v>0.01</v>
      </c>
      <c r="K395" s="265">
        <f>+VLOOKUP(B395,'New Master-List'!$B$8:$AG$389,23,FALSE)</f>
        <v>1347.816</v>
      </c>
      <c r="L395" s="288" t="str">
        <f>+VLOOKUP(B395,'New Master-List'!$B$3:$AI$389,33,FALSE)</f>
        <v>3.1.1- Secured, excluded Mortgages to purchase owner-occupied housing-HOUSE</v>
      </c>
    </row>
    <row r="396" spans="1:12" s="429" customFormat="1" ht="20.100000000000001" customHeight="1">
      <c r="A396" s="1406"/>
      <c r="B396" s="375" t="s">
        <v>684</v>
      </c>
      <c r="C396" s="269" t="e">
        <f>+VLOOKUP(B396,'New Master-List'!$B$1:$AI$4223,31,FALSE)</f>
        <v>#N/A</v>
      </c>
      <c r="D396" s="269" t="e">
        <f>+VLOOKUP(B396,'New Master-List'!$B$1:$AI$4223,30,FALSE)</f>
        <v>#N/A</v>
      </c>
      <c r="E396" s="248" t="e">
        <f>+VLOOKUP(B396,'New Master-List'!$B$1:$AI$4223,10,FALSE)</f>
        <v>#N/A</v>
      </c>
      <c r="F396" s="979" t="e">
        <f>+VLOOKUP(B396,'New Master-List'!$B$8:$AG$389,9,FALSE)</f>
        <v>#N/A</v>
      </c>
      <c r="G396" s="265" t="e">
        <f>+VLOOKUP(B396,'New Master-List'!$B$8:$AG$389,11,FALSE)</f>
        <v>#N/A</v>
      </c>
      <c r="H396" s="265" t="e">
        <f>+VLOOKUP(B396,'New Master-List'!$B$8:$AG$389,12,FALSE)+VLOOKUP(B396,'New Master-List'!$B$8:$AG$389,13,FALSE)++VLOOKUP(B396,'New Master-List'!$B$8:$AG$389,14,FALSE)</f>
        <v>#N/A</v>
      </c>
      <c r="I396" s="265" t="e">
        <f>+VLOOKUP(B396,'New Master-List'!$B$8:$AG$389,21,FALSE)</f>
        <v>#N/A</v>
      </c>
      <c r="J396" s="270" t="e">
        <f>+VLOOKUP(B396,'New Master-List'!$B$8:$AG$389,22,FALSE)</f>
        <v>#N/A</v>
      </c>
      <c r="K396" s="265" t="e">
        <f>+VLOOKUP(B396,'New Master-List'!$B$8:$AG$389,23,FALSE)</f>
        <v>#N/A</v>
      </c>
      <c r="L396" s="288" t="e">
        <f>+VLOOKUP(B396,'New Master-List'!$B$3:$AI$389,33,FALSE)</f>
        <v>#N/A</v>
      </c>
    </row>
    <row r="397" spans="1:12" s="429" customFormat="1" ht="20.100000000000001" customHeight="1">
      <c r="A397" s="1406"/>
      <c r="B397" s="375" t="s">
        <v>683</v>
      </c>
      <c r="C397" s="269" t="e">
        <f>+VLOOKUP(B397,'New Master-List'!$B$1:$AI$4223,31,FALSE)</f>
        <v>#N/A</v>
      </c>
      <c r="D397" s="269" t="e">
        <f>+VLOOKUP(B397,'New Master-List'!$B$1:$AI$4223,30,FALSE)</f>
        <v>#N/A</v>
      </c>
      <c r="E397" s="248" t="e">
        <f>+VLOOKUP(B397,'New Master-List'!$B$1:$AI$4223,10,FALSE)</f>
        <v>#N/A</v>
      </c>
      <c r="F397" s="979" t="e">
        <f>+VLOOKUP(B397,'New Master-List'!$B$8:$AG$389,9,FALSE)</f>
        <v>#N/A</v>
      </c>
      <c r="G397" s="265" t="e">
        <f>+VLOOKUP(B397,'New Master-List'!$B$8:$AG$389,11,FALSE)</f>
        <v>#N/A</v>
      </c>
      <c r="H397" s="265" t="e">
        <f>+VLOOKUP(B397,'New Master-List'!$B$8:$AG$389,12,FALSE)+VLOOKUP(B397,'New Master-List'!$B$8:$AG$389,13,FALSE)++VLOOKUP(B397,'New Master-List'!$B$8:$AG$389,14,FALSE)</f>
        <v>#N/A</v>
      </c>
      <c r="I397" s="265" t="e">
        <f>+VLOOKUP(B397,'New Master-List'!$B$8:$AG$389,21,FALSE)</f>
        <v>#N/A</v>
      </c>
      <c r="J397" s="270" t="e">
        <f>+VLOOKUP(B397,'New Master-List'!$B$8:$AG$389,22,FALSE)</f>
        <v>#N/A</v>
      </c>
      <c r="K397" s="265" t="e">
        <f>+VLOOKUP(B397,'New Master-List'!$B$8:$AG$389,23,FALSE)</f>
        <v>#N/A</v>
      </c>
      <c r="L397" s="288" t="e">
        <f>+VLOOKUP(B397,'New Master-List'!$B$3:$AI$389,33,FALSE)</f>
        <v>#N/A</v>
      </c>
    </row>
    <row r="398" spans="1:12" s="429" customFormat="1" ht="20.100000000000001" customHeight="1">
      <c r="A398" s="1406"/>
      <c r="B398" s="375" t="s">
        <v>682</v>
      </c>
      <c r="C398" s="269" t="e">
        <f>+VLOOKUP(B398,'New Master-List'!$B$1:$AI$4223,31,FALSE)</f>
        <v>#N/A</v>
      </c>
      <c r="D398" s="269" t="e">
        <f>+VLOOKUP(B398,'New Master-List'!$B$1:$AI$4223,30,FALSE)</f>
        <v>#N/A</v>
      </c>
      <c r="E398" s="248" t="e">
        <f>+VLOOKUP(B398,'New Master-List'!$B$1:$AI$4223,10,FALSE)</f>
        <v>#N/A</v>
      </c>
      <c r="F398" s="979" t="e">
        <f>+VLOOKUP(B398,'New Master-List'!$B$8:$AG$389,9,FALSE)</f>
        <v>#N/A</v>
      </c>
      <c r="G398" s="265" t="e">
        <f>+VLOOKUP(B398,'New Master-List'!$B$8:$AG$389,11,FALSE)</f>
        <v>#N/A</v>
      </c>
      <c r="H398" s="265" t="e">
        <f>+VLOOKUP(B398,'New Master-List'!$B$8:$AG$389,12,FALSE)+VLOOKUP(B398,'New Master-List'!$B$8:$AG$389,13,FALSE)++VLOOKUP(B398,'New Master-List'!$B$8:$AG$389,14,FALSE)</f>
        <v>#N/A</v>
      </c>
      <c r="I398" s="265" t="e">
        <f>+VLOOKUP(B398,'New Master-List'!$B$8:$AG$389,21,FALSE)</f>
        <v>#N/A</v>
      </c>
      <c r="J398" s="270" t="e">
        <f>+VLOOKUP(B398,'New Master-List'!$B$8:$AG$389,22,FALSE)</f>
        <v>#N/A</v>
      </c>
      <c r="K398" s="265" t="e">
        <f>+VLOOKUP(B398,'New Master-List'!$B$8:$AG$389,23,FALSE)</f>
        <v>#N/A</v>
      </c>
      <c r="L398" s="288" t="e">
        <f>+VLOOKUP(B398,'New Master-List'!$B$3:$AI$389,33,FALSE)</f>
        <v>#N/A</v>
      </c>
    </row>
    <row r="399" spans="1:12" s="429" customFormat="1" ht="20.100000000000001" customHeight="1">
      <c r="A399" s="1406"/>
      <c r="B399" s="375" t="s">
        <v>676</v>
      </c>
      <c r="C399" s="269" t="str">
        <f>+VLOOKUP(B399,'New Master-List'!$B$1:$AI$4223,31,FALSE)</f>
        <v xml:space="preserve">Dispatcher of United States </v>
      </c>
      <c r="D399" s="269" t="str">
        <f>+VLOOKUP(B399,'New Master-List'!$B$1:$AI$4223,30,FALSE)</f>
        <v>Build E2 floor</v>
      </c>
      <c r="E399" s="248" t="str">
        <f>+VLOOKUP(B399,'New Master-List'!$B$1:$AI$4223,10,FALSE)</f>
        <v>T/L</v>
      </c>
      <c r="F399" s="979">
        <f>+VLOOKUP(B399,'New Master-List'!$B$8:$AG$389,9,FALSE)</f>
        <v>0.11</v>
      </c>
      <c r="G399" s="265">
        <f>+VLOOKUP(B399,'New Master-List'!$B$8:$AG$389,11,FALSE)</f>
        <v>15000</v>
      </c>
      <c r="H399" s="265">
        <f>+VLOOKUP(B399,'New Master-List'!$B$8:$AG$389,12,FALSE)+VLOOKUP(B399,'New Master-List'!$B$8:$AG$389,13,FALSE)++VLOOKUP(B399,'New Master-List'!$B$8:$AG$389,14,FALSE)</f>
        <v>8333.26</v>
      </c>
      <c r="I399" s="265">
        <f>+VLOOKUP(B399,'New Master-List'!$B$8:$AG$389,21,FALSE)</f>
        <v>38.9</v>
      </c>
      <c r="J399" s="270">
        <f>+VLOOKUP(B399,'New Master-List'!$B$8:$AG$389,22,FALSE)</f>
        <v>0.01</v>
      </c>
      <c r="K399" s="265">
        <f>+VLOOKUP(B399,'New Master-List'!$B$8:$AG$389,23,FALSE)</f>
        <v>83.332599999999999</v>
      </c>
      <c r="L399" s="288" t="str">
        <f>+VLOOKUP(B399,'New Master-List'!$B$3:$AI$389,33,FALSE)</f>
        <v>3.1.1- Secured, excluded Mortgages to purchase owner-occupied housing-HOUSE</v>
      </c>
    </row>
    <row r="400" spans="1:12" s="237" customFormat="1" ht="20.100000000000001" customHeight="1">
      <c r="A400" s="299"/>
      <c r="B400" s="375" t="s">
        <v>670</v>
      </c>
      <c r="C400" s="269" t="str">
        <f>+VLOOKUP(B400,'New Master-List'!$B$1:$AI$4223,31,FALSE)</f>
        <v>Deputy Chief Bureau of Marks Registration</v>
      </c>
      <c r="D400" s="269" t="str">
        <f>+VLOOKUP(B400,'New Master-List'!$B$1:$AI$4223,30,FALSE)</f>
        <v>Buy Land</v>
      </c>
      <c r="E400" s="248" t="str">
        <f>+VLOOKUP(B400,'New Master-List'!$B$1:$AI$4223,10,FALSE)</f>
        <v>T/L</v>
      </c>
      <c r="F400" s="979">
        <f>+VLOOKUP(B400,'New Master-List'!$B$8:$AG$389,9,FALSE)</f>
        <v>0.12</v>
      </c>
      <c r="G400" s="265">
        <f>+VLOOKUP(B400,'New Master-List'!$B$8:$AG$389,11,FALSE)</f>
        <v>10000</v>
      </c>
      <c r="H400" s="265">
        <f>+VLOOKUP(B400,'New Master-List'!$B$8:$AG$389,12,FALSE)+VLOOKUP(B400,'New Master-List'!$B$8:$AG$389,13,FALSE)++VLOOKUP(B400,'New Master-List'!$B$8:$AG$389,14,FALSE)</f>
        <v>5698.5</v>
      </c>
      <c r="I400" s="265">
        <f>+VLOOKUP(B400,'New Master-List'!$B$8:$AG$389,21,FALSE)</f>
        <v>46.65</v>
      </c>
      <c r="J400" s="270">
        <f>+VLOOKUP(B400,'New Master-List'!$B$8:$AG$389,22,FALSE)</f>
        <v>0.01</v>
      </c>
      <c r="K400" s="265">
        <f>+VLOOKUP(B400,'New Master-List'!$B$8:$AG$389,23,FALSE)</f>
        <v>56.984999999999999</v>
      </c>
      <c r="L400" s="288" t="str">
        <f>+VLOOKUP(B400,'New Master-List'!$B$3:$AI$389,33,FALSE)</f>
        <v>3.1.1- Secured, excluded Mortgages to purchase owner-occupied housing-HOUSE</v>
      </c>
    </row>
    <row r="401" spans="1:12" ht="20.100000000000001" customHeight="1">
      <c r="A401" s="239"/>
      <c r="B401" s="240"/>
      <c r="C401" s="240"/>
      <c r="D401" s="240"/>
      <c r="E401" s="378" t="s">
        <v>395</v>
      </c>
      <c r="F401" s="980" t="s">
        <v>398</v>
      </c>
      <c r="G401" s="258" t="e">
        <f>+SUM(G395:G400)</f>
        <v>#N/A</v>
      </c>
      <c r="H401" s="258" t="e">
        <f>+SUM(H395:H400)</f>
        <v>#N/A</v>
      </c>
      <c r="I401" s="258" t="e">
        <f>+SUM(I395:I400)</f>
        <v>#N/A</v>
      </c>
      <c r="J401" s="240"/>
      <c r="K401" s="240"/>
      <c r="L401" s="289"/>
    </row>
    <row r="402" spans="1:12" ht="20.100000000000001" customHeight="1">
      <c r="A402" s="272"/>
      <c r="B402" s="273"/>
      <c r="C402" s="273"/>
      <c r="D402" s="273"/>
      <c r="E402" s="378"/>
      <c r="F402" s="980" t="s">
        <v>399</v>
      </c>
      <c r="G402" s="258" t="e">
        <f>+G401*$K$4</f>
        <v>#N/A</v>
      </c>
      <c r="H402" s="258" t="e">
        <f>+H401*$K$4</f>
        <v>#N/A</v>
      </c>
      <c r="I402" s="258" t="e">
        <f>+I401*$K$4</f>
        <v>#N/A</v>
      </c>
      <c r="J402" s="273"/>
      <c r="K402" s="273"/>
      <c r="L402" s="278"/>
    </row>
    <row r="403" spans="1:12" ht="20.100000000000001" customHeight="1">
      <c r="A403" s="254"/>
      <c r="B403" s="259" t="s">
        <v>425</v>
      </c>
      <c r="C403" s="255"/>
      <c r="D403" s="255"/>
      <c r="E403" s="256"/>
      <c r="F403" s="985"/>
      <c r="G403" s="271"/>
      <c r="H403" s="271"/>
      <c r="I403" s="255"/>
      <c r="J403" s="255"/>
      <c r="K403" s="255"/>
      <c r="L403" s="291"/>
    </row>
    <row r="404" spans="1:12" ht="20.100000000000001" customHeight="1">
      <c r="A404" s="316"/>
      <c r="B404" s="317"/>
      <c r="C404" s="269"/>
      <c r="D404" s="269"/>
      <c r="E404" s="248"/>
      <c r="F404" s="979"/>
      <c r="G404" s="265"/>
      <c r="H404" s="265"/>
      <c r="I404" s="265"/>
      <c r="J404" s="270"/>
      <c r="K404" s="265"/>
      <c r="L404" s="288"/>
    </row>
    <row r="405" spans="1:12" s="237" customFormat="1" ht="20.100000000000001" customHeight="1">
      <c r="A405" s="299"/>
      <c r="B405" s="478"/>
      <c r="C405" s="269"/>
      <c r="D405" s="269"/>
      <c r="E405" s="248"/>
      <c r="F405" s="979"/>
      <c r="G405" s="265"/>
      <c r="H405" s="265"/>
      <c r="I405" s="265"/>
      <c r="J405" s="270"/>
      <c r="K405" s="265"/>
      <c r="L405" s="288"/>
    </row>
    <row r="406" spans="1:12" ht="20.100000000000001" customHeight="1">
      <c r="A406" s="297"/>
      <c r="B406" s="298"/>
      <c r="C406" s="298"/>
      <c r="D406" s="298"/>
      <c r="E406" s="378" t="s">
        <v>395</v>
      </c>
      <c r="F406" s="993" t="s">
        <v>398</v>
      </c>
      <c r="G406" s="300">
        <f>+SUM(G404:G405)</f>
        <v>0</v>
      </c>
      <c r="H406" s="300">
        <f>+SUM(H404:H405)</f>
        <v>0</v>
      </c>
      <c r="I406" s="300">
        <f>+SUM(I404:I405)</f>
        <v>0</v>
      </c>
      <c r="J406" s="298"/>
      <c r="K406" s="298"/>
      <c r="L406" s="301"/>
    </row>
    <row r="407" spans="1:12" ht="20.100000000000001" customHeight="1">
      <c r="A407" s="272"/>
      <c r="B407" s="273"/>
      <c r="C407" s="273"/>
      <c r="D407" s="273"/>
      <c r="E407" s="378"/>
      <c r="F407" s="980" t="s">
        <v>399</v>
      </c>
      <c r="G407" s="258">
        <f>+G406*$K$4</f>
        <v>0</v>
      </c>
      <c r="H407" s="258">
        <f>+H406*$K$4</f>
        <v>0</v>
      </c>
      <c r="I407" s="258">
        <f>+I406*$K$4</f>
        <v>0</v>
      </c>
      <c r="J407" s="273"/>
      <c r="K407" s="273"/>
      <c r="L407" s="278"/>
    </row>
    <row r="408" spans="1:12" ht="20.100000000000001" customHeight="1">
      <c r="A408" s="254"/>
      <c r="B408" s="259" t="s">
        <v>412</v>
      </c>
      <c r="C408" s="255"/>
      <c r="D408" s="255"/>
      <c r="E408" s="256"/>
      <c r="F408" s="985"/>
      <c r="G408" s="271"/>
      <c r="H408" s="271"/>
      <c r="I408" s="255"/>
      <c r="J408" s="255"/>
      <c r="K408" s="255"/>
      <c r="L408" s="291"/>
    </row>
    <row r="409" spans="1:12" s="450" customFormat="1" ht="20.100000000000001" customHeight="1">
      <c r="A409" s="299"/>
      <c r="B409" s="317"/>
      <c r="C409" s="269"/>
      <c r="D409" s="269"/>
      <c r="E409" s="248"/>
      <c r="F409" s="979"/>
      <c r="G409" s="265"/>
      <c r="H409" s="265"/>
      <c r="I409" s="265"/>
      <c r="J409" s="270"/>
      <c r="K409" s="265"/>
      <c r="L409" s="288"/>
    </row>
    <row r="410" spans="1:12" s="429" customFormat="1">
      <c r="A410" s="299"/>
      <c r="B410" s="514"/>
      <c r="C410" s="269"/>
      <c r="D410" s="269"/>
      <c r="E410" s="248"/>
      <c r="F410" s="979"/>
      <c r="G410" s="265"/>
      <c r="H410" s="265"/>
      <c r="I410" s="265"/>
      <c r="J410" s="270"/>
      <c r="K410" s="265"/>
      <c r="L410" s="288"/>
    </row>
    <row r="411" spans="1:12" s="450" customFormat="1" ht="20.100000000000001" customHeight="1">
      <c r="A411" s="297"/>
      <c r="B411" s="298"/>
      <c r="C411" s="298"/>
      <c r="D411" s="298"/>
      <c r="E411" s="395" t="s">
        <v>395</v>
      </c>
      <c r="F411" s="994" t="s">
        <v>398</v>
      </c>
      <c r="G411" s="488">
        <f>+SUM(G409:G410)</f>
        <v>0</v>
      </c>
      <c r="H411" s="488">
        <f>+SUM(H409:H410)</f>
        <v>0</v>
      </c>
      <c r="I411" s="488">
        <f>+SUM(I409:I410)</f>
        <v>0</v>
      </c>
      <c r="J411" s="298"/>
      <c r="K411" s="298"/>
      <c r="L411" s="301"/>
    </row>
    <row r="412" spans="1:12" ht="20.100000000000001" customHeight="1">
      <c r="A412" s="254"/>
      <c r="B412" s="255"/>
      <c r="C412" s="255"/>
      <c r="D412" s="255"/>
      <c r="E412" s="394"/>
      <c r="F412" s="980" t="s">
        <v>399</v>
      </c>
      <c r="G412" s="258">
        <f>+G411*$K$4</f>
        <v>0</v>
      </c>
      <c r="H412" s="258">
        <f>+H411*$K$4</f>
        <v>0</v>
      </c>
      <c r="I412" s="258">
        <f>+I411*$K$4</f>
        <v>0</v>
      </c>
      <c r="J412" s="255"/>
      <c r="K412" s="255"/>
      <c r="L412" s="291"/>
    </row>
    <row r="413" spans="1:12" ht="20.100000000000001" customHeight="1">
      <c r="A413" s="263" t="s">
        <v>462</v>
      </c>
      <c r="B413" s="260"/>
      <c r="C413" s="260"/>
      <c r="D413" s="260"/>
      <c r="E413" s="261"/>
      <c r="F413" s="986"/>
      <c r="G413" s="262"/>
      <c r="H413" s="262"/>
      <c r="I413" s="260"/>
      <c r="J413" s="260"/>
      <c r="K413" s="260"/>
      <c r="L413" s="293"/>
    </row>
    <row r="414" spans="1:12" ht="20.100000000000001" customHeight="1">
      <c r="A414" s="272"/>
      <c r="B414" s="277" t="s">
        <v>463</v>
      </c>
      <c r="C414" s="273"/>
      <c r="D414" s="273"/>
      <c r="E414" s="274"/>
      <c r="F414" s="987"/>
      <c r="G414" s="276"/>
      <c r="H414" s="276"/>
      <c r="I414" s="273"/>
      <c r="J414" s="273"/>
      <c r="K414" s="273"/>
      <c r="L414" s="278"/>
    </row>
    <row r="415" spans="1:12" ht="20.100000000000001" customHeight="1">
      <c r="A415" s="272"/>
      <c r="B415" s="279" t="s">
        <v>464</v>
      </c>
      <c r="C415" s="273"/>
      <c r="D415" s="273"/>
      <c r="E415" s="274"/>
      <c r="F415" s="987"/>
      <c r="G415" s="276"/>
      <c r="H415" s="276"/>
      <c r="I415" s="273"/>
      <c r="J415" s="273"/>
      <c r="K415" s="273"/>
      <c r="L415" s="278"/>
    </row>
    <row r="416" spans="1:12" ht="20.100000000000001" customHeight="1">
      <c r="A416" s="254"/>
      <c r="B416" s="259" t="s">
        <v>412</v>
      </c>
      <c r="C416" s="255"/>
      <c r="D416" s="255"/>
      <c r="E416" s="256"/>
      <c r="F416" s="983"/>
      <c r="G416" s="257"/>
      <c r="H416" s="257"/>
      <c r="I416" s="255"/>
      <c r="J416" s="255"/>
      <c r="K416" s="255"/>
      <c r="L416" s="291"/>
    </row>
    <row r="417" spans="1:12" s="429" customFormat="1" ht="36" customHeight="1">
      <c r="A417" s="374"/>
      <c r="B417" s="375" t="s">
        <v>639</v>
      </c>
      <c r="C417" s="269" t="e">
        <f>+VLOOKUP(B417,'New Master-List'!$B$1:$AI$4223,31,FALSE)</f>
        <v>#N/A</v>
      </c>
      <c r="D417" s="269" t="e">
        <f>+VLOOKUP(B417,'New Master-List'!$B$1:$AI$4223,30,FALSE)</f>
        <v>#N/A</v>
      </c>
      <c r="E417" s="248" t="e">
        <f>+VLOOKUP(B417,'New Master-List'!$B$1:$AI$4223,10,FALSE)</f>
        <v>#N/A</v>
      </c>
      <c r="F417" s="979" t="e">
        <f>+VLOOKUP(B417,'New Master-List'!$B$8:$AG$389,9,FALSE)</f>
        <v>#N/A</v>
      </c>
      <c r="G417" s="265" t="e">
        <f>+VLOOKUP(B417,'New Master-List'!$B$8:$AG$389,11,FALSE)</f>
        <v>#N/A</v>
      </c>
      <c r="H417" s="265" t="e">
        <f>+VLOOKUP(B417,'New Master-List'!$B$8:$AG$389,12,FALSE)+VLOOKUP(B417,'New Master-List'!$B$8:$AG$389,13,FALSE)++VLOOKUP(B417,'New Master-List'!$B$8:$AG$389,14,FALSE)</f>
        <v>#N/A</v>
      </c>
      <c r="I417" s="265" t="e">
        <f>+VLOOKUP(B417,'New Master-List'!$B$8:$AG$389,21,FALSE)</f>
        <v>#N/A</v>
      </c>
      <c r="J417" s="270" t="e">
        <f>+VLOOKUP(B417,'New Master-List'!$B$8:$AG$389,22,FALSE)</f>
        <v>#N/A</v>
      </c>
      <c r="K417" s="265" t="e">
        <f>+VLOOKUP(B417,'New Master-List'!$B$8:$AG$389,23,FALSE)</f>
        <v>#N/A</v>
      </c>
      <c r="L417" s="288" t="e">
        <f>+VLOOKUP(B417,'New Master-List'!$B$3:$AI$389,33,FALSE)</f>
        <v>#N/A</v>
      </c>
    </row>
    <row r="418" spans="1:12" s="429" customFormat="1" ht="24" customHeight="1">
      <c r="A418" s="374"/>
      <c r="B418" s="375" t="s">
        <v>588</v>
      </c>
      <c r="C418" s="269" t="e">
        <f>+VLOOKUP(B418,'New Master-List'!$B$1:$AI$4223,31,FALSE)</f>
        <v>#N/A</v>
      </c>
      <c r="D418" s="269" t="e">
        <f>+VLOOKUP(B418,'New Master-List'!$B$1:$AI$4223,30,FALSE)</f>
        <v>#N/A</v>
      </c>
      <c r="E418" s="248" t="e">
        <f>+VLOOKUP(B418,'New Master-List'!$B$1:$AI$4223,10,FALSE)</f>
        <v>#N/A</v>
      </c>
      <c r="F418" s="979" t="e">
        <f>+VLOOKUP(B418,'New Master-List'!$B$8:$AG$389,9,FALSE)</f>
        <v>#N/A</v>
      </c>
      <c r="G418" s="265" t="e">
        <f>+VLOOKUP(B418,'New Master-List'!$B$8:$AG$389,11,FALSE)</f>
        <v>#N/A</v>
      </c>
      <c r="H418" s="265" t="e">
        <f>+VLOOKUP(B418,'New Master-List'!$B$8:$AG$389,12,FALSE)+VLOOKUP(B418,'New Master-List'!$B$8:$AG$389,13,FALSE)++VLOOKUP(B418,'New Master-List'!$B$8:$AG$389,14,FALSE)</f>
        <v>#N/A</v>
      </c>
      <c r="I418" s="265" t="e">
        <f>+VLOOKUP(B418,'New Master-List'!$B$8:$AG$389,21,FALSE)</f>
        <v>#N/A</v>
      </c>
      <c r="J418" s="270" t="e">
        <f>+VLOOKUP(B418,'New Master-List'!$B$8:$AG$389,22,FALSE)</f>
        <v>#N/A</v>
      </c>
      <c r="K418" s="265" t="e">
        <f>+VLOOKUP(B418,'New Master-List'!$B$8:$AG$389,23,FALSE)</f>
        <v>#N/A</v>
      </c>
      <c r="L418" s="288" t="e">
        <f>+VLOOKUP(B418,'New Master-List'!$B$3:$AI$389,33,FALSE)</f>
        <v>#N/A</v>
      </c>
    </row>
    <row r="419" spans="1:12" s="429" customFormat="1" ht="33.75" customHeight="1">
      <c r="A419" s="374"/>
      <c r="B419" s="375" t="s">
        <v>589</v>
      </c>
      <c r="C419" s="269" t="e">
        <f>+VLOOKUP(B419,'New Master-List'!$B$1:$AI$4223,31,FALSE)</f>
        <v>#N/A</v>
      </c>
      <c r="D419" s="269" t="e">
        <f>+VLOOKUP(B419,'New Master-List'!$B$1:$AI$4223,30,FALSE)</f>
        <v>#N/A</v>
      </c>
      <c r="E419" s="248" t="e">
        <f>+VLOOKUP(B419,'New Master-List'!$B$1:$AI$4223,10,FALSE)</f>
        <v>#N/A</v>
      </c>
      <c r="F419" s="979" t="e">
        <f>+VLOOKUP(B419,'New Master-List'!$B$8:$AG$389,9,FALSE)</f>
        <v>#N/A</v>
      </c>
      <c r="G419" s="265" t="e">
        <f>+VLOOKUP(B419,'New Master-List'!$B$8:$AG$389,11,FALSE)</f>
        <v>#N/A</v>
      </c>
      <c r="H419" s="265" t="e">
        <f>+VLOOKUP(B419,'New Master-List'!$B$8:$AG$389,12,FALSE)+VLOOKUP(B419,'New Master-List'!$B$8:$AG$389,13,FALSE)++VLOOKUP(B419,'New Master-List'!$B$8:$AG$389,14,FALSE)</f>
        <v>#N/A</v>
      </c>
      <c r="I419" s="265" t="e">
        <f>+VLOOKUP(B419,'New Master-List'!$B$8:$AG$389,21,FALSE)</f>
        <v>#N/A</v>
      </c>
      <c r="J419" s="270" t="e">
        <f>+VLOOKUP(B419,'New Master-List'!$B$8:$AG$389,22,FALSE)</f>
        <v>#N/A</v>
      </c>
      <c r="K419" s="265" t="e">
        <f>+VLOOKUP(B419,'New Master-List'!$B$8:$AG$389,23,FALSE)</f>
        <v>#N/A</v>
      </c>
      <c r="L419" s="288" t="e">
        <f>+VLOOKUP(B419,'New Master-List'!$B$3:$AI$389,33,FALSE)</f>
        <v>#N/A</v>
      </c>
    </row>
    <row r="420" spans="1:12" s="429" customFormat="1" ht="24" customHeight="1">
      <c r="A420" s="374"/>
      <c r="B420" s="375" t="s">
        <v>594</v>
      </c>
      <c r="C420" s="269" t="str">
        <f>+VLOOKUP(B420,'New Master-List'!$B$1:$AI$4223,31,FALSE)</f>
        <v xml:space="preserve">                                                                                                                                                                                                                                                                                                                                                                                                                                                                                                                                                                                                                                                                                                                                                                                                                                                                                                                                                                                                                                                                                                                                                                                                                                                                                                                                                                                                                                                                                                                                                                                                                                                                                                                                                                                                                                                                                                                                                                                                                                                                                                                                                                                                                                                                                                                                                                                                                                                                                                                                                                                                                                                                                                                                                                                                                                                                                                                                                                                                                                                                                       </v>
      </c>
      <c r="D420" s="269" t="str">
        <f>+VLOOKUP(B420,'New Master-List'!$B$1:$AI$4223,30,FALSE)</f>
        <v>Refinance from PPCB and Buy Car</v>
      </c>
      <c r="E420" s="248" t="str">
        <f>+VLOOKUP(B420,'New Master-List'!$B$1:$AI$4223,10,FALSE)</f>
        <v>T/L</v>
      </c>
      <c r="F420" s="979">
        <f>+VLOOKUP(B420,'New Master-List'!$B$8:$AG$389,9,FALSE)</f>
        <v>0.11</v>
      </c>
      <c r="G420" s="265">
        <f>+VLOOKUP(B420,'New Master-List'!$B$8:$AG$389,11,FALSE)</f>
        <v>33000</v>
      </c>
      <c r="H420" s="265">
        <f>+VLOOKUP(B420,'New Master-List'!$B$8:$AG$389,12,FALSE)+VLOOKUP(B420,'New Master-List'!$B$8:$AG$389,13,FALSE)++VLOOKUP(B420,'New Master-List'!$B$8:$AG$389,14,FALSE)</f>
        <v>27035.77</v>
      </c>
      <c r="I420" s="265">
        <f>+VLOOKUP(B420,'New Master-List'!$B$8:$AG$389,21,FALSE)</f>
        <v>60.38</v>
      </c>
      <c r="J420" s="270">
        <f>+VLOOKUP(B420,'New Master-List'!$B$8:$AG$389,22,FALSE)</f>
        <v>0.01</v>
      </c>
      <c r="K420" s="265">
        <f>+VLOOKUP(B420,'New Master-List'!$B$8:$AG$389,23,FALSE)</f>
        <v>270.35770000000002</v>
      </c>
      <c r="L420" s="288" t="str">
        <f>+VLOOKUP(B420,'New Master-List'!$B$3:$AI$389,33,FALSE)</f>
        <v>3.1.1- Secured, excluded Mortgages to purchase owner-occupied housing-HOUSE</v>
      </c>
    </row>
    <row r="421" spans="1:12" s="429" customFormat="1" ht="24" customHeight="1">
      <c r="A421" s="374"/>
      <c r="B421" s="375" t="s">
        <v>601</v>
      </c>
      <c r="C421" s="269" t="e">
        <f>+VLOOKUP(B421,'New Master-List'!$B$1:$AI$4223,31,FALSE)</f>
        <v>#N/A</v>
      </c>
      <c r="D421" s="269" t="e">
        <f>+VLOOKUP(B421,'New Master-List'!$B$1:$AI$4223,30,FALSE)</f>
        <v>#N/A</v>
      </c>
      <c r="E421" s="248" t="e">
        <f>+VLOOKUP(B421,'New Master-List'!$B$1:$AI$4223,10,FALSE)</f>
        <v>#N/A</v>
      </c>
      <c r="F421" s="979" t="e">
        <f>+VLOOKUP(B421,'New Master-List'!$B$8:$AG$389,9,FALSE)</f>
        <v>#N/A</v>
      </c>
      <c r="G421" s="265" t="e">
        <f>+VLOOKUP(B421,'New Master-List'!$B$8:$AG$389,11,FALSE)</f>
        <v>#N/A</v>
      </c>
      <c r="H421" s="265" t="e">
        <f>+VLOOKUP(B421,'New Master-List'!$B$8:$AG$389,12,FALSE)+VLOOKUP(B421,'New Master-List'!$B$8:$AG$389,13,FALSE)++VLOOKUP(B421,'New Master-List'!$B$8:$AG$389,14,FALSE)</f>
        <v>#N/A</v>
      </c>
      <c r="I421" s="265" t="e">
        <f>+VLOOKUP(B421,'New Master-List'!$B$8:$AG$389,21,FALSE)</f>
        <v>#N/A</v>
      </c>
      <c r="J421" s="270" t="e">
        <f>+VLOOKUP(B421,'New Master-List'!$B$8:$AG$389,22,FALSE)</f>
        <v>#N/A</v>
      </c>
      <c r="K421" s="265" t="e">
        <f>+VLOOKUP(B421,'New Master-List'!$B$8:$AG$389,23,FALSE)</f>
        <v>#N/A</v>
      </c>
      <c r="L421" s="288" t="e">
        <f>+VLOOKUP(B421,'New Master-List'!$B$3:$AI$389,33,FALSE)</f>
        <v>#N/A</v>
      </c>
    </row>
    <row r="422" spans="1:12" s="429" customFormat="1" ht="24" customHeight="1">
      <c r="A422" s="374"/>
      <c r="B422" s="375" t="s">
        <v>611</v>
      </c>
      <c r="C422" s="269" t="e">
        <f>+VLOOKUP(B422,'New Master-List'!$B$1:$AI$4223,31,FALSE)</f>
        <v>#N/A</v>
      </c>
      <c r="D422" s="269" t="e">
        <f>+VLOOKUP(B422,'New Master-List'!$B$1:$AI$4223,30,FALSE)</f>
        <v>#N/A</v>
      </c>
      <c r="E422" s="248" t="e">
        <f>+VLOOKUP(B422,'New Master-List'!$B$1:$AI$4223,10,FALSE)</f>
        <v>#N/A</v>
      </c>
      <c r="F422" s="979" t="e">
        <f>+VLOOKUP(B422,'New Master-List'!$B$8:$AG$389,9,FALSE)</f>
        <v>#N/A</v>
      </c>
      <c r="G422" s="265" t="e">
        <f>+VLOOKUP(B422,'New Master-List'!$B$8:$AG$389,11,FALSE)</f>
        <v>#N/A</v>
      </c>
      <c r="H422" s="265" t="e">
        <f>+VLOOKUP(B422,'New Master-List'!$B$8:$AG$389,12,FALSE)+VLOOKUP(B422,'New Master-List'!$B$8:$AG$389,13,FALSE)++VLOOKUP(B422,'New Master-List'!$B$8:$AG$389,14,FALSE)</f>
        <v>#N/A</v>
      </c>
      <c r="I422" s="265" t="e">
        <f>+VLOOKUP(B422,'New Master-List'!$B$8:$AG$389,21,FALSE)</f>
        <v>#N/A</v>
      </c>
      <c r="J422" s="270" t="e">
        <f>+VLOOKUP(B422,'New Master-List'!$B$8:$AG$389,22,FALSE)</f>
        <v>#N/A</v>
      </c>
      <c r="K422" s="265" t="e">
        <f>+VLOOKUP(B422,'New Master-List'!$B$8:$AG$389,23,FALSE)</f>
        <v>#N/A</v>
      </c>
      <c r="L422" s="288" t="e">
        <f>+VLOOKUP(B422,'New Master-List'!$B$3:$AI$389,33,FALSE)</f>
        <v>#N/A</v>
      </c>
    </row>
    <row r="423" spans="1:12" s="429" customFormat="1" ht="29.25" customHeight="1">
      <c r="A423" s="374"/>
      <c r="B423" s="375" t="s">
        <v>647</v>
      </c>
      <c r="C423" s="269" t="str">
        <f>+VLOOKUP(B423,'New Master-List'!$B$1:$AI$4223,31,FALSE)</f>
        <v>Security Investigator at American Embassy and Inter-Country Adoption Representative at CIAI</v>
      </c>
      <c r="D423" s="269" t="str">
        <f>+VLOOKUP(B423,'New Master-List'!$B$1:$AI$4223,30,FALSE)</f>
        <v>Refinance &amp; Build the second floor on the resident flat</v>
      </c>
      <c r="E423" s="248" t="str">
        <f>+VLOOKUP(B423,'New Master-List'!$B$1:$AI$4223,10,FALSE)</f>
        <v>T/L</v>
      </c>
      <c r="F423" s="979">
        <f>+VLOOKUP(B423,'New Master-List'!$B$8:$AG$389,9,FALSE)</f>
        <v>0.105</v>
      </c>
      <c r="G423" s="265">
        <f>+VLOOKUP(B423,'New Master-List'!$B$8:$AG$389,11,FALSE)</f>
        <v>35000</v>
      </c>
      <c r="H423" s="265">
        <f>+VLOOKUP(B423,'New Master-List'!$B$8:$AG$389,12,FALSE)+VLOOKUP(B423,'New Master-List'!$B$8:$AG$389,13,FALSE)++VLOOKUP(B423,'New Master-List'!$B$8:$AG$389,14,FALSE)</f>
        <v>26658.18</v>
      </c>
      <c r="I423" s="265">
        <f>+VLOOKUP(B423,'New Master-List'!$B$8:$AG$389,21,FALSE)</f>
        <v>16.600000000000001</v>
      </c>
      <c r="J423" s="270">
        <f>+VLOOKUP(B423,'New Master-List'!$B$8:$AG$389,22,FALSE)</f>
        <v>0.01</v>
      </c>
      <c r="K423" s="265">
        <f>+VLOOKUP(B423,'New Master-List'!$B$8:$AG$389,23,FALSE)</f>
        <v>266.58179999999999</v>
      </c>
      <c r="L423" s="288" t="str">
        <f>+VLOOKUP(B423,'New Master-List'!$B$3:$AI$389,33,FALSE)</f>
        <v>3.1.1- Secured, excluded Mortgages to purchase owner-occupied housing-HOUSE</v>
      </c>
    </row>
    <row r="424" spans="1:12" s="429" customFormat="1" ht="24" customHeight="1">
      <c r="A424" s="374"/>
      <c r="B424" s="375" t="s">
        <v>729</v>
      </c>
      <c r="C424" s="269" t="str">
        <f>+VLOOKUP(B424,'New Master-List'!$B$1:$AI$4223,31,FALSE)</f>
        <v>Major</v>
      </c>
      <c r="D424" s="269" t="str">
        <f>+VLOOKUP(B424,'New Master-List'!$B$1:$AI$4223,30,FALSE)</f>
        <v>Buy House</v>
      </c>
      <c r="E424" s="248" t="str">
        <f>+VLOOKUP(B424,'New Master-List'!$B$1:$AI$4223,10,FALSE)</f>
        <v>T/L</v>
      </c>
      <c r="F424" s="979">
        <f>+VLOOKUP(B424,'New Master-List'!$B$8:$AG$389,9,FALSE)</f>
        <v>0.13200000000000001</v>
      </c>
      <c r="G424" s="265">
        <f>+VLOOKUP(B424,'New Master-List'!$B$8:$AG$389,11,FALSE)</f>
        <v>25000</v>
      </c>
      <c r="H424" s="265">
        <f>+VLOOKUP(B424,'New Master-List'!$B$8:$AG$389,12,FALSE)+VLOOKUP(B424,'New Master-List'!$B$8:$AG$389,13,FALSE)++VLOOKUP(B424,'New Master-List'!$B$8:$AG$389,14,FALSE)</f>
        <v>8617.7000000000007</v>
      </c>
      <c r="I424" s="265">
        <f>+VLOOKUP(B424,'New Master-List'!$B$8:$AG$389,21,FALSE)</f>
        <v>35.369999999999997</v>
      </c>
      <c r="J424" s="270">
        <f>+VLOOKUP(B424,'New Master-List'!$B$8:$AG$389,22,FALSE)</f>
        <v>0.01</v>
      </c>
      <c r="K424" s="265">
        <f>+VLOOKUP(B424,'New Master-List'!$B$8:$AG$389,23,FALSE)</f>
        <v>86.177000000000007</v>
      </c>
      <c r="L424" s="288" t="str">
        <f>+VLOOKUP(B424,'New Master-List'!$B$3:$AI$389,33,FALSE)</f>
        <v>3.3- Mortgages, Owner-Occupied Housing only-HOUSE</v>
      </c>
    </row>
    <row r="425" spans="1:12" s="429" customFormat="1" ht="24" customHeight="1">
      <c r="A425" s="299"/>
      <c r="B425" s="375" t="s">
        <v>733</v>
      </c>
      <c r="C425" s="269" t="str">
        <f>+VLOOKUP(B425,'New Master-List'!$B$1:$AI$4223,31,FALSE)</f>
        <v>Lecturer</v>
      </c>
      <c r="D425" s="269" t="str">
        <f>+VLOOKUP(B425,'New Master-List'!$B$1:$AI$4223,30,FALSE)</f>
        <v>Buy House</v>
      </c>
      <c r="E425" s="248" t="str">
        <f>+VLOOKUP(B425,'New Master-List'!$B$1:$AI$4223,10,FALSE)</f>
        <v>T/L</v>
      </c>
      <c r="F425" s="979">
        <f>+VLOOKUP(B425,'New Master-List'!$B$8:$AG$389,9,FALSE)</f>
        <v>0.11</v>
      </c>
      <c r="G425" s="265">
        <f>+VLOOKUP(B425,'New Master-List'!$B$8:$AG$389,11,FALSE)</f>
        <v>35000</v>
      </c>
      <c r="H425" s="265">
        <f>+VLOOKUP(B425,'New Master-List'!$B$8:$AG$389,12,FALSE)+VLOOKUP(B425,'New Master-List'!$B$8:$AG$389,13,FALSE)++VLOOKUP(B425,'New Master-List'!$B$8:$AG$389,14,FALSE)</f>
        <v>21584.38</v>
      </c>
      <c r="I425" s="265">
        <f>+VLOOKUP(B425,'New Master-List'!$B$8:$AG$389,21,FALSE)</f>
        <v>161.16999999999999</v>
      </c>
      <c r="J425" s="270">
        <f>+VLOOKUP(B425,'New Master-List'!$B$8:$AG$389,22,FALSE)</f>
        <v>0.01</v>
      </c>
      <c r="K425" s="265">
        <f>+VLOOKUP(B425,'New Master-List'!$B$8:$AG$389,23,FALSE)</f>
        <v>215.84380000000002</v>
      </c>
      <c r="L425" s="288" t="str">
        <f>+VLOOKUP(B425,'New Master-List'!$B$3:$AI$389,33,FALSE)</f>
        <v>3.3- Mortgages, Owner-Occupied Housing only-HOUSE</v>
      </c>
    </row>
    <row r="426" spans="1:12" s="429" customFormat="1" ht="24" customHeight="1">
      <c r="A426" s="299"/>
      <c r="B426" s="375" t="s">
        <v>694</v>
      </c>
      <c r="C426" s="269" t="str">
        <f>+VLOOKUP(B426,'New Master-List'!$B$1:$AI$4223,31,FALSE)</f>
        <v>Owner Business &amp; Prod Supervisor</v>
      </c>
      <c r="D426" s="269" t="str">
        <f>+VLOOKUP(B426,'New Master-List'!$B$1:$AI$4223,30,FALSE)</f>
        <v>Refinace from Cambodia Post Bank and Build house</v>
      </c>
      <c r="E426" s="248" t="str">
        <f>+VLOOKUP(B426,'New Master-List'!$B$1:$AI$4223,10,FALSE)</f>
        <v>T/L</v>
      </c>
      <c r="F426" s="979">
        <f>+VLOOKUP(B426,'New Master-List'!$B$8:$AG$389,9,FALSE)</f>
        <v>0.13200000000000001</v>
      </c>
      <c r="G426" s="265">
        <f>+VLOOKUP(B426,'New Master-List'!$B$8:$AG$389,11,FALSE)</f>
        <v>30000</v>
      </c>
      <c r="H426" s="265">
        <f>+VLOOKUP(B426,'New Master-List'!$B$8:$AG$389,12,FALSE)+VLOOKUP(B426,'New Master-List'!$B$8:$AG$389,13,FALSE)++VLOOKUP(B426,'New Master-List'!$B$8:$AG$389,14,FALSE)</f>
        <v>22402.34</v>
      </c>
      <c r="I426" s="265">
        <f>+VLOOKUP(B426,'New Master-List'!$B$8:$AG$389,21,FALSE)</f>
        <v>61.92</v>
      </c>
      <c r="J426" s="270">
        <f>+VLOOKUP(B426,'New Master-List'!$B$8:$AG$389,22,FALSE)</f>
        <v>0.01</v>
      </c>
      <c r="K426" s="265">
        <f>+VLOOKUP(B426,'New Master-List'!$B$8:$AG$389,23,FALSE)</f>
        <v>224.02340000000001</v>
      </c>
      <c r="L426" s="288" t="str">
        <f>+VLOOKUP(B426,'New Master-List'!$B$3:$AI$389,33,FALSE)</f>
        <v>3.1.1- Secured, excluded Mortgages to purchase owner-occupied housing-HOUSE</v>
      </c>
    </row>
    <row r="427" spans="1:12" s="429" customFormat="1" ht="30.75" customHeight="1">
      <c r="A427" s="299"/>
      <c r="B427" s="375" t="s">
        <v>692</v>
      </c>
      <c r="C427" s="269" t="str">
        <f>+VLOOKUP(B427,'New Master-List'!$B$1:$AI$4223,31,FALSE)</f>
        <v>Owner Business &amp; Credit Officer</v>
      </c>
      <c r="D427" s="269" t="str">
        <f>+VLOOKUP(B427,'New Master-List'!$B$1:$AI$4223,30,FALSE)</f>
        <v>Refinace from Tomato Specialized Bank and renovated house</v>
      </c>
      <c r="E427" s="248" t="str">
        <f>+VLOOKUP(B427,'New Master-List'!$B$1:$AI$4223,10,FALSE)</f>
        <v>T/L</v>
      </c>
      <c r="F427" s="979">
        <f>+VLOOKUP(B427,'New Master-List'!$B$8:$AG$389,9,FALSE)</f>
        <v>0.12</v>
      </c>
      <c r="G427" s="265">
        <f>+VLOOKUP(B427,'New Master-List'!$B$8:$AG$389,11,FALSE)</f>
        <v>12000</v>
      </c>
      <c r="H427" s="265">
        <f>+VLOOKUP(B427,'New Master-List'!$B$8:$AG$389,12,FALSE)+VLOOKUP(B427,'New Master-List'!$B$8:$AG$389,13,FALSE)++VLOOKUP(B427,'New Master-List'!$B$8:$AG$389,14,FALSE)</f>
        <v>8754.65</v>
      </c>
      <c r="I427" s="265">
        <f>+VLOOKUP(B427,'New Master-List'!$B$8:$AG$389,21,FALSE)</f>
        <v>82.17</v>
      </c>
      <c r="J427" s="270">
        <f>+VLOOKUP(B427,'New Master-List'!$B$8:$AG$389,22,FALSE)</f>
        <v>0.01</v>
      </c>
      <c r="K427" s="265">
        <f>+VLOOKUP(B427,'New Master-List'!$B$8:$AG$389,23,FALSE)</f>
        <v>87.546499999999995</v>
      </c>
      <c r="L427" s="288" t="str">
        <f>+VLOOKUP(B427,'New Master-List'!$B$3:$AI$389,33,FALSE)</f>
        <v>3.1.1- Secured, excluded Mortgages to purchase owner-occupied housing-HOUSE</v>
      </c>
    </row>
    <row r="428" spans="1:12" s="237" customFormat="1" ht="20.100000000000001" customHeight="1">
      <c r="A428" s="239"/>
      <c r="B428" s="240" t="s">
        <v>513</v>
      </c>
      <c r="C428" s="240"/>
      <c r="D428" s="240"/>
      <c r="E428" s="394" t="s">
        <v>395</v>
      </c>
      <c r="F428" s="992" t="s">
        <v>398</v>
      </c>
      <c r="G428" s="300" t="e">
        <f>+SUM(G417:G427)</f>
        <v>#N/A</v>
      </c>
      <c r="H428" s="300" t="e">
        <f>+SUM(H417:H427)</f>
        <v>#N/A</v>
      </c>
      <c r="I428" s="300" t="e">
        <f>+SUM(I417:I427)</f>
        <v>#N/A</v>
      </c>
      <c r="J428" s="240"/>
      <c r="K428" s="240"/>
      <c r="L428" s="289"/>
    </row>
    <row r="429" spans="1:12" s="237" customFormat="1" ht="20.100000000000001" customHeight="1">
      <c r="A429" s="239"/>
      <c r="B429" s="240"/>
      <c r="C429" s="240"/>
      <c r="D429" s="240"/>
      <c r="E429" s="378"/>
      <c r="F429" s="980" t="s">
        <v>399</v>
      </c>
      <c r="G429" s="258" t="e">
        <f>+G428*$K$4</f>
        <v>#N/A</v>
      </c>
      <c r="H429" s="258" t="e">
        <f>+H428*$K$4</f>
        <v>#N/A</v>
      </c>
      <c r="I429" s="258" t="e">
        <f>+I428*$K$4</f>
        <v>#N/A</v>
      </c>
      <c r="J429" s="240"/>
      <c r="K429" s="240"/>
      <c r="L429" s="289"/>
    </row>
    <row r="430" spans="1:12" s="237" customFormat="1" ht="20.100000000000001" customHeight="1">
      <c r="A430" s="272"/>
      <c r="B430" s="279" t="s">
        <v>465</v>
      </c>
      <c r="C430" s="273"/>
      <c r="D430" s="273"/>
      <c r="E430" s="274"/>
      <c r="F430" s="987"/>
      <c r="G430" s="276"/>
      <c r="H430" s="276"/>
      <c r="I430" s="273"/>
      <c r="J430" s="273"/>
      <c r="K430" s="273"/>
      <c r="L430" s="278"/>
    </row>
    <row r="431" spans="1:12" s="237" customFormat="1" ht="20.100000000000001" customHeight="1">
      <c r="A431" s="272"/>
      <c r="B431" s="259" t="s">
        <v>422</v>
      </c>
      <c r="C431" s="273"/>
      <c r="D431" s="273"/>
      <c r="E431" s="274"/>
      <c r="F431" s="989"/>
      <c r="G431" s="275"/>
      <c r="H431" s="275"/>
      <c r="I431" s="273"/>
      <c r="J431" s="273"/>
      <c r="K431" s="273"/>
      <c r="L431" s="278"/>
    </row>
    <row r="432" spans="1:12" s="237" customFormat="1" ht="20.100000000000001" customHeight="1">
      <c r="A432" s="250"/>
      <c r="B432" s="408"/>
      <c r="C432" s="269"/>
      <c r="D432" s="269"/>
      <c r="E432" s="248"/>
      <c r="F432" s="979"/>
      <c r="G432" s="265"/>
      <c r="H432" s="265"/>
      <c r="I432" s="265"/>
      <c r="J432" s="270"/>
      <c r="K432" s="265"/>
      <c r="L432" s="288"/>
    </row>
    <row r="433" spans="1:12" s="237" customFormat="1" ht="20.100000000000001" customHeight="1">
      <c r="A433" s="239"/>
      <c r="B433" s="240"/>
      <c r="C433" s="240"/>
      <c r="D433" s="240"/>
      <c r="E433" s="393" t="s">
        <v>395</v>
      </c>
      <c r="F433" s="980" t="s">
        <v>398</v>
      </c>
      <c r="G433" s="258">
        <f>+SUM(G432)</f>
        <v>0</v>
      </c>
      <c r="H433" s="258">
        <f>+SUM(H432:H432)</f>
        <v>0</v>
      </c>
      <c r="I433" s="258">
        <f>+SUM(I432:I432)</f>
        <v>0</v>
      </c>
      <c r="J433" s="240"/>
      <c r="K433" s="240"/>
      <c r="L433" s="289"/>
    </row>
    <row r="434" spans="1:12" s="237" customFormat="1" ht="20.100000000000001" customHeight="1">
      <c r="A434" s="254"/>
      <c r="B434" s="255"/>
      <c r="C434" s="255"/>
      <c r="D434" s="255"/>
      <c r="E434" s="394"/>
      <c r="F434" s="980" t="s">
        <v>399</v>
      </c>
      <c r="G434" s="258">
        <f>+G433*$K$4</f>
        <v>0</v>
      </c>
      <c r="H434" s="258">
        <f>+H433*$K$4</f>
        <v>0</v>
      </c>
      <c r="I434" s="258">
        <f>+I433*$K$4</f>
        <v>0</v>
      </c>
      <c r="J434" s="255"/>
      <c r="K434" s="255"/>
      <c r="L434" s="291"/>
    </row>
    <row r="435" spans="1:12" s="237" customFormat="1" ht="20.100000000000001" customHeight="1">
      <c r="A435" s="254"/>
      <c r="B435" s="259" t="s">
        <v>412</v>
      </c>
      <c r="C435" s="255"/>
      <c r="D435" s="255"/>
      <c r="E435" s="256"/>
      <c r="F435" s="983"/>
      <c r="G435" s="257"/>
      <c r="H435" s="257"/>
      <c r="I435" s="255"/>
      <c r="J435" s="255"/>
      <c r="K435" s="255"/>
      <c r="L435" s="291"/>
    </row>
    <row r="436" spans="1:12" s="237" customFormat="1" ht="20.100000000000001" customHeight="1">
      <c r="A436" s="287"/>
      <c r="B436" s="248"/>
      <c r="C436" s="269"/>
      <c r="D436" s="269"/>
      <c r="E436" s="248"/>
      <c r="F436" s="979"/>
      <c r="G436" s="265"/>
      <c r="H436" s="265"/>
      <c r="I436" s="265"/>
      <c r="J436" s="270"/>
      <c r="K436" s="265"/>
      <c r="L436" s="288"/>
    </row>
    <row r="437" spans="1:12" s="429" customFormat="1" ht="20.100000000000001" customHeight="1">
      <c r="A437" s="299"/>
      <c r="B437" s="375"/>
      <c r="C437" s="269"/>
      <c r="D437" s="269"/>
      <c r="E437" s="248"/>
      <c r="F437" s="979"/>
      <c r="G437" s="265"/>
      <c r="H437" s="265"/>
      <c r="I437" s="265"/>
      <c r="J437" s="270"/>
      <c r="K437" s="265"/>
      <c r="L437" s="288"/>
    </row>
    <row r="438" spans="1:12" ht="20.100000000000001" customHeight="1">
      <c r="A438" s="239"/>
      <c r="B438" s="240"/>
      <c r="C438" s="240"/>
      <c r="D438" s="240"/>
      <c r="E438" s="378" t="s">
        <v>395</v>
      </c>
      <c r="F438" s="992" t="s">
        <v>398</v>
      </c>
      <c r="G438" s="488">
        <f>+SUM(G436:G437)</f>
        <v>0</v>
      </c>
      <c r="H438" s="488">
        <f>+SUM(H436:H437)</f>
        <v>0</v>
      </c>
      <c r="I438" s="488">
        <f>+SUM(I436:I437)</f>
        <v>0</v>
      </c>
      <c r="J438" s="240"/>
      <c r="K438" s="240"/>
      <c r="L438" s="289"/>
    </row>
    <row r="439" spans="1:12" ht="20.100000000000001" customHeight="1">
      <c r="A439" s="239"/>
      <c r="B439" s="240"/>
      <c r="C439" s="240"/>
      <c r="D439" s="240"/>
      <c r="E439" s="378"/>
      <c r="F439" s="980" t="s">
        <v>399</v>
      </c>
      <c r="G439" s="258">
        <f>+G438*$K$4</f>
        <v>0</v>
      </c>
      <c r="H439" s="258">
        <f>+H438*$K$4</f>
        <v>0</v>
      </c>
      <c r="I439" s="258">
        <f>+I438*$K$4</f>
        <v>0</v>
      </c>
      <c r="J439" s="240"/>
      <c r="K439" s="240"/>
      <c r="L439" s="289"/>
    </row>
    <row r="440" spans="1:12" ht="20.100000000000001" customHeight="1">
      <c r="A440" s="272"/>
      <c r="B440" s="277" t="s">
        <v>466</v>
      </c>
      <c r="C440" s="273"/>
      <c r="D440" s="273"/>
      <c r="E440" s="274"/>
      <c r="F440" s="989"/>
      <c r="G440" s="275"/>
      <c r="H440" s="275"/>
      <c r="I440" s="273"/>
      <c r="J440" s="273"/>
      <c r="K440" s="273"/>
      <c r="L440" s="278"/>
    </row>
    <row r="441" spans="1:12" s="429" customFormat="1" ht="20.100000000000001" customHeight="1">
      <c r="A441" s="1352"/>
      <c r="B441" s="375" t="s">
        <v>33</v>
      </c>
      <c r="C441" s="375" t="s">
        <v>33</v>
      </c>
      <c r="D441" s="375" t="s">
        <v>33</v>
      </c>
      <c r="E441" s="375" t="str">
        <f>+VLOOKUP(B441,'New Master-List'!$B$1:$AI$4223,10,FALSE)</f>
        <v>N/A</v>
      </c>
      <c r="F441" s="375" t="s">
        <v>33</v>
      </c>
      <c r="G441" s="375" t="str">
        <f>+VLOOKUP(B441,'New Master-List'!$B$8:$AG$389,11,FALSE)</f>
        <v>N/A</v>
      </c>
      <c r="H441" s="375" t="s">
        <v>33</v>
      </c>
      <c r="I441" s="375" t="s">
        <v>33</v>
      </c>
      <c r="J441" s="375" t="s">
        <v>33</v>
      </c>
      <c r="K441" s="375" t="s">
        <v>33</v>
      </c>
      <c r="L441" s="375" t="s">
        <v>33</v>
      </c>
    </row>
    <row r="442" spans="1:12" ht="20.100000000000001" customHeight="1">
      <c r="A442" s="239"/>
      <c r="B442" s="240"/>
      <c r="C442" s="240"/>
      <c r="D442" s="240"/>
      <c r="E442" s="393" t="s">
        <v>395</v>
      </c>
      <c r="F442" s="980" t="s">
        <v>398</v>
      </c>
      <c r="G442" s="258">
        <f>+SUM(G441)</f>
        <v>0</v>
      </c>
      <c r="H442" s="258">
        <f>+SUM(H441)</f>
        <v>0</v>
      </c>
      <c r="I442" s="258">
        <f>+SUM(I441)</f>
        <v>0</v>
      </c>
      <c r="J442" s="240"/>
      <c r="K442" s="240"/>
      <c r="L442" s="289"/>
    </row>
    <row r="443" spans="1:12" ht="20.100000000000001" customHeight="1">
      <c r="A443" s="254"/>
      <c r="B443" s="255"/>
      <c r="C443" s="255"/>
      <c r="D443" s="255"/>
      <c r="E443" s="394"/>
      <c r="F443" s="980" t="s">
        <v>399</v>
      </c>
      <c r="G443" s="258">
        <f>+G442*$K$4</f>
        <v>0</v>
      </c>
      <c r="H443" s="258">
        <f>+H442*$K$4</f>
        <v>0</v>
      </c>
      <c r="I443" s="258">
        <f>+I442*$K$4</f>
        <v>0</v>
      </c>
      <c r="J443" s="255"/>
      <c r="K443" s="255"/>
      <c r="L443" s="291"/>
    </row>
    <row r="444" spans="1:12" ht="20.100000000000001" customHeight="1">
      <c r="A444" s="272"/>
      <c r="B444" s="277" t="s">
        <v>467</v>
      </c>
      <c r="C444" s="273"/>
      <c r="D444" s="273"/>
      <c r="E444" s="274"/>
      <c r="F444" s="989"/>
      <c r="G444" s="275"/>
      <c r="H444" s="275"/>
      <c r="I444" s="273"/>
      <c r="J444" s="273"/>
      <c r="K444" s="273"/>
      <c r="L444" s="278"/>
    </row>
    <row r="445" spans="1:12" ht="20.100000000000001" customHeight="1">
      <c r="A445" s="254"/>
      <c r="B445" s="259" t="s">
        <v>422</v>
      </c>
      <c r="C445" s="255"/>
      <c r="D445" s="255"/>
      <c r="E445" s="256"/>
      <c r="F445" s="985"/>
      <c r="G445" s="271"/>
      <c r="H445" s="271"/>
      <c r="I445" s="255"/>
      <c r="J445" s="255"/>
      <c r="K445" s="255"/>
      <c r="L445" s="291"/>
    </row>
    <row r="446" spans="1:12" ht="20.100000000000001" customHeight="1">
      <c r="A446" s="287"/>
      <c r="B446" s="248"/>
      <c r="C446" s="269"/>
      <c r="D446" s="269"/>
      <c r="E446" s="248"/>
      <c r="F446" s="979"/>
      <c r="G446" s="265"/>
      <c r="H446" s="265"/>
      <c r="I446" s="265"/>
      <c r="J446" s="270"/>
      <c r="K446" s="265"/>
      <c r="L446" s="288"/>
    </row>
    <row r="447" spans="1:12" ht="20.100000000000001" customHeight="1">
      <c r="A447" s="239"/>
      <c r="B447" s="240"/>
      <c r="C447" s="240"/>
      <c r="D447" s="240"/>
      <c r="E447" s="393" t="s">
        <v>395</v>
      </c>
      <c r="F447" s="980" t="s">
        <v>398</v>
      </c>
      <c r="G447" s="258">
        <f>+SUM(G446)</f>
        <v>0</v>
      </c>
      <c r="H447" s="258">
        <f>+SUM(H446:H446)</f>
        <v>0</v>
      </c>
      <c r="I447" s="258">
        <f>+SUM(I446:I446)</f>
        <v>0</v>
      </c>
      <c r="J447" s="240"/>
      <c r="K447" s="240"/>
      <c r="L447" s="289"/>
    </row>
    <row r="448" spans="1:12" ht="20.100000000000001" customHeight="1">
      <c r="A448" s="254"/>
      <c r="B448" s="255"/>
      <c r="C448" s="255"/>
      <c r="D448" s="255"/>
      <c r="E448" s="394"/>
      <c r="F448" s="980" t="s">
        <v>399</v>
      </c>
      <c r="G448" s="258">
        <f>+G447*$K$4</f>
        <v>0</v>
      </c>
      <c r="H448" s="258">
        <f>+H447*$K$4</f>
        <v>0</v>
      </c>
      <c r="I448" s="258">
        <f>+I447*$K$4</f>
        <v>0</v>
      </c>
      <c r="J448" s="255"/>
      <c r="K448" s="255"/>
      <c r="L448" s="291"/>
    </row>
    <row r="449" spans="1:12" ht="20.100000000000001" customHeight="1">
      <c r="A449" s="254"/>
      <c r="B449" s="259" t="s">
        <v>412</v>
      </c>
      <c r="C449" s="255"/>
      <c r="D449" s="255"/>
      <c r="E449" s="256"/>
      <c r="F449" s="985"/>
      <c r="G449" s="271"/>
      <c r="H449" s="271"/>
      <c r="I449" s="255"/>
      <c r="J449" s="255"/>
      <c r="K449" s="255"/>
      <c r="L449" s="291"/>
    </row>
    <row r="450" spans="1:12" s="237" customFormat="1" ht="20.100000000000001" customHeight="1">
      <c r="A450" s="250"/>
      <c r="B450" s="514" t="s">
        <v>586</v>
      </c>
      <c r="C450" s="269" t="str">
        <f>+VLOOKUP(B450,'New Master-List'!$B$1:$AI$4223,31,FALSE)</f>
        <v>IT Manager at INFINITY Insurance</v>
      </c>
      <c r="D450" s="269" t="str">
        <f>+VLOOKUP(B450,'New Master-List'!$B$1:$AI$4223,30,FALSE)</f>
        <v>Buy Villa at Borey Peng Huot</v>
      </c>
      <c r="E450" s="248" t="str">
        <f>+VLOOKUP(B450,'New Master-List'!$B$1:$AI$4223,10,FALSE)</f>
        <v>T/L</v>
      </c>
      <c r="F450" s="979">
        <f>+VLOOKUP(B450,'New Master-List'!$B$8:$AG$389,9,FALSE)</f>
        <v>0.1</v>
      </c>
      <c r="G450" s="265">
        <f>+VLOOKUP(B450,'New Master-List'!$B$8:$AG$389,11,FALSE)</f>
        <v>42000</v>
      </c>
      <c r="H450" s="265">
        <f>+VLOOKUP(B450,'New Master-List'!$B$8:$AG$389,12,FALSE)+VLOOKUP(B450,'New Master-List'!$B$8:$AG$389,13,FALSE)++VLOOKUP(B450,'New Master-List'!$B$8:$AG$389,14,FALSE)</f>
        <v>32738.74</v>
      </c>
      <c r="I450" s="265">
        <f>+VLOOKUP(B450,'New Master-List'!$B$8:$AG$389,21,FALSE)</f>
        <v>297.62</v>
      </c>
      <c r="J450" s="270">
        <f>+VLOOKUP(B450,'New Master-List'!$B$8:$AG$389,22,FALSE)</f>
        <v>0.01</v>
      </c>
      <c r="K450" s="265">
        <f>+VLOOKUP(B450,'New Master-List'!$B$8:$AG$389,23,FALSE)</f>
        <v>327.38740000000001</v>
      </c>
      <c r="L450" s="288" t="str">
        <f>+VLOOKUP(B450,'New Master-List'!$B$3:$AI$389,33,FALSE)</f>
        <v>3.3- Mortgages, Owner-Occupied Housing only-HOUSE</v>
      </c>
    </row>
    <row r="451" spans="1:12" s="237" customFormat="1" ht="27.75" customHeight="1">
      <c r="A451" s="250"/>
      <c r="B451" s="514" t="s">
        <v>952</v>
      </c>
      <c r="C451" s="269" t="str">
        <f>+VLOOKUP(B451,'New Master-List'!$B$1:$AI$4223,31,FALSE)</f>
        <v>Sale Officer at Angkor Green Investment and Development CO,. Ltd (AGIK)</v>
      </c>
      <c r="D451" s="269" t="str">
        <f>+VLOOKUP(B451,'New Master-List'!$B$1:$AI$4223,30,FALSE)</f>
        <v>To buy a car</v>
      </c>
      <c r="E451" s="248" t="str">
        <f>+VLOOKUP(B451,'New Master-List'!$B$1:$AI$4223,10,FALSE)</f>
        <v>T/L</v>
      </c>
      <c r="F451" s="979">
        <f>+VLOOKUP(B451,'New Master-List'!$B$8:$AG$389,9,FALSE)</f>
        <v>0.1</v>
      </c>
      <c r="G451" s="265">
        <f>+VLOOKUP(B451,'New Master-List'!$B$8:$AG$389,11,FALSE)</f>
        <v>8000</v>
      </c>
      <c r="H451" s="265">
        <f>+VLOOKUP(B451,'New Master-List'!$B$8:$AG$389,12,FALSE)+VLOOKUP(B451,'New Master-List'!$B$8:$AG$389,13,FALSE)++VLOOKUP(B451,'New Master-List'!$B$8:$AG$389,14,FALSE)</f>
        <v>108.02</v>
      </c>
      <c r="I451" s="265">
        <f>+VLOOKUP(B451,'New Master-List'!$B$8:$AG$389,21,FALSE)</f>
        <v>1.29</v>
      </c>
      <c r="J451" s="270">
        <f>+VLOOKUP(B451,'New Master-List'!$B$8:$AG$389,22,FALSE)</f>
        <v>0.01</v>
      </c>
      <c r="K451" s="265">
        <f>+VLOOKUP(B451,'New Master-List'!$B$8:$AG$389,23,FALSE)</f>
        <v>1.0802</v>
      </c>
      <c r="L451" s="288" t="str">
        <f>+VLOOKUP(B451,'New Master-List'!$B$3:$AI$389,33,FALSE)</f>
        <v>3.3- Mortgages, Owner-Occupied Housing only-HOUSE</v>
      </c>
    </row>
    <row r="452" spans="1:12" s="237" customFormat="1" ht="36">
      <c r="A452" s="250"/>
      <c r="B452" s="514" t="s">
        <v>618</v>
      </c>
      <c r="C452" s="269" t="str">
        <f>+VLOOKUP(B452,'New Master-List'!$B$1:$AI$4223,31,FALSE)</f>
        <v>Depurty Director of Academic Affiari at Asia Euro University and Official at General Department of Taxation of Ministry of Economic and Finance</v>
      </c>
      <c r="D452" s="269" t="str">
        <f>+VLOOKUP(B452,'New Master-List'!$B$1:$AI$4223,30,FALSE)</f>
        <v>Buy House</v>
      </c>
      <c r="E452" s="248" t="str">
        <f>+VLOOKUP(B452,'New Master-List'!$B$1:$AI$4223,10,FALSE)</f>
        <v>T/L</v>
      </c>
      <c r="F452" s="979">
        <f>+VLOOKUP(B452,'New Master-List'!$B$8:$AG$389,9,FALSE)</f>
        <v>0.1</v>
      </c>
      <c r="G452" s="265">
        <f>+VLOOKUP(B452,'New Master-List'!$B$8:$AG$389,11,FALSE)</f>
        <v>60000</v>
      </c>
      <c r="H452" s="265">
        <f>+VLOOKUP(B452,'New Master-List'!$B$8:$AG$389,12,FALSE)+VLOOKUP(B452,'New Master-List'!$B$8:$AG$389,13,FALSE)++VLOOKUP(B452,'New Master-List'!$B$8:$AG$389,14,FALSE)</f>
        <v>49352.18</v>
      </c>
      <c r="I452" s="265">
        <f>+VLOOKUP(B452,'New Master-List'!$B$8:$AG$389,21,FALSE)</f>
        <v>186.1</v>
      </c>
      <c r="J452" s="270">
        <f>+VLOOKUP(B452,'New Master-List'!$B$8:$AG$389,22,FALSE)</f>
        <v>0.01</v>
      </c>
      <c r="K452" s="265">
        <f>+VLOOKUP(B452,'New Master-List'!$B$8:$AG$389,23,FALSE)</f>
        <v>493.52180000000004</v>
      </c>
      <c r="L452" s="288" t="str">
        <f>+VLOOKUP(B452,'New Master-List'!$B$3:$AI$389,33,FALSE)</f>
        <v>3.3- Mortgages, Owner-Occupied Housing only-HOUSE</v>
      </c>
    </row>
    <row r="453" spans="1:12" s="237" customFormat="1">
      <c r="A453" s="250"/>
      <c r="B453" s="514" t="s">
        <v>646</v>
      </c>
      <c r="C453" s="269" t="e">
        <f>+VLOOKUP(B453,'New Master-List'!$B$1:$AI$4223,31,FALSE)</f>
        <v>#N/A</v>
      </c>
      <c r="D453" s="269" t="e">
        <f>+VLOOKUP(B453,'New Master-List'!$B$1:$AI$4223,30,FALSE)</f>
        <v>#N/A</v>
      </c>
      <c r="E453" s="248" t="e">
        <f>+VLOOKUP(B453,'New Master-List'!$B$1:$AI$4223,10,FALSE)</f>
        <v>#N/A</v>
      </c>
      <c r="F453" s="979" t="e">
        <f>+VLOOKUP(B453,'New Master-List'!$B$8:$AG$389,9,FALSE)</f>
        <v>#N/A</v>
      </c>
      <c r="G453" s="265" t="e">
        <f>+VLOOKUP(B453,'New Master-List'!$B$8:$AG$389,11,FALSE)</f>
        <v>#N/A</v>
      </c>
      <c r="H453" s="265" t="e">
        <f>+VLOOKUP(B453,'New Master-List'!$B$8:$AG$389,12,FALSE)+VLOOKUP(B453,'New Master-List'!$B$8:$AG$389,13,FALSE)++VLOOKUP(B453,'New Master-List'!$B$8:$AG$389,14,FALSE)</f>
        <v>#N/A</v>
      </c>
      <c r="I453" s="265" t="e">
        <f>+VLOOKUP(B453,'New Master-List'!$B$8:$AG$389,21,FALSE)</f>
        <v>#N/A</v>
      </c>
      <c r="J453" s="270" t="e">
        <f>+VLOOKUP(B453,'New Master-List'!$B$8:$AG$389,22,FALSE)</f>
        <v>#N/A</v>
      </c>
      <c r="K453" s="265" t="e">
        <f>+VLOOKUP(B453,'New Master-List'!$B$8:$AG$389,23,FALSE)</f>
        <v>#N/A</v>
      </c>
      <c r="L453" s="288" t="e">
        <f>+VLOOKUP(B453,'New Master-List'!$B$3:$AI$389,33,FALSE)</f>
        <v>#N/A</v>
      </c>
    </row>
    <row r="454" spans="1:12" s="237" customFormat="1" ht="20.100000000000001" customHeight="1">
      <c r="A454" s="250"/>
      <c r="B454" s="514" t="s">
        <v>642</v>
      </c>
      <c r="C454" s="269" t="str">
        <f>+VLOOKUP(B454,'New Master-List'!$B$1:$AI$4223,31,FALSE)</f>
        <v>Sale Personnel at Heng Heng Import &amp; Export Co., Ltd</v>
      </c>
      <c r="D454" s="269" t="str">
        <f>+VLOOKUP(B454,'New Master-List'!$B$1:$AI$4223,30,FALSE)</f>
        <v>Refinance from First Finance</v>
      </c>
      <c r="E454" s="248" t="str">
        <f>+VLOOKUP(B454,'New Master-List'!$B$1:$AI$4223,10,FALSE)</f>
        <v>T/L</v>
      </c>
      <c r="F454" s="979">
        <f>+VLOOKUP(B454,'New Master-List'!$B$8:$AG$389,9,FALSE)</f>
        <v>8.5000000000000006E-2</v>
      </c>
      <c r="G454" s="265">
        <f>+VLOOKUP(B454,'New Master-List'!$B$8:$AG$389,11,FALSE)</f>
        <v>20000</v>
      </c>
      <c r="H454" s="265">
        <f>+VLOOKUP(B454,'New Master-List'!$B$8:$AG$389,12,FALSE)+VLOOKUP(B454,'New Master-List'!$B$8:$AG$389,13,FALSE)++VLOOKUP(B454,'New Master-List'!$B$8:$AG$389,14,FALSE)</f>
        <v>13938.83</v>
      </c>
      <c r="I454" s="265">
        <f>+VLOOKUP(B454,'New Master-List'!$B$8:$AG$389,21,FALSE)</f>
        <v>82.88</v>
      </c>
      <c r="J454" s="270">
        <f>+VLOOKUP(B454,'New Master-List'!$B$8:$AG$389,22,FALSE)</f>
        <v>0.01</v>
      </c>
      <c r="K454" s="265">
        <f>+VLOOKUP(B454,'New Master-List'!$B$8:$AG$389,23,FALSE)</f>
        <v>139.38830000000002</v>
      </c>
      <c r="L454" s="288" t="str">
        <f>+VLOOKUP(B454,'New Master-List'!$B$3:$AI$389,33,FALSE)</f>
        <v>3.1.1- Secured, excluded Mortgages to purchase owner-occupied housing-HOUSE</v>
      </c>
    </row>
    <row r="455" spans="1:12" s="237" customFormat="1" ht="20.100000000000001" customHeight="1">
      <c r="A455" s="250"/>
      <c r="B455" s="514" t="s">
        <v>643</v>
      </c>
      <c r="C455" s="269" t="str">
        <f>+VLOOKUP(B455,'New Master-List'!$B$1:$AI$4223,31,FALSE)</f>
        <v>Sale representative at Cambosiana &amp; Loan recovery officer at Phillip bank</v>
      </c>
      <c r="D455" s="269" t="str">
        <f>+VLOOKUP(B455,'New Master-List'!$B$1:$AI$4223,30,FALSE)</f>
        <v>To purchase house</v>
      </c>
      <c r="E455" s="248" t="str">
        <f>+VLOOKUP(B455,'New Master-List'!$B$1:$AI$4223,10,FALSE)</f>
        <v>T/L</v>
      </c>
      <c r="F455" s="979">
        <f>+VLOOKUP(B455,'New Master-List'!$B$8:$AG$389,9,FALSE)</f>
        <v>0.1</v>
      </c>
      <c r="G455" s="265">
        <f>+VLOOKUP(B455,'New Master-List'!$B$8:$AG$389,11,FALSE)</f>
        <v>30000</v>
      </c>
      <c r="H455" s="265">
        <f>+VLOOKUP(B455,'New Master-List'!$B$8:$AG$389,12,FALSE)+VLOOKUP(B455,'New Master-List'!$B$8:$AG$389,13,FALSE)++VLOOKUP(B455,'New Master-List'!$B$8:$AG$389,14,FALSE)</f>
        <v>21330.95</v>
      </c>
      <c r="I455" s="265">
        <f>+VLOOKUP(B455,'New Master-List'!$B$8:$AG$389,21,FALSE)</f>
        <v>148.13</v>
      </c>
      <c r="J455" s="270">
        <f>+VLOOKUP(B455,'New Master-List'!$B$8:$AG$389,22,FALSE)</f>
        <v>0.01</v>
      </c>
      <c r="K455" s="265">
        <f>+VLOOKUP(B455,'New Master-List'!$B$8:$AG$389,23,FALSE)</f>
        <v>213.30950000000001</v>
      </c>
      <c r="L455" s="288" t="str">
        <f>+VLOOKUP(B455,'New Master-List'!$B$3:$AI$389,33,FALSE)</f>
        <v>3.3- Mortgages, Owner-Occupied Housing only-HOUSE</v>
      </c>
    </row>
    <row r="456" spans="1:12" s="237" customFormat="1" ht="20.100000000000001" customHeight="1">
      <c r="A456" s="250"/>
      <c r="B456" s="1478" t="s">
        <v>929</v>
      </c>
      <c r="C456" s="269" t="str">
        <f>+VLOOKUP(B456,'New Master-List'!$B$1:$AI$4223,31,FALSE)</f>
        <v xml:space="preserve">Branch Manager, &amp; Deputy Head of HR &amp; AMP; Administration , </v>
      </c>
      <c r="D456" s="269" t="str">
        <f>+VLOOKUP(B456,'New Master-List'!$B$1:$AI$4223,30,FALSE)</f>
        <v>To buy a flat</v>
      </c>
      <c r="E456" s="248" t="str">
        <f>+VLOOKUP(B456,'New Master-List'!$B$1:$AI$4223,10,FALSE)</f>
        <v>T/L</v>
      </c>
      <c r="F456" s="979">
        <f>+VLOOKUP(B456,'New Master-List'!$B$8:$AG$389,9,FALSE)</f>
        <v>0.11</v>
      </c>
      <c r="G456" s="265">
        <f>+VLOOKUP(B456,'New Master-List'!$B$8:$AG$389,11,FALSE)</f>
        <v>40000</v>
      </c>
      <c r="H456" s="265">
        <f>+VLOOKUP(B456,'New Master-List'!$B$8:$AG$389,12,FALSE)+VLOOKUP(B456,'New Master-List'!$B$8:$AG$389,13,FALSE)++VLOOKUP(B456,'New Master-List'!$B$8:$AG$389,14,FALSE)</f>
        <v>6506.06</v>
      </c>
      <c r="I456" s="265">
        <f>+VLOOKUP(B456,'New Master-List'!$B$8:$AG$389,21,FALSE)</f>
        <v>104.44</v>
      </c>
      <c r="J456" s="270">
        <f>+VLOOKUP(B456,'New Master-List'!$B$8:$AG$389,22,FALSE)</f>
        <v>0.01</v>
      </c>
      <c r="K456" s="265">
        <f>+VLOOKUP(B456,'New Master-List'!$B$8:$AG$389,23,FALSE)</f>
        <v>65.060600000000008</v>
      </c>
      <c r="L456" s="288" t="str">
        <f>+VLOOKUP(B456,'New Master-List'!$B$3:$AI$389,33,FALSE)</f>
        <v>3.3- Mortgages, Owner-Occupied Housing only-HOUSE</v>
      </c>
    </row>
    <row r="457" spans="1:12" s="237" customFormat="1" ht="20.100000000000001" customHeight="1">
      <c r="A457" s="250"/>
      <c r="B457" s="1478" t="s">
        <v>936</v>
      </c>
      <c r="C457" s="269" t="str">
        <f>+VLOOKUP(B457,'New Master-List'!$B$1:$AI$4223,31,FALSE)</f>
        <v>Senior Officer at UCB Bank</v>
      </c>
      <c r="D457" s="269" t="str">
        <f>+VLOOKUP(B457,'New Master-List'!$B$1:$AI$4223,30,FALSE)</f>
        <v xml:space="preserve">To buy a flat </v>
      </c>
      <c r="E457" s="248" t="str">
        <f>+VLOOKUP(B457,'New Master-List'!$B$1:$AI$4223,10,FALSE)</f>
        <v>S/L</v>
      </c>
      <c r="F457" s="979">
        <f>+VLOOKUP(B457,'New Master-List'!$B$8:$AG$389,9,FALSE)</f>
        <v>2.75E-2</v>
      </c>
      <c r="G457" s="265">
        <f>+VLOOKUP(B457,'New Master-List'!$B$8:$AG$389,11,FALSE)</f>
        <v>50000</v>
      </c>
      <c r="H457" s="265">
        <f>+VLOOKUP(B457,'New Master-List'!$B$8:$AG$389,12,FALSE)+VLOOKUP(B457,'New Master-List'!$B$8:$AG$389,13,FALSE)++VLOOKUP(B457,'New Master-List'!$B$8:$AG$389,14,FALSE)</f>
        <v>43624.14</v>
      </c>
      <c r="I457" s="265">
        <f>+VLOOKUP(B457,'New Master-List'!$B$8:$AG$389,21,FALSE)</f>
        <v>24.23</v>
      </c>
      <c r="J457" s="270">
        <f>+VLOOKUP(B457,'New Master-List'!$B$8:$AG$389,22,FALSE)</f>
        <v>0.01</v>
      </c>
      <c r="K457" s="265">
        <f>+VLOOKUP(B457,'New Master-List'!$B$8:$AG$389,23,FALSE)</f>
        <v>436.2414</v>
      </c>
      <c r="L457" s="288" t="str">
        <f>+VLOOKUP(B457,'New Master-List'!$B$3:$AI$389,33,FALSE)</f>
        <v>3.3- Mortgages, Owner-Occupied Housing only-HOUSE</v>
      </c>
    </row>
    <row r="458" spans="1:12" ht="20.100000000000001" customHeight="1">
      <c r="A458" s="239"/>
      <c r="B458" s="240"/>
      <c r="C458" s="240"/>
      <c r="D458" s="240"/>
      <c r="E458" s="393" t="s">
        <v>395</v>
      </c>
      <c r="F458" s="980" t="s">
        <v>398</v>
      </c>
      <c r="G458" s="258" t="e">
        <f>+SUM(G450:G455)</f>
        <v>#N/A</v>
      </c>
      <c r="H458" s="258" t="e">
        <f>SUM(H450:H457)</f>
        <v>#N/A</v>
      </c>
      <c r="I458" s="258" t="e">
        <f>+SUM(I450:I455)</f>
        <v>#N/A</v>
      </c>
      <c r="J458" s="240"/>
      <c r="K458" s="240"/>
      <c r="L458" s="289"/>
    </row>
    <row r="459" spans="1:12" ht="20.100000000000001" customHeight="1">
      <c r="A459" s="254"/>
      <c r="B459" s="255"/>
      <c r="C459" s="255"/>
      <c r="D459" s="255"/>
      <c r="E459" s="394"/>
      <c r="F459" s="980" t="s">
        <v>399</v>
      </c>
      <c r="G459" s="258" t="e">
        <f>+G458*$K$4</f>
        <v>#N/A</v>
      </c>
      <c r="H459" s="258" t="e">
        <f>+H458*$K$4</f>
        <v>#N/A</v>
      </c>
      <c r="I459" s="258" t="e">
        <f>+I458*$K$4</f>
        <v>#N/A</v>
      </c>
      <c r="J459" s="255"/>
      <c r="K459" s="255"/>
      <c r="L459" s="291"/>
    </row>
    <row r="460" spans="1:12" ht="20.100000000000001" customHeight="1">
      <c r="A460" s="355" t="s">
        <v>161</v>
      </c>
      <c r="B460" s="356"/>
      <c r="C460" s="260"/>
      <c r="D460" s="260"/>
      <c r="E460" s="261"/>
      <c r="F460" s="986"/>
      <c r="G460" s="262"/>
      <c r="H460" s="262"/>
      <c r="I460" s="260"/>
      <c r="J460" s="260"/>
      <c r="K460" s="260"/>
      <c r="L460" s="293"/>
    </row>
    <row r="461" spans="1:12" ht="20.100000000000001" customHeight="1">
      <c r="A461" s="254"/>
      <c r="B461" s="259" t="s">
        <v>425</v>
      </c>
      <c r="C461" s="255"/>
      <c r="D461" s="255"/>
      <c r="E461" s="256"/>
      <c r="F461" s="985"/>
      <c r="G461" s="271"/>
      <c r="H461" s="271"/>
      <c r="I461" s="255"/>
      <c r="J461" s="255"/>
      <c r="K461" s="255"/>
      <c r="L461" s="291"/>
    </row>
    <row r="462" spans="1:12" s="508" customFormat="1" ht="20.100000000000001" customHeight="1">
      <c r="A462" s="727"/>
      <c r="B462" s="842" t="s">
        <v>33</v>
      </c>
      <c r="C462" s="248" t="s">
        <v>33</v>
      </c>
      <c r="D462" s="248" t="s">
        <v>33</v>
      </c>
      <c r="E462" s="248" t="s">
        <v>33</v>
      </c>
      <c r="F462" s="979" t="s">
        <v>33</v>
      </c>
      <c r="G462" s="493" t="s">
        <v>33</v>
      </c>
      <c r="H462" s="493" t="s">
        <v>33</v>
      </c>
      <c r="I462" s="493" t="s">
        <v>33</v>
      </c>
      <c r="J462" s="494" t="s">
        <v>33</v>
      </c>
      <c r="K462" s="493" t="s">
        <v>33</v>
      </c>
      <c r="L462" s="288" t="s">
        <v>33</v>
      </c>
    </row>
    <row r="463" spans="1:12" ht="20.100000000000001" customHeight="1">
      <c r="A463" s="297"/>
      <c r="B463" s="298"/>
      <c r="C463" s="248"/>
      <c r="D463" s="298"/>
      <c r="E463" s="394" t="s">
        <v>395</v>
      </c>
      <c r="F463" s="994" t="s">
        <v>398</v>
      </c>
      <c r="G463" s="488">
        <f>SUM(G462)</f>
        <v>0</v>
      </c>
      <c r="H463" s="488">
        <f>SUM(H462:H462)</f>
        <v>0</v>
      </c>
      <c r="I463" s="488">
        <f>SUM(I462:I462)</f>
        <v>0</v>
      </c>
      <c r="J463" s="298"/>
      <c r="K463" s="298"/>
      <c r="L463" s="301"/>
    </row>
    <row r="464" spans="1:12" ht="20.100000000000001" customHeight="1">
      <c r="A464" s="411"/>
      <c r="B464" s="496"/>
      <c r="C464" s="496"/>
      <c r="D464" s="497"/>
      <c r="E464" s="393"/>
      <c r="F464" s="995" t="s">
        <v>399</v>
      </c>
      <c r="G464" s="495">
        <f>+G463*$K$4</f>
        <v>0</v>
      </c>
      <c r="H464" s="495">
        <f>+H463*$K$4</f>
        <v>0</v>
      </c>
      <c r="I464" s="495">
        <f>+I463*$K$4</f>
        <v>0</v>
      </c>
      <c r="J464" s="255"/>
      <c r="K464" s="255"/>
      <c r="L464" s="291"/>
    </row>
    <row r="465" spans="1:12" s="499" customFormat="1" ht="20.100000000000001" customHeight="1">
      <c r="A465" s="498"/>
      <c r="B465" s="496"/>
      <c r="C465" s="496"/>
      <c r="D465" s="496"/>
      <c r="E465" s="506"/>
      <c r="F465" s="996"/>
      <c r="G465" s="507"/>
      <c r="H465" s="507"/>
      <c r="I465" s="507"/>
      <c r="J465" s="273"/>
      <c r="K465" s="273"/>
      <c r="L465" s="278"/>
    </row>
    <row r="466" spans="1:12" s="410" customFormat="1" ht="20.100000000000001" customHeight="1">
      <c r="A466" s="500"/>
      <c r="B466" s="259" t="s">
        <v>412</v>
      </c>
      <c r="C466" s="501"/>
      <c r="D466" s="501"/>
      <c r="E466" s="502"/>
      <c r="F466" s="997"/>
      <c r="G466" s="502"/>
      <c r="H466" s="503"/>
      <c r="I466" s="503"/>
      <c r="J466" s="504"/>
      <c r="K466" s="503"/>
      <c r="L466" s="505"/>
    </row>
    <row r="467" spans="1:12" s="508" customFormat="1" ht="20.100000000000001" customHeight="1">
      <c r="A467" s="727"/>
      <c r="B467" s="842" t="s">
        <v>33</v>
      </c>
      <c r="C467" s="248" t="s">
        <v>33</v>
      </c>
      <c r="D467" s="248" t="s">
        <v>33</v>
      </c>
      <c r="E467" s="248" t="s">
        <v>33</v>
      </c>
      <c r="F467" s="979" t="s">
        <v>33</v>
      </c>
      <c r="G467" s="493" t="s">
        <v>33</v>
      </c>
      <c r="H467" s="493" t="s">
        <v>33</v>
      </c>
      <c r="I467" s="493" t="s">
        <v>33</v>
      </c>
      <c r="J467" s="494" t="s">
        <v>33</v>
      </c>
      <c r="K467" s="493" t="s">
        <v>33</v>
      </c>
      <c r="L467" s="288" t="s">
        <v>33</v>
      </c>
    </row>
    <row r="468" spans="1:12" ht="20.100000000000001" customHeight="1">
      <c r="A468" s="297"/>
      <c r="B468" s="298"/>
      <c r="C468" s="298"/>
      <c r="D468" s="298"/>
      <c r="E468" s="378" t="s">
        <v>395</v>
      </c>
      <c r="F468" s="993" t="s">
        <v>398</v>
      </c>
      <c r="G468" s="300">
        <f>SUM(G467)</f>
        <v>0</v>
      </c>
      <c r="H468" s="300">
        <f>SUM(H467:H467)</f>
        <v>0</v>
      </c>
      <c r="I468" s="300">
        <f>SUM(I467:I467)</f>
        <v>0</v>
      </c>
      <c r="J468" s="298"/>
      <c r="K468" s="298"/>
      <c r="L468" s="301"/>
    </row>
    <row r="469" spans="1:12" ht="20.100000000000001" customHeight="1" thickBot="1">
      <c r="A469" s="272"/>
      <c r="B469" s="496"/>
      <c r="C469" s="496"/>
      <c r="D469" s="1355"/>
      <c r="E469" s="378"/>
      <c r="F469" s="980" t="s">
        <v>399</v>
      </c>
      <c r="G469" s="1356">
        <f>+G468*$K$4</f>
        <v>0</v>
      </c>
      <c r="H469" s="258">
        <f>+H468*$K$4</f>
        <v>0</v>
      </c>
      <c r="I469" s="258">
        <f>+I468*$K$4</f>
        <v>0</v>
      </c>
      <c r="J469" s="255"/>
      <c r="K469" s="255"/>
      <c r="L469" s="291"/>
    </row>
    <row r="470" spans="1:12" ht="15.75" thickBot="1">
      <c r="A470" s="302"/>
      <c r="B470" s="286"/>
      <c r="C470" s="286"/>
      <c r="D470" s="286"/>
      <c r="E470" s="286"/>
      <c r="F470" s="998"/>
      <c r="G470" s="286"/>
      <c r="H470" s="286"/>
      <c r="I470" s="286"/>
      <c r="J470" s="286"/>
      <c r="K470" s="286"/>
      <c r="L470" s="286"/>
    </row>
    <row r="471" spans="1:12" ht="15.75">
      <c r="D471" s="396" t="s">
        <v>96</v>
      </c>
      <c r="E471" s="397" t="s">
        <v>398</v>
      </c>
      <c r="F471" s="999"/>
      <c r="G471" s="284" t="e">
        <f>ROUND(G10+G16+G20+G24+G29+G35+G40+G44+G48+G53+G59+G67+G73+G78+G82+G86+G92+G96+G102+G108+G113+G118+G128+G124+G134+G139+G144+G148+G152+G157+G162+G167+G171+G176+G183+G190+G194+G199+G205+G210+G214+G218+G223+G228+G235+G239+G245+G250+G255+G262+G268+G273+G278+G283+G288+G292+G297+G303+G313+G319+G328+G334+G339+G344+G351+G358+G363+G367+G370+G374+G380+G386+G391+G401+G411+G406+G428+G433+G438+G323+G442+G447+G458+G463+G468,2)</f>
        <v>#N/A</v>
      </c>
      <c r="H471" s="284" t="e">
        <f>ROUND(H10+H16+H20+H24+H29+H35+H40+H44+H48+H53+H59+H67+H73+H78+H82+H86+H92+H96+H102+H108+H113+H118+H128+H124+H134+H139+H144+H148+H152+H157+H162+H167+H171+H176+H183+H190+H194+H199+H205+H210+H214+H218+H223+H228+H235+H239+H245+H250+H255+H262+H268+H273+H278+H283+H288+H292+H297+H303+H313+H319+H328+H334+H339+H344+H351+H358+H363+H367+H370+H374+H380+H386+H391+H401+H411+H406+H428+H433+H438+H323+H442+H447+H458+H463+H468,2)</f>
        <v>#N/A</v>
      </c>
      <c r="I471" s="284" t="e">
        <f>ROUND(I10+I16+I20+I24+I29+I35+I40+I44+I48+I53+I59+I67+I73+I78+I82+I86+I92+I96+I102+I108+I113+I118+I128+I124+I134+I139+I144+I148+I152+I157+I162+I167+I171+I176+I183+I190+I194+I199+I205+I210+I214+I218+I223+I228+I235+I239+I245+I250+I255+I262+I268+I273+I278+I283+I288+I292+I297+I303+I313+I319+I323+I328+I334+I339+I344+I351+I358+I363+I367+I370+I374+I380+I386+I391+I401+I411+I406+I428+I433+I438+I442+I447+I458+I463+I468,2)</f>
        <v>#N/A</v>
      </c>
    </row>
    <row r="472" spans="1:12" ht="15.75">
      <c r="D472" s="396"/>
      <c r="E472" s="397" t="s">
        <v>399</v>
      </c>
      <c r="F472" s="999"/>
      <c r="G472" s="284" t="e">
        <f>ROUND(G11+G17+G21+G25+G30+G36+G41+G45+G49+G54+G60+G74+G79+G83+G87+G93+G97+G103+G109+G114+G119+G129+G125+G135+G145+G149+G153+G158+G163+G168+G172+G184+G191+G195+G200+G205+G211+G215+G219+G224+G229+G236+G240+G246+G251+G256+G263+G269+G274+G279+G289+G293+G298+G304+G314+G320+G329+G335+G340+G345+G352+G359+G364+G371+G375+G381+G387+G392+G402+G407+G429+G434+G439+G443+G459+G469,2)</f>
        <v>#N/A</v>
      </c>
      <c r="H472" s="284" t="e">
        <f>ROUND(H11+H17+H21+H25+H30+H36+H41+H45+H49+H54+H60+H74+H79+H83+H87+H93+H97+H103+H109+H114+H119+H129+H125+H135+H145+H149+H153+H158+H163+H168+H172+H184+H191+H195+H200+H205+H211+H215+H219+H224+H229+H236+H240+H246+H251+H256+H263+H269+H274+H279+H289+H293+H298+H304+H314+H320+H329+H335+H340+H345+H352+H359+H364+H371+H375+H381+H387+H392+H402+H407+H429+H434+H439+H443+H459+H469,2)</f>
        <v>#N/A</v>
      </c>
      <c r="I472" s="284" t="e">
        <f>ROUND(I11+I17+I21+I25+I30+I36+I41+I45+I49+I54+I60+I74+I79+I83+I87+I93+I97+I103+I109+I114+I119+I129+I125+I135+I145+I149+I153+I158+I163+I168+I172+I184+I191+I195+I200+I205+I211+I215+I219+I224+I229+I236+I240+I246+I251+I256+I263+I269+I274+I279+I289+I293+I298+I304+I314+I320+I329+I335+I340+I345+I352+I359+I364+I371+I375+I381+I387+I392+I402+I407+I429+I434+I439+I443+I459+I469,2)</f>
        <v>#N/A</v>
      </c>
    </row>
    <row r="473" spans="1:12" ht="15.75">
      <c r="G473" s="285"/>
      <c r="H473" s="376"/>
      <c r="I473" s="285"/>
    </row>
    <row r="474" spans="1:12" ht="15.75">
      <c r="H474" s="308"/>
      <c r="I474" s="309"/>
    </row>
    <row r="475" spans="1:12" ht="15.75">
      <c r="G475" s="308"/>
    </row>
    <row r="476" spans="1:12" ht="15.75">
      <c r="H476" s="308"/>
    </row>
  </sheetData>
  <customSheetViews>
    <customSheetView guid="{E4D8AEA0-7D37-4CF1-9F19-1F9F3CB7E99E}" fitToPage="1">
      <pane xSplit="1" ySplit="4" topLeftCell="L5" activePane="bottomRight" state="frozen"/>
      <selection pane="bottomRight" activeCell="A722" sqref="A722:XFD722"/>
      <rowBreaks count="21" manualBreakCount="21">
        <brk id="49" max="16383" man="1"/>
        <brk id="52" max="11" man="1"/>
        <brk id="65" max="16383" man="1"/>
        <brk id="93" max="16383" man="1"/>
        <brk id="99" max="11" man="1"/>
        <brk id="139" max="16383" man="1"/>
        <brk id="149" max="11" man="1"/>
        <brk id="189" max="16383" man="1"/>
        <brk id="201" max="11" man="1"/>
        <brk id="238" max="16383" man="1"/>
        <brk id="255" max="11" man="1"/>
        <brk id="280" max="16383" man="1"/>
        <brk id="302" max="11" man="1"/>
        <brk id="332" max="16383" man="1"/>
        <brk id="355" max="11" man="1"/>
        <brk id="382" max="16383" man="1"/>
        <brk id="412" max="11" man="1"/>
        <brk id="428" max="16383" man="1"/>
        <brk id="471" max="16383" man="1"/>
        <brk id="485" max="16383" man="1"/>
        <brk id="637" max="16383" man="1"/>
      </rowBreaks>
      <pageMargins left="0.2" right="0.2" top="0.3" bottom="0.25" header="0.3" footer="0.3"/>
      <pageSetup paperSize="9" scale="62" fitToHeight="20" orientation="landscape" r:id="rId1"/>
    </customSheetView>
    <customSheetView guid="{AD634856-FDF7-4DD8-8DC5-36C324FF0C87}" fitToPage="1">
      <pane xSplit="1" ySplit="4" topLeftCell="B720" activePane="bottomRight" state="frozen"/>
      <selection pane="bottomRight" activeCell="H883" sqref="H883"/>
      <rowBreaks count="18" manualBreakCount="18">
        <brk id="49" max="16383" man="1"/>
        <brk id="52" max="11" man="1"/>
        <brk id="63" max="16383" man="1"/>
        <brk id="98" max="16383" man="1"/>
        <brk id="104" max="11" man="1"/>
        <brk id="149" max="16383" man="1"/>
        <brk id="160" max="11" man="1"/>
        <brk id="206" max="16383" man="1"/>
        <brk id="218" max="11" man="1"/>
        <brk id="258" max="16383" man="1"/>
        <brk id="277" max="16383" man="1"/>
        <brk id="326" max="16383" man="1"/>
        <brk id="368" max="16383" man="1"/>
        <brk id="392" max="16383" man="1"/>
        <brk id="518" max="11" man="1"/>
        <brk id="541" max="16383" man="1"/>
        <brk id="589" max="16383" man="1"/>
        <brk id="609" max="16383" man="1"/>
      </rowBreaks>
      <pageMargins left="0.2" right="0.2" top="0.3" bottom="0.25" header="0.3" footer="0.3"/>
      <pageSetup paperSize="9" scale="62" fitToHeight="20" orientation="landscape" r:id="rId2"/>
    </customSheetView>
    <customSheetView guid="{61CE75AA-B849-4D18-8838-F82995C6B087}" fitToPage="1">
      <pane xSplit="1" ySplit="4" topLeftCell="B527" activePane="bottomRight" state="frozen"/>
      <selection pane="bottomRight" activeCell="A742" sqref="A742:XFD742"/>
      <rowBreaks count="21" manualBreakCount="21">
        <brk id="49" max="16383" man="1"/>
        <brk id="52" max="11" man="1"/>
        <brk id="66" max="16383" man="1"/>
        <brk id="94" max="16383" man="1"/>
        <brk id="100" max="11" man="1"/>
        <brk id="139" max="16383" man="1"/>
        <brk id="149" max="11" man="1"/>
        <brk id="189" max="16383" man="1"/>
        <brk id="201" max="11" man="1"/>
        <brk id="238" max="16383" man="1"/>
        <brk id="255" max="11" man="1"/>
        <brk id="281" max="16383" man="1"/>
        <brk id="301" max="11" man="1"/>
        <brk id="332" max="16383" man="1"/>
        <brk id="353" max="11" man="1"/>
        <brk id="378" max="16383" man="1"/>
        <brk id="408" max="11" man="1"/>
        <brk id="424" max="16383" man="1"/>
        <brk id="455" max="16383" man="1"/>
        <brk id="468" max="16383" man="1"/>
        <brk id="621" max="16383" man="1"/>
      </rowBreaks>
      <pageMargins left="0.2" right="0.2" top="0.3" bottom="0.25" header="0.3" footer="0.3"/>
      <pageSetup paperSize="9" scale="62" fitToHeight="20" orientation="landscape" r:id="rId3"/>
    </customSheetView>
    <customSheetView guid="{7D95FE88-52D3-4AF2-A747-7A28402A32C2}" showPageBreaks="1" fitToPage="1">
      <pane xSplit="1" ySplit="4" topLeftCell="C573" activePane="bottomRight" state="frozen"/>
      <selection pane="bottomRight" activeCell="A726" sqref="A726:XFD726"/>
      <rowBreaks count="22" manualBreakCount="22">
        <brk id="44" max="16383" man="1"/>
        <brk id="47" max="11" man="1"/>
        <brk id="60" max="16383" man="1"/>
        <brk id="90" max="16383" man="1"/>
        <brk id="96" max="11" man="1"/>
        <brk id="134" max="16383" man="1"/>
        <brk id="144" max="11" man="1"/>
        <brk id="185" max="16383" man="1"/>
        <brk id="199" max="11" man="1"/>
        <brk id="232" max="16383" man="1"/>
        <brk id="249" max="11" man="1"/>
        <brk id="275" max="16383" man="1"/>
        <brk id="295" max="11" man="1"/>
        <brk id="320" max="16383" man="1"/>
        <brk id="341" max="11" man="1"/>
        <brk id="366" max="16383" man="1"/>
        <brk id="399" max="11" man="1"/>
        <brk id="415" max="16383" man="1"/>
        <brk id="445" max="11" man="1"/>
        <brk id="458" max="16383" man="1"/>
        <brk id="547" max="16383" man="1"/>
        <brk id="596" max="16383" man="1"/>
      </rowBreaks>
      <pageMargins left="0.2" right="0.2" top="0.3" bottom="0.25" header="0.3" footer="0.3"/>
      <pageSetup paperSize="9" scale="62" fitToHeight="20" orientation="landscape" r:id="rId4"/>
    </customSheetView>
    <customSheetView guid="{6EF26E68-1B9A-4748-A66C-9D8C184CAF14}" fitToPage="1">
      <pane xSplit="1" ySplit="4" topLeftCell="B522" activePane="bottomRight" state="frozen"/>
      <selection pane="bottomRight" activeCell="E559" sqref="E559"/>
      <rowBreaks count="22" manualBreakCount="22">
        <brk id="44" max="16383" man="1"/>
        <brk id="47" max="11" man="1"/>
        <brk id="60" max="16383" man="1"/>
        <brk id="88" max="16383" man="1"/>
        <brk id="94" max="11" man="1"/>
        <brk id="133" max="16383" man="1"/>
        <brk id="142" max="11" man="1"/>
        <brk id="181" max="16383" man="1"/>
        <brk id="193" max="11" man="1"/>
        <brk id="225" max="16383" man="1"/>
        <brk id="243" max="11" man="1"/>
        <brk id="269" max="16383" man="1"/>
        <brk id="289" max="11" man="1"/>
        <brk id="314" max="16383" man="1"/>
        <brk id="338" max="11" man="1"/>
        <brk id="357" max="16383" man="1"/>
        <brk id="388" max="11" man="1"/>
        <brk id="404" max="16383" man="1"/>
        <brk id="435" max="11" man="1"/>
        <brk id="448" max="16383" man="1"/>
        <brk id="533" max="16383" man="1"/>
        <brk id="581" max="16383" man="1"/>
      </rowBreaks>
      <pageMargins left="0.2" right="0.2" top="0.3" bottom="0.25" header="0.3" footer="0.3"/>
      <pageSetup paperSize="9" scale="51" fitToHeight="20" orientation="landscape" r:id="rId5"/>
    </customSheetView>
    <customSheetView guid="{B8A1874B-3BEF-4479-AD53-0D9BAC54C7CD}" fitToPage="1">
      <pane xSplit="1" ySplit="4" topLeftCell="L5" activePane="bottomRight" state="frozen"/>
      <selection pane="bottomRight" activeCell="A703" sqref="A703:XFD703"/>
      <rowBreaks count="20" manualBreakCount="20">
        <brk id="49" max="16383" man="1"/>
        <brk id="52" max="11" man="1"/>
        <brk id="65" max="16383" man="1"/>
        <brk id="93" max="16383" man="1"/>
        <brk id="99" max="11" man="1"/>
        <brk id="139" max="16383" man="1"/>
        <brk id="149" max="11" man="1"/>
        <brk id="189" max="16383" man="1"/>
        <brk id="201" max="11" man="1"/>
        <brk id="238" max="16383" man="1"/>
        <brk id="255" max="11" man="1"/>
        <brk id="279" max="16383" man="1"/>
        <brk id="302" max="11" man="1"/>
        <brk id="331" max="16383" man="1"/>
        <brk id="355" max="11" man="1"/>
        <brk id="382" max="16383" man="1"/>
        <brk id="412" max="11" man="1"/>
        <brk id="428" max="16383" man="1"/>
        <brk id="471" max="16383" man="1"/>
        <brk id="634" max="16383" man="1"/>
      </rowBreaks>
      <pageMargins left="0.2" right="0.2" top="0.3" bottom="0.25" header="0.3" footer="0.3"/>
      <pageSetup paperSize="9" scale="62" fitToHeight="20" orientation="landscape" r:id="rId6"/>
    </customSheetView>
    <customSheetView guid="{E5BCC4B4-F1B1-40C1-B93E-A6184E1EF716}" fitToPage="1">
      <pane xSplit="1" ySplit="4" topLeftCell="L5" activePane="bottomRight" state="frozen"/>
      <selection pane="bottomRight" activeCell="A524" sqref="A524:XFD524"/>
      <rowBreaks count="21" manualBreakCount="21">
        <brk id="49" max="16383" man="1"/>
        <brk id="52" max="11" man="1"/>
        <brk id="66" max="16383" man="1"/>
        <brk id="94" max="16383" man="1"/>
        <brk id="100" max="11" man="1"/>
        <brk id="139" max="16383" man="1"/>
        <brk id="149" max="11" man="1"/>
        <brk id="189" max="16383" man="1"/>
        <brk id="201" max="11" man="1"/>
        <brk id="238" max="16383" man="1"/>
        <brk id="255" max="11" man="1"/>
        <brk id="281" max="16383" man="1"/>
        <brk id="301" max="11" man="1"/>
        <brk id="331" max="16383" man="1"/>
        <brk id="352" max="11" man="1"/>
        <brk id="379" max="16383" man="1"/>
        <brk id="409" max="11" man="1"/>
        <brk id="425" max="16383" man="1"/>
        <brk id="456" max="16383" man="1"/>
        <brk id="469" max="16383" man="1"/>
        <brk id="620" max="16383" man="1"/>
      </rowBreaks>
      <pageMargins left="0.2" right="0.2" top="0.3" bottom="0.25" header="0.3" footer="0.3"/>
      <pageSetup paperSize="9" scale="62" fitToHeight="20" orientation="landscape" r:id="rId7"/>
    </customSheetView>
    <customSheetView guid="{994961F8-B63E-47F6-B0C5-98F862423FE5}" showPageBreaks="1" fitToPage="1">
      <pane xSplit="1" ySplit="4" topLeftCell="L5" activePane="bottomRight" state="frozen"/>
      <selection pane="bottomRight" activeCell="A708" sqref="A708:XFD708"/>
      <rowBreaks count="21" manualBreakCount="21">
        <brk id="49" max="16383" man="1"/>
        <brk id="52" max="11" man="1"/>
        <brk id="65" max="16383" man="1"/>
        <brk id="93" max="16383" man="1"/>
        <brk id="99" max="11" man="1"/>
        <brk id="138" max="16383" man="1"/>
        <brk id="148" max="11" man="1"/>
        <brk id="188" max="16383" man="1"/>
        <brk id="200" max="11" man="1"/>
        <brk id="237" max="16383" man="1"/>
        <brk id="254" max="11" man="1"/>
        <brk id="282" max="16383" man="1"/>
        <brk id="302" max="11" man="1"/>
        <brk id="334" max="16383" man="1"/>
        <brk id="356" max="11" man="1"/>
        <brk id="383" max="16383" man="1"/>
        <brk id="414" max="11" man="1"/>
        <brk id="430" max="16383" man="1"/>
        <brk id="461" max="16383" man="1"/>
        <brk id="474" max="16383" man="1"/>
        <brk id="625" max="16383" man="1"/>
      </rowBreaks>
      <pageMargins left="0.2" right="0.2" top="0.3" bottom="0.25" header="0.3" footer="0.3"/>
      <pageSetup paperSize="9" scale="62" fitToHeight="20" orientation="landscape" r:id="rId8"/>
    </customSheetView>
    <customSheetView guid="{F89B8433-E453-4FDE-8E2A-E7E816BD4DFD}" fitToPage="1">
      <pane xSplit="1" ySplit="4" topLeftCell="B423" activePane="bottomRight" state="frozen"/>
      <selection pane="bottomRight" activeCell="O471" sqref="O471"/>
      <rowBreaks count="22" manualBreakCount="22">
        <brk id="44" max="16383" man="1"/>
        <brk id="47" max="11" man="1"/>
        <brk id="60" max="16383" man="1"/>
        <brk id="89" max="16383" man="1"/>
        <brk id="95" max="11" man="1"/>
        <brk id="133" max="16383" man="1"/>
        <brk id="143" max="11" man="1"/>
        <brk id="182" max="16383" man="1"/>
        <brk id="194" max="11" man="1"/>
        <brk id="226" max="16383" man="1"/>
        <brk id="243" max="11" man="1"/>
        <brk id="269" max="16383" man="1"/>
        <brk id="289" max="11" man="1"/>
        <brk id="314" max="16383" man="1"/>
        <brk id="335" max="11" man="1"/>
        <brk id="357" max="16383" man="1"/>
        <brk id="388" max="11" man="1"/>
        <brk id="404" max="16383" man="1"/>
        <brk id="434" max="11" man="1"/>
        <brk id="447" max="16383" man="1"/>
        <brk id="531" max="16383" man="1"/>
        <brk id="580" max="16383" man="1"/>
      </rowBreaks>
      <pageMargins left="0.2" right="0.2" top="0.3" bottom="0.25" header="0.3" footer="0.3"/>
      <pageSetup paperSize="9" scale="62" fitToHeight="20" orientation="landscape" r:id="rId9"/>
    </customSheetView>
    <customSheetView guid="{9BA226E9-1840-4D58-8634-C7CD130BA9DE}" fitToPage="1">
      <pane xSplit="1" ySplit="4" topLeftCell="L5" activePane="bottomRight" state="frozen"/>
      <selection pane="bottomRight" activeCell="A524" sqref="A524:XFD524"/>
      <rowBreaks count="21" manualBreakCount="21">
        <brk id="49" max="16383" man="1"/>
        <brk id="52" max="11" man="1"/>
        <brk id="66" max="16383" man="1"/>
        <brk id="94" max="16383" man="1"/>
        <brk id="100" max="11" man="1"/>
        <brk id="139" max="16383" man="1"/>
        <brk id="149" max="11" man="1"/>
        <brk id="189" max="16383" man="1"/>
        <brk id="201" max="11" man="1"/>
        <brk id="238" max="16383" man="1"/>
        <brk id="255" max="11" man="1"/>
        <brk id="281" max="16383" man="1"/>
        <brk id="301" max="11" man="1"/>
        <brk id="331" max="16383" man="1"/>
        <brk id="352" max="11" man="1"/>
        <brk id="379" max="16383" man="1"/>
        <brk id="409" max="11" man="1"/>
        <brk id="425" max="16383" man="1"/>
        <brk id="456" max="16383" man="1"/>
        <brk id="469" max="16383" man="1"/>
        <brk id="620" max="16383" man="1"/>
      </rowBreaks>
      <pageMargins left="0.2" right="0.2" top="0.3" bottom="0.25" header="0.3" footer="0.3"/>
      <pageSetup paperSize="9" scale="62" fitToHeight="20" orientation="landscape" r:id="rId10"/>
    </customSheetView>
    <customSheetView guid="{ECC2632F-F62A-4FAF-AECC-1DDADB5FC34F}" fitToPage="1">
      <pane xSplit="1" ySplit="4" topLeftCell="B548" activePane="bottomRight" state="frozen"/>
      <selection pane="bottomRight" activeCell="A545" sqref="A545:XFD545"/>
      <rowBreaks count="22" manualBreakCount="22">
        <brk id="44" max="16383" man="1"/>
        <brk id="47" max="11" man="1"/>
        <brk id="60" max="16383" man="1"/>
        <brk id="88" max="16383" man="1"/>
        <brk id="94" max="11" man="1"/>
        <brk id="133" max="16383" man="1"/>
        <brk id="142" max="11" man="1"/>
        <brk id="181" max="16383" man="1"/>
        <brk id="193" max="11" man="1"/>
        <brk id="225" max="16383" man="1"/>
        <brk id="243" max="11" man="1"/>
        <brk id="269" max="16383" man="1"/>
        <brk id="289" max="11" man="1"/>
        <brk id="314" max="16383" man="1"/>
        <brk id="338" max="11" man="1"/>
        <brk id="357" max="16383" man="1"/>
        <brk id="388" max="11" man="1"/>
        <brk id="404" max="16383" man="1"/>
        <brk id="435" max="11" man="1"/>
        <brk id="448" max="16383" man="1"/>
        <brk id="533" max="16383" man="1"/>
        <brk id="581" max="16383" man="1"/>
      </rowBreaks>
      <pageMargins left="0.2" right="0.2" top="0.3" bottom="0.25" header="0.3" footer="0.3"/>
      <pageSetup paperSize="9" scale="51" fitToHeight="20" orientation="landscape" r:id="rId11"/>
    </customSheetView>
    <customSheetView guid="{FB80B360-98B3-4D7B-B530-099144659D3A}" showPageBreaks="1" fitToPage="1">
      <pane xSplit="1" ySplit="4" topLeftCell="B548" activePane="bottomRight" state="frozen"/>
      <selection pane="bottomRight" activeCell="A545" sqref="A545:XFD545"/>
      <rowBreaks count="22" manualBreakCount="22">
        <brk id="44" max="16383" man="1"/>
        <brk id="47" max="11" man="1"/>
        <brk id="60" max="16383" man="1"/>
        <brk id="88" max="16383" man="1"/>
        <brk id="94" max="11" man="1"/>
        <brk id="133" max="16383" man="1"/>
        <brk id="142" max="11" man="1"/>
        <brk id="181" max="16383" man="1"/>
        <brk id="193" max="11" man="1"/>
        <brk id="225" max="16383" man="1"/>
        <brk id="243" max="11" man="1"/>
        <brk id="269" max="16383" man="1"/>
        <brk id="289" max="11" man="1"/>
        <brk id="314" max="16383" man="1"/>
        <brk id="338" max="11" man="1"/>
        <brk id="357" max="16383" man="1"/>
        <brk id="388" max="11" man="1"/>
        <brk id="404" max="16383" man="1"/>
        <brk id="435" max="11" man="1"/>
        <brk id="448" max="16383" man="1"/>
        <brk id="533" max="16383" man="1"/>
        <brk id="581" max="16383" man="1"/>
      </rowBreaks>
      <pageMargins left="0.2" right="0.2" top="0.3" bottom="0.25" header="0.3" footer="0.3"/>
      <pageSetup paperSize="9" scale="51" fitToHeight="20" orientation="landscape" r:id="rId12"/>
    </customSheetView>
    <customSheetView guid="{7F784530-9B10-42D7-8F54-8EB6B060482F}" showPageBreaks="1" fitToPage="1" topLeftCell="D1">
      <pane ySplit="5" topLeftCell="A564" activePane="bottomLeft" state="frozen"/>
      <selection pane="bottomLeft" activeCell="H567" sqref="H567"/>
      <rowBreaks count="10" manualBreakCount="10">
        <brk id="47" max="11" man="1"/>
        <brk id="61" max="16383" man="1"/>
        <brk id="94" max="11" man="1"/>
        <brk id="141" max="11" man="1"/>
        <brk id="188" max="11" man="1"/>
        <brk id="235" max="11" man="1"/>
        <brk id="282" max="11" man="1"/>
        <brk id="329" max="11" man="1"/>
        <brk id="376" max="11" man="1"/>
        <brk id="423" max="11" man="1"/>
      </rowBreaks>
      <colBreaks count="1" manualBreakCount="1">
        <brk id="12" max="1048575" man="1"/>
      </colBreaks>
      <pageMargins left="0.2" right="0.2" top="0.3" bottom="0.25" header="0.3" footer="0.3"/>
      <pageSetup paperSize="9" scale="64" fitToHeight="20" orientation="landscape" r:id="rId13"/>
    </customSheetView>
    <customSheetView guid="{8AF18E21-1031-46CF-B2BC-F1B32D8B514B}" showPageBreaks="1" fitToPage="1" printArea="1" topLeftCell="A268">
      <selection activeCell="C159" sqref="C159"/>
      <rowBreaks count="1" manualBreakCount="1">
        <brk id="60" max="16383" man="1"/>
      </rowBreaks>
      <colBreaks count="1" manualBreakCount="1">
        <brk id="12" max="508" man="1"/>
      </colBreaks>
      <pageMargins left="0.2" right="0.2" top="0" bottom="0" header="0.3" footer="0.3"/>
      <pageSetup paperSize="9" scale="60" fitToHeight="20" orientation="landscape" r:id="rId14"/>
    </customSheetView>
    <customSheetView guid="{E4837792-4A99-499B-8EC2-DE4E4D167510}" showPageBreaks="1" fitToPage="1" printArea="1" topLeftCell="D389">
      <selection activeCell="J461" sqref="J461"/>
      <rowBreaks count="10" manualBreakCount="10">
        <brk id="44" max="11" man="1"/>
        <brk id="61" max="16383" man="1"/>
        <brk id="88" max="11" man="1"/>
        <brk id="132" max="11" man="1"/>
        <brk id="176" max="11" man="1"/>
        <brk id="218" max="11" man="1"/>
        <brk id="262" max="11" man="1"/>
        <brk id="306" max="11" man="1"/>
        <brk id="350" max="11" man="1"/>
        <brk id="393" max="11" man="1"/>
      </rowBreaks>
      <colBreaks count="1" manualBreakCount="1">
        <brk id="12" max="508" man="1"/>
      </colBreaks>
      <pageMargins left="0.2" right="0.2" top="0.3" bottom="0.25" header="0.3" footer="0.3"/>
      <pageSetup paperSize="9" scale="64" fitToHeight="20" orientation="landscape" r:id="rId15"/>
    </customSheetView>
    <customSheetView guid="{16D4A374-74B9-406B-A5BA-2D573E6A0CF2}" fitToPage="1">
      <pane xSplit="1" ySplit="4" topLeftCell="B548" activePane="bottomRight" state="frozen"/>
      <selection pane="bottomRight" activeCell="A545" sqref="A545:XFD545"/>
      <rowBreaks count="22" manualBreakCount="22">
        <brk id="44" max="16383" man="1"/>
        <brk id="47" max="11" man="1"/>
        <brk id="60" max="16383" man="1"/>
        <brk id="88" max="16383" man="1"/>
        <brk id="94" max="11" man="1"/>
        <brk id="133" max="16383" man="1"/>
        <brk id="142" max="11" man="1"/>
        <brk id="181" max="16383" man="1"/>
        <brk id="193" max="11" man="1"/>
        <brk id="225" max="16383" man="1"/>
        <brk id="243" max="11" man="1"/>
        <brk id="269" max="16383" man="1"/>
        <brk id="289" max="11" man="1"/>
        <brk id="314" max="16383" man="1"/>
        <brk id="338" max="11" man="1"/>
        <brk id="357" max="16383" man="1"/>
        <brk id="388" max="11" man="1"/>
        <brk id="404" max="16383" man="1"/>
        <brk id="435" max="11" man="1"/>
        <brk id="448" max="16383" man="1"/>
        <brk id="533" max="16383" man="1"/>
        <brk id="581" max="16383" man="1"/>
      </rowBreaks>
      <pageMargins left="0.2" right="0.2" top="0.3" bottom="0.25" header="0.3" footer="0.3"/>
      <pageSetup paperSize="9" scale="51" fitToHeight="20" orientation="landscape" r:id="rId16"/>
    </customSheetView>
    <customSheetView guid="{F729E7D6-6F09-4AEC-8A8D-5BB0CE563030}" fitToPage="1">
      <pane xSplit="1" ySplit="4" topLeftCell="L5" activePane="bottomRight" state="frozen"/>
      <selection pane="bottomRight" activeCell="A131" sqref="A131"/>
      <rowBreaks count="22" manualBreakCount="22">
        <brk id="48" max="16383" man="1"/>
        <brk id="51" max="11" man="1"/>
        <brk id="65" max="16383" man="1"/>
        <brk id="95" max="16383" man="1"/>
        <brk id="101" max="11" man="1"/>
        <brk id="139" max="16383" man="1"/>
        <brk id="149" max="11" man="1"/>
        <brk id="189" max="16383" man="1"/>
        <brk id="201" max="11" man="1"/>
        <brk id="238" max="16383" man="1"/>
        <brk id="255" max="11" man="1"/>
        <brk id="281" max="16383" man="1"/>
        <brk id="301" max="11" man="1"/>
        <brk id="327" max="16383" man="1"/>
        <brk id="348" max="11" man="1"/>
        <brk id="374" max="16383" man="1"/>
        <brk id="404" max="11" man="1"/>
        <brk id="420" max="16383" man="1"/>
        <brk id="451" max="16383" man="1"/>
        <brk id="464" max="16383" man="1"/>
        <brk id="556" max="16383" man="1"/>
        <brk id="612" max="16383" man="1"/>
      </rowBreaks>
      <pageMargins left="0.2" right="0.2" top="0.3" bottom="0.25" header="0.3" footer="0.3"/>
      <pageSetup paperSize="9" scale="62" fitToHeight="20" orientation="landscape" r:id="rId17"/>
    </customSheetView>
    <customSheetView guid="{2896A421-8E5B-4BF0-9CC6-B6380E0DB314}" fitToPage="1">
      <pane xSplit="1" ySplit="4" topLeftCell="B548" activePane="bottomRight" state="frozen"/>
      <selection pane="bottomRight" activeCell="A545" sqref="A545:XFD545"/>
      <rowBreaks count="22" manualBreakCount="22">
        <brk id="44" max="16383" man="1"/>
        <brk id="47" max="11" man="1"/>
        <brk id="60" max="16383" man="1"/>
        <brk id="88" max="16383" man="1"/>
        <brk id="94" max="11" man="1"/>
        <brk id="133" max="16383" man="1"/>
        <brk id="142" max="11" man="1"/>
        <brk id="181" max="16383" man="1"/>
        <brk id="193" max="11" man="1"/>
        <brk id="225" max="16383" man="1"/>
        <brk id="243" max="11" man="1"/>
        <brk id="269" max="16383" man="1"/>
        <brk id="289" max="11" man="1"/>
        <brk id="314" max="16383" man="1"/>
        <brk id="338" max="11" man="1"/>
        <brk id="357" max="16383" man="1"/>
        <brk id="388" max="11" man="1"/>
        <brk id="404" max="16383" man="1"/>
        <brk id="435" max="11" man="1"/>
        <brk id="448" max="16383" man="1"/>
        <brk id="533" max="16383" man="1"/>
        <brk id="581" max="16383" man="1"/>
      </rowBreaks>
      <pageMargins left="0.2" right="0.2" top="0.3" bottom="0.25" header="0.3" footer="0.3"/>
      <pageSetup paperSize="9" scale="51" fitToHeight="20" orientation="landscape" r:id="rId18"/>
    </customSheetView>
    <customSheetView guid="{98D3DDB6-797A-47DD-9C96-BB16B2207A0C}" fitToPage="1">
      <pane xSplit="1" ySplit="4" topLeftCell="L5" activePane="bottomRight" state="frozen"/>
      <selection pane="bottomRight" activeCell="A147" sqref="A147:XFD147"/>
      <rowBreaks count="21" manualBreakCount="21">
        <brk id="49" max="16383" man="1"/>
        <brk id="52" max="11" man="1"/>
        <brk id="67" max="16383" man="1"/>
        <brk id="95" max="16383" man="1"/>
        <brk id="101" max="11" man="1"/>
        <brk id="140" max="16383" man="1"/>
        <brk id="152" max="11" man="1"/>
        <brk id="192" max="16383" man="1"/>
        <brk id="204" max="11" man="1"/>
        <brk id="241" max="16383" man="1"/>
        <brk id="258" max="11" man="1"/>
        <brk id="284" max="16383" man="1"/>
        <brk id="304" max="11" man="1"/>
        <brk id="334" max="16383" man="1"/>
        <brk id="355" max="11" man="1"/>
        <brk id="382" max="16383" man="1"/>
        <brk id="412" max="11" man="1"/>
        <brk id="428" max="16383" man="1"/>
        <brk id="459" max="16383" man="1"/>
        <brk id="472" max="16383" man="1"/>
        <brk id="625" max="16383" man="1"/>
      </rowBreaks>
      <pageMargins left="0.2" right="0.2" top="0.3" bottom="0.25" header="0.3" footer="0.3"/>
      <pageSetup paperSize="9" scale="62" fitToHeight="20" orientation="landscape" r:id="rId19"/>
    </customSheetView>
    <customSheetView guid="{A1D515A7-1E5B-4509-BA26-4ABAA82FF869}" fitToPage="1">
      <pane xSplit="1" ySplit="4" topLeftCell="L5" activePane="bottomRight" state="frozen"/>
      <selection pane="bottomRight" activeCell="A524" sqref="A524:XFD524"/>
      <rowBreaks count="21" manualBreakCount="21">
        <brk id="49" max="16383" man="1"/>
        <brk id="52" max="11" man="1"/>
        <brk id="66" max="16383" man="1"/>
        <brk id="94" max="16383" man="1"/>
        <brk id="100" max="11" man="1"/>
        <brk id="139" max="16383" man="1"/>
        <brk id="149" max="11" man="1"/>
        <brk id="189" max="16383" man="1"/>
        <brk id="201" max="11" man="1"/>
        <brk id="238" max="16383" man="1"/>
        <brk id="255" max="11" man="1"/>
        <brk id="281" max="16383" man="1"/>
        <brk id="301" max="11" man="1"/>
        <brk id="331" max="16383" man="1"/>
        <brk id="352" max="11" man="1"/>
        <brk id="379" max="16383" man="1"/>
        <brk id="409" max="11" man="1"/>
        <brk id="425" max="16383" man="1"/>
        <brk id="456" max="16383" man="1"/>
        <brk id="469" max="16383" man="1"/>
        <brk id="620" max="16383" man="1"/>
      </rowBreaks>
      <pageMargins left="0.2" right="0.2" top="0.3" bottom="0.25" header="0.3" footer="0.3"/>
      <pageSetup paperSize="9" scale="62" fitToHeight="20" orientation="landscape" r:id="rId20"/>
    </customSheetView>
    <customSheetView guid="{80E06DBA-C6F3-475B-8D63-21743367E2AD}" fitToPage="1">
      <pane xSplit="1" ySplit="4" topLeftCell="B752" activePane="bottomRight" state="frozen"/>
      <selection pane="bottomRight" activeCell="C757" sqref="C757"/>
      <rowBreaks count="21" manualBreakCount="21">
        <brk id="49" max="16383" man="1"/>
        <brk id="52" max="11" man="1"/>
        <brk id="66" max="16383" man="1"/>
        <brk id="93" max="16383" man="1"/>
        <brk id="99" max="11" man="1"/>
        <brk id="138" max="16383" man="1"/>
        <brk id="148" max="11" man="1"/>
        <brk id="188" max="16383" man="1"/>
        <brk id="200" max="11" man="1"/>
        <brk id="237" max="16383" man="1"/>
        <brk id="254" max="11" man="1"/>
        <brk id="280" max="16383" man="1"/>
        <brk id="300" max="11" man="1"/>
        <brk id="330" max="16383" man="1"/>
        <brk id="355" max="11" man="1"/>
        <brk id="382" max="16383" man="1"/>
        <brk id="412" max="11" man="1"/>
        <brk id="428" max="16383" man="1"/>
        <brk id="459" max="16383" man="1"/>
        <brk id="472" max="16383" man="1"/>
        <brk id="620" max="16383" man="1"/>
      </rowBreaks>
      <pageMargins left="0.2" right="0.2" top="0.3" bottom="0.25" header="0.3" footer="0.3"/>
      <pageSetup paperSize="9" scale="62" fitToHeight="20" orientation="landscape" r:id="rId21"/>
    </customSheetView>
    <customSheetView guid="{9ED09EA6-4579-48A9-AD5B-8A08B9AAA8BE}" showPageBreaks="1" fitToPage="1" printArea="1" topLeftCell="D389">
      <selection activeCell="J461" sqref="J461"/>
      <rowBreaks count="1" manualBreakCount="1">
        <brk id="61" max="16383" man="1"/>
      </rowBreaks>
      <colBreaks count="1" manualBreakCount="1">
        <brk id="12" max="508" man="1"/>
      </colBreaks>
      <pageMargins left="0.2" right="0.2" top="0.3" bottom="0.25" header="0.3" footer="0.3"/>
      <pageSetup paperSize="9" scale="62" fitToHeight="20" orientation="landscape" r:id="rId22"/>
    </customSheetView>
    <customSheetView guid="{7631AB21-BAD4-410B-9EB7-37E4C039E55D}" fitToPage="1">
      <pane xSplit="1" ySplit="4" topLeftCell="L5" activePane="bottomRight" state="frozen"/>
      <selection pane="bottomRight" activeCell="A722" sqref="A722:XFD722"/>
      <rowBreaks count="21" manualBreakCount="21">
        <brk id="49" max="16383" man="1"/>
        <brk id="52" max="11" man="1"/>
        <brk id="65" max="16383" man="1"/>
        <brk id="93" max="16383" man="1"/>
        <brk id="99" max="11" man="1"/>
        <brk id="139" max="16383" man="1"/>
        <brk id="149" max="11" man="1"/>
        <brk id="189" max="16383" man="1"/>
        <brk id="201" max="11" man="1"/>
        <brk id="238" max="16383" man="1"/>
        <brk id="255" max="11" man="1"/>
        <brk id="280" max="16383" man="1"/>
        <brk id="302" max="11" man="1"/>
        <brk id="332" max="16383" man="1"/>
        <brk id="355" max="11" man="1"/>
        <brk id="382" max="16383" man="1"/>
        <brk id="412" max="11" man="1"/>
        <brk id="428" max="16383" man="1"/>
        <brk id="471" max="16383" man="1"/>
        <brk id="485" max="16383" man="1"/>
        <brk id="637" max="16383" man="1"/>
      </rowBreaks>
      <pageMargins left="0.2" right="0.2" top="0.3" bottom="0.25" header="0.3" footer="0.3"/>
      <pageSetup paperSize="9" scale="62" fitToHeight="20" orientation="landscape" r:id="rId23"/>
    </customSheetView>
    <customSheetView guid="{BE76667A-60C4-4702-8334-217BF8BB1245}" fitToPage="1">
      <pane xSplit="1" ySplit="4" topLeftCell="C573" activePane="bottomRight" state="frozen"/>
      <selection pane="bottomRight" activeCell="G583" sqref="G583"/>
      <rowBreaks count="22" manualBreakCount="22">
        <brk id="44" max="16383" man="1"/>
        <brk id="47" max="11" man="1"/>
        <brk id="60" max="16383" man="1"/>
        <brk id="89" max="16383" man="1"/>
        <brk id="95" max="11" man="1"/>
        <brk id="133" max="16383" man="1"/>
        <brk id="143" max="11" man="1"/>
        <brk id="182" max="16383" man="1"/>
        <brk id="194" max="11" man="1"/>
        <brk id="226" max="16383" man="1"/>
        <brk id="243" max="11" man="1"/>
        <brk id="269" max="16383" man="1"/>
        <brk id="289" max="11" man="1"/>
        <brk id="314" max="16383" man="1"/>
        <brk id="335" max="11" man="1"/>
        <brk id="357" max="16383" man="1"/>
        <brk id="388" max="11" man="1"/>
        <brk id="404" max="16383" man="1"/>
        <brk id="434" max="11" man="1"/>
        <brk id="447" max="16383" man="1"/>
        <brk id="531" max="16383" man="1"/>
        <brk id="580" max="16383" man="1"/>
      </rowBreaks>
      <pageMargins left="0.2" right="0.2" top="0.3" bottom="0.25" header="0.3" footer="0.3"/>
      <pageSetup paperSize="9" scale="62" fitToHeight="20" orientation="landscape" r:id="rId24"/>
    </customSheetView>
    <customSheetView guid="{3FE5399F-6D96-46C9-B56D-C9200CDFFBCC}" fitToPage="1">
      <pane xSplit="1" ySplit="4" topLeftCell="C573" activePane="bottomRight" state="frozen"/>
      <selection pane="bottomRight" activeCell="G583" sqref="G583"/>
      <rowBreaks count="22" manualBreakCount="22">
        <brk id="44" max="16383" man="1"/>
        <brk id="47" max="11" man="1"/>
        <brk id="60" max="16383" man="1"/>
        <brk id="89" max="16383" man="1"/>
        <brk id="95" max="11" man="1"/>
        <brk id="133" max="16383" man="1"/>
        <brk id="143" max="11" man="1"/>
        <brk id="182" max="16383" man="1"/>
        <brk id="194" max="11" man="1"/>
        <brk id="226" max="16383" man="1"/>
        <brk id="243" max="11" man="1"/>
        <brk id="269" max="16383" man="1"/>
        <brk id="289" max="11" man="1"/>
        <brk id="314" max="16383" man="1"/>
        <brk id="335" max="11" man="1"/>
        <brk id="357" max="16383" man="1"/>
        <brk id="388" max="11" man="1"/>
        <brk id="404" max="16383" man="1"/>
        <brk id="434" max="11" man="1"/>
        <brk id="447" max="16383" man="1"/>
        <brk id="531" max="16383" man="1"/>
        <brk id="580" max="16383" man="1"/>
      </rowBreaks>
      <pageMargins left="0.2" right="0.2" top="0.3" bottom="0.25" header="0.3" footer="0.3"/>
      <pageSetup paperSize="9" scale="62" fitToHeight="20" orientation="landscape" r:id="rId25"/>
    </customSheetView>
    <customSheetView guid="{DB5C611D-B585-4D04-94DC-84E03E7F6427}" fitToPage="1">
      <pane xSplit="1" ySplit="4" topLeftCell="A225" activePane="bottomRight"/>
      <selection pane="bottomRight" activeCell="D230" sqref="D230"/>
      <rowBreaks count="19" manualBreakCount="19">
        <brk id="49" max="16383" man="1"/>
        <brk id="52" max="11" man="1"/>
        <brk id="64" max="16383" man="1"/>
        <brk id="99" max="16383" man="1"/>
        <brk id="105" max="11" man="1"/>
        <brk id="148" max="16383" man="1"/>
        <brk id="160" max="11" man="1"/>
        <brk id="204" max="16383" man="1"/>
        <brk id="216" max="11" man="1"/>
        <brk id="260" max="16383" man="1"/>
        <brk id="277" max="16383" man="1"/>
        <brk id="328" max="16383" man="1"/>
        <brk id="369" max="16383" man="1"/>
        <brk id="391" max="16383" man="1"/>
        <brk id="514" max="11" man="1"/>
        <brk id="538" max="16383" man="1"/>
        <brk id="584" max="16383" man="1"/>
        <brk id="598" max="16383" man="1"/>
        <brk id="838" max="16383" man="1"/>
      </rowBreaks>
      <pageMargins left="0.2" right="0.2" top="0.3" bottom="0.25" header="0.3" footer="0.3"/>
      <pageSetup paperSize="9" scale="62" fitToHeight="20" orientation="landscape" r:id="rId26"/>
    </customSheetView>
    <customSheetView guid="{0C6DA001-EF29-43B3-B8E5-B7C6D16AED4F}" fitToPage="1">
      <pane xSplit="1" ySplit="4" topLeftCell="B657" activePane="bottomRight"/>
      <selection pane="bottomRight" activeCell="A771" sqref="A771:XFD771"/>
      <rowBreaks count="19" manualBreakCount="19">
        <brk id="49" max="16383" man="1"/>
        <brk id="52" max="11" man="1"/>
        <brk id="64" max="16383" man="1"/>
        <brk id="99" max="16383" man="1"/>
        <brk id="105" max="11" man="1"/>
        <brk id="148" max="16383" man="1"/>
        <brk id="160" max="11" man="1"/>
        <brk id="204" max="16383" man="1"/>
        <brk id="216" max="11" man="1"/>
        <brk id="255" max="16383" man="1"/>
        <brk id="272" max="16383" man="1"/>
        <brk id="323" max="16383" man="1"/>
        <brk id="364" max="16383" man="1"/>
        <brk id="386" max="16383" man="1"/>
        <brk id="509" max="11" man="1"/>
        <brk id="533" max="16383" man="1"/>
        <brk id="579" max="16383" man="1"/>
        <brk id="593" max="16383" man="1"/>
        <brk id="833" max="16383" man="1"/>
      </rowBreaks>
      <pageMargins left="0.2" right="0.2" top="0.3" bottom="0.25" header="0.3" footer="0.3"/>
      <pageSetup paperSize="9" scale="62" fitToHeight="20" orientation="landscape" r:id="rId27"/>
    </customSheetView>
    <customSheetView guid="{C57D03F9-88DE-4996-9965-888CDFC990C2}" showPageBreaks="1" fitToPage="1">
      <pane xSplit="1" ySplit="4" topLeftCell="B55" activePane="bottomRight" state="frozen"/>
      <selection pane="bottomRight" activeCell="D68" sqref="D68"/>
      <rowBreaks count="18" manualBreakCount="18">
        <brk id="49" max="16383" man="1"/>
        <brk id="52" max="11" man="1"/>
        <brk id="63" max="16383" man="1"/>
        <brk id="99" max="16383" man="1"/>
        <brk id="105" max="11" man="1"/>
        <brk id="147" max="16383" man="1"/>
        <brk id="158" max="11" man="1"/>
        <brk id="204" max="16383" man="1"/>
        <brk id="216" max="11" man="1"/>
        <brk id="257" max="16383" man="1"/>
        <brk id="276" max="16383" man="1"/>
        <brk id="325" max="16383" man="1"/>
        <brk id="367" max="16383" man="1"/>
        <brk id="391" max="16383" man="1"/>
        <brk id="520" max="11" man="1"/>
        <brk id="543" max="16383" man="1"/>
        <brk id="591" max="16383" man="1"/>
        <brk id="611" max="16383" man="1"/>
      </rowBreaks>
      <pageMargins left="0.2" right="0.2" top="0.3" bottom="0.25" header="0.3" footer="0.3"/>
      <pageSetup paperSize="9" scale="62" fitToHeight="20" orientation="landscape" r:id="rId28"/>
    </customSheetView>
    <customSheetView guid="{51A412B5-0E75-4615-BBB6-5CF03E1A3E32}" fitToPage="1">
      <pane xSplit="1" ySplit="4" topLeftCell="B657" activePane="bottomRight"/>
      <selection pane="bottomRight" activeCell="A771" sqref="A771:XFD771"/>
      <rowBreaks count="19" manualBreakCount="19">
        <brk id="49" max="16383" man="1"/>
        <brk id="52" max="11" man="1"/>
        <brk id="64" max="16383" man="1"/>
        <brk id="99" max="16383" man="1"/>
        <brk id="105" max="11" man="1"/>
        <brk id="148" max="16383" man="1"/>
        <brk id="160" max="11" man="1"/>
        <brk id="204" max="16383" man="1"/>
        <brk id="216" max="11" man="1"/>
        <brk id="255" max="16383" man="1"/>
        <brk id="272" max="16383" man="1"/>
        <brk id="323" max="16383" man="1"/>
        <brk id="364" max="16383" man="1"/>
        <brk id="386" max="16383" man="1"/>
        <brk id="509" max="11" man="1"/>
        <brk id="533" max="16383" man="1"/>
        <brk id="579" max="16383" man="1"/>
        <brk id="593" max="16383" man="1"/>
        <brk id="833" max="16383" man="1"/>
      </rowBreaks>
      <pageMargins left="0.2" right="0.2" top="0.3" bottom="0.25" header="0.3" footer="0.3"/>
      <pageSetup paperSize="9" scale="62" fitToHeight="20" orientation="landscape" r:id="rId29"/>
    </customSheetView>
  </customSheetViews>
  <mergeCells count="2">
    <mergeCell ref="A1:L1"/>
    <mergeCell ref="A2:L2"/>
  </mergeCells>
  <phoneticPr fontId="104" type="noConversion"/>
  <pageMargins left="0.2" right="0.2" top="0.3" bottom="0.25" header="0.3" footer="0.3"/>
  <pageSetup paperSize="9" scale="61" fitToHeight="20" orientation="landscape" r:id="rId30"/>
  <rowBreaks count="12" manualBreakCount="12">
    <brk id="48" max="16383" man="1"/>
    <brk id="51" max="11" man="1"/>
    <brk id="58" max="16383" man="1"/>
    <brk id="75" max="16383" man="1"/>
    <brk id="82" max="11" man="1"/>
    <brk id="126" max="11" man="1"/>
    <brk id="162" max="16383" man="1"/>
    <brk id="174" max="11" man="1"/>
    <brk id="209" max="16383" man="1"/>
    <brk id="284" max="16383" man="1"/>
    <brk id="344" max="16383" man="1"/>
    <brk id="386" max="16383" man="1"/>
  </rowBreaks>
  <ignoredErrors>
    <ignoredError sqref="H3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245"/>
  <sheetViews>
    <sheetView tabSelected="1" view="pageBreakPreview" zoomScaleNormal="100" zoomScaleSheetLayoutView="100" workbookViewId="0">
      <pane xSplit="2" ySplit="6" topLeftCell="C7" activePane="bottomRight" state="frozen"/>
      <selection pane="topRight" activeCell="C1" sqref="C1"/>
      <selection pane="bottomLeft" activeCell="A6" sqref="A6"/>
      <selection pane="bottomRight" activeCell="B14" sqref="B14"/>
    </sheetView>
  </sheetViews>
  <sheetFormatPr defaultRowHeight="15"/>
  <cols>
    <col min="1" max="1" width="3.44140625" customWidth="1"/>
    <col min="2" max="2" width="37.21875" style="467" customWidth="1"/>
    <col min="3" max="3" width="6" style="467" customWidth="1"/>
    <col min="4" max="4" width="7.77734375" style="467" customWidth="1"/>
    <col min="5" max="5" width="12.109375" customWidth="1"/>
    <col min="6" max="6" width="9.21875" customWidth="1"/>
    <col min="7" max="7" width="9.44140625" customWidth="1"/>
    <col min="8" max="8" width="8.44140625" customWidth="1"/>
    <col min="9" max="9" width="8.77734375" customWidth="1"/>
    <col min="10" max="10" width="7.5546875" style="804" customWidth="1"/>
    <col min="11" max="11" width="8.33203125" style="455" customWidth="1"/>
    <col min="12" max="12" width="13.33203125" style="455" customWidth="1"/>
    <col min="13" max="13" width="13.21875" customWidth="1"/>
    <col min="14" max="14" width="19.77734375" customWidth="1"/>
    <col min="15" max="16" width="9.21875" customWidth="1"/>
    <col min="17" max="17" width="13.21875" customWidth="1"/>
    <col min="18" max="18" width="9.21875" customWidth="1"/>
    <col min="19" max="19" width="9.109375" customWidth="1"/>
    <col min="20" max="20" width="8.77734375" customWidth="1"/>
    <col min="21" max="21" width="9" style="410" customWidth="1"/>
    <col min="22" max="22" width="18.6640625" style="1210" customWidth="1"/>
    <col min="23" max="23" width="10.88671875" style="450" customWidth="1"/>
    <col min="24" max="24" width="9.88671875" customWidth="1"/>
    <col min="25" max="25" width="19.88671875" customWidth="1"/>
    <col min="26" max="26" width="16.109375" customWidth="1"/>
    <col min="27" max="27" width="12.33203125" customWidth="1"/>
    <col min="28" max="28" width="7.6640625" customWidth="1"/>
    <col min="29" max="29" width="7" customWidth="1"/>
    <col min="30" max="30" width="19.5546875" customWidth="1"/>
    <col min="31" max="31" width="11.77734375" customWidth="1"/>
    <col min="32" max="32" width="20.88671875" customWidth="1"/>
    <col min="33" max="33" width="16.6640625" customWidth="1"/>
    <col min="34" max="34" width="45.77734375" customWidth="1"/>
    <col min="35" max="35" width="33.88671875" customWidth="1"/>
    <col min="36" max="37" width="12.44140625" bestFit="1" customWidth="1"/>
  </cols>
  <sheetData>
    <row r="1" spans="1:47" ht="19.5">
      <c r="A1" s="15" t="s">
        <v>631</v>
      </c>
      <c r="I1" s="213"/>
      <c r="P1" s="327"/>
      <c r="U1" s="214"/>
      <c r="V1" s="678"/>
    </row>
    <row r="2" spans="1:47" ht="19.5">
      <c r="A2" s="1391" t="s">
        <v>628</v>
      </c>
      <c r="I2" s="213"/>
      <c r="P2" s="327"/>
      <c r="U2" s="214"/>
      <c r="V2" s="678"/>
    </row>
    <row r="3" spans="1:47" ht="20.25">
      <c r="A3" s="15" t="s">
        <v>633</v>
      </c>
      <c r="E3" s="15"/>
      <c r="F3" s="15"/>
      <c r="G3" s="215"/>
      <c r="H3" s="215"/>
      <c r="I3" s="216"/>
      <c r="J3" s="939"/>
      <c r="K3" s="456"/>
      <c r="L3" s="456"/>
      <c r="M3" s="15"/>
      <c r="N3" s="15"/>
      <c r="O3" s="15"/>
      <c r="P3" s="328"/>
      <c r="Q3" s="15"/>
      <c r="R3" s="217"/>
      <c r="S3" s="15"/>
      <c r="T3" s="15"/>
      <c r="U3" s="218"/>
      <c r="V3" s="679"/>
      <c r="W3" s="15"/>
      <c r="X3" s="15"/>
      <c r="AD3" s="15"/>
      <c r="AF3" s="15"/>
    </row>
    <row r="4" spans="1:47" ht="21" customHeight="1" thickBot="1">
      <c r="A4" s="1392" t="s">
        <v>1771</v>
      </c>
      <c r="E4" s="16"/>
      <c r="F4" s="219"/>
      <c r="G4" s="219"/>
      <c r="H4" s="219"/>
      <c r="I4" s="213"/>
      <c r="J4" s="940"/>
      <c r="K4" s="460"/>
      <c r="L4" s="457"/>
      <c r="M4" s="212"/>
      <c r="N4" s="212"/>
      <c r="O4" s="212"/>
      <c r="P4" s="327"/>
      <c r="Q4" s="223"/>
      <c r="R4" s="223"/>
      <c r="S4" s="212"/>
      <c r="T4" s="224"/>
      <c r="U4" s="225"/>
      <c r="V4" s="678"/>
      <c r="W4" s="212"/>
      <c r="X4" s="212"/>
      <c r="AF4" s="212"/>
    </row>
    <row r="5" spans="1:47" ht="21" customHeight="1" thickBot="1">
      <c r="A5" s="1699" t="s">
        <v>548</v>
      </c>
      <c r="B5" s="1700"/>
      <c r="C5" s="1700"/>
      <c r="D5" s="1701"/>
      <c r="E5" s="799" t="s">
        <v>562</v>
      </c>
      <c r="F5" s="798">
        <v>30</v>
      </c>
      <c r="G5" s="800" t="s">
        <v>564</v>
      </c>
      <c r="H5" s="798">
        <v>55</v>
      </c>
      <c r="I5" s="798"/>
      <c r="J5" s="941" t="s">
        <v>565</v>
      </c>
      <c r="K5" s="1711"/>
      <c r="L5" s="1711"/>
      <c r="M5" s="1711"/>
      <c r="N5" s="1711"/>
      <c r="O5" s="1711"/>
      <c r="P5" s="1711"/>
      <c r="Q5" s="1711"/>
      <c r="R5" s="1711"/>
      <c r="S5" s="1711"/>
      <c r="T5" s="1711"/>
      <c r="U5" s="1711"/>
      <c r="V5" s="1711"/>
      <c r="W5" s="1711"/>
      <c r="X5" s="1711"/>
      <c r="Y5" s="1711"/>
      <c r="Z5" s="1711"/>
      <c r="AA5" s="1711"/>
      <c r="AB5" s="1711"/>
      <c r="AC5" s="1711"/>
      <c r="AD5" s="1711"/>
      <c r="AE5" s="1711"/>
      <c r="AF5" s="1711"/>
      <c r="AG5" s="1711"/>
      <c r="AH5" s="1711"/>
      <c r="AI5" s="1711"/>
    </row>
    <row r="6" spans="1:47" ht="45.75" customHeight="1" thickBot="1">
      <c r="A6" s="763" t="s">
        <v>1</v>
      </c>
      <c r="B6" s="762" t="s">
        <v>2</v>
      </c>
      <c r="C6" s="761" t="s">
        <v>505</v>
      </c>
      <c r="D6" s="761" t="s">
        <v>506</v>
      </c>
      <c r="E6" s="763" t="s">
        <v>27</v>
      </c>
      <c r="F6" s="763" t="s">
        <v>52</v>
      </c>
      <c r="G6" s="763" t="s">
        <v>9</v>
      </c>
      <c r="H6" s="760" t="s">
        <v>507</v>
      </c>
      <c r="I6" s="760" t="s">
        <v>390</v>
      </c>
      <c r="J6" s="942" t="s">
        <v>576</v>
      </c>
      <c r="K6" s="760" t="s">
        <v>393</v>
      </c>
      <c r="L6" s="760" t="s">
        <v>57</v>
      </c>
      <c r="M6" s="759" t="s">
        <v>515</v>
      </c>
      <c r="N6" s="759" t="s">
        <v>516</v>
      </c>
      <c r="O6" s="759" t="s">
        <v>517</v>
      </c>
      <c r="P6" s="759" t="s">
        <v>518</v>
      </c>
      <c r="Q6" s="759" t="s">
        <v>519</v>
      </c>
      <c r="R6" s="759" t="s">
        <v>520</v>
      </c>
      <c r="S6" s="759" t="s">
        <v>512</v>
      </c>
      <c r="T6" s="763" t="s">
        <v>59</v>
      </c>
      <c r="U6" s="763" t="s">
        <v>45</v>
      </c>
      <c r="V6" s="765" t="s">
        <v>389</v>
      </c>
      <c r="W6" s="766" t="s">
        <v>60</v>
      </c>
      <c r="X6" s="763" t="s">
        <v>61</v>
      </c>
      <c r="Y6" s="760" t="s">
        <v>62</v>
      </c>
      <c r="Z6" s="760" t="s">
        <v>63</v>
      </c>
      <c r="AA6" s="763" t="s">
        <v>64</v>
      </c>
      <c r="AB6" s="760" t="s">
        <v>509</v>
      </c>
      <c r="AC6" s="763" t="s">
        <v>510</v>
      </c>
      <c r="AD6" s="764" t="s">
        <v>53</v>
      </c>
      <c r="AE6" s="767" t="s">
        <v>392</v>
      </c>
      <c r="AF6" s="767" t="s">
        <v>54</v>
      </c>
      <c r="AG6" s="768" t="s">
        <v>508</v>
      </c>
      <c r="AH6" s="764" t="s">
        <v>387</v>
      </c>
      <c r="AI6" s="764" t="s">
        <v>493</v>
      </c>
    </row>
    <row r="7" spans="1:47" s="1457" customFormat="1" ht="32.25" customHeight="1" thickBot="1">
      <c r="A7" s="1449">
        <v>1</v>
      </c>
      <c r="B7" s="1447" t="s">
        <v>750</v>
      </c>
      <c r="C7" s="1450" t="s">
        <v>503</v>
      </c>
      <c r="D7" s="1451" t="s">
        <v>511</v>
      </c>
      <c r="E7" s="1452">
        <f>+VLOOKUP(B7,'Consolidate O-D'!$B$8:I565,2,FALSE)</f>
        <v>1000177462</v>
      </c>
      <c r="F7" s="593">
        <f>+VLOOKUP(B7,'Consolidate O-D'!$B$8:I565,7,FALSE)</f>
        <v>42689</v>
      </c>
      <c r="G7" s="593">
        <f>+VLOOKUP(B7,'Consolidate O-D'!$B$8:I565,8,FALSE)</f>
        <v>43054</v>
      </c>
      <c r="H7" s="593" t="str">
        <f>(YEAR(G7)-YEAR(F7)-IF(OR(MONTH(G7)&lt;MONTH(F7),AND(MONTH(G7)=MONTH(F7),DAY(G7)&lt;DAY(F7))),1,0))*12+(MONTH(G7)-MONTH(F7)+IF(AND(MONTH(G7)&lt;=MONTH(F7),DAY(G7)&lt;DAY(F7)),11,IF(AND(MONTH(G7)&lt;MONTH(F7),DAY(G7)&gt;=DAY(F7)),12,IF(AND(MONTH(G7)&gt;MONTH(F7),DAY(G7)&lt;DAY(F7)),-1))))&amp;"month,"&amp;G7-DATE(YEAR(G7),MONTH(G7)-IF(DAY(G7)&lt;DAY(F7),1,0),DAY(F7))&amp;"days"</f>
        <v>12month,0days</v>
      </c>
      <c r="I7" s="1453" t="s">
        <v>640</v>
      </c>
      <c r="J7" s="938">
        <f>+VLOOKUP(B7,'Consolidate O-D'!$B$8:I565,3,FALSE)</f>
        <v>0.09</v>
      </c>
      <c r="K7" s="1454" t="s">
        <v>66</v>
      </c>
      <c r="L7" s="677">
        <f>+VLOOKUP(B7,'Consolidate O-D'!$B$8:I565,4,FALSE)</f>
        <v>200000</v>
      </c>
      <c r="M7" s="677">
        <f>+VLOOKUP(B7,'Consolidate O-D'!$B$8:I565,5,FALSE)</f>
        <v>187831.82</v>
      </c>
      <c r="N7" s="597"/>
      <c r="O7" s="698"/>
      <c r="P7" s="597"/>
      <c r="Q7" s="597"/>
      <c r="R7" s="597"/>
      <c r="S7" s="597">
        <f>+SUM(M7:R7)</f>
        <v>187831.82</v>
      </c>
      <c r="T7" s="698"/>
      <c r="U7" s="1131"/>
      <c r="V7" s="630"/>
      <c r="W7" s="599">
        <v>0.01</v>
      </c>
      <c r="X7" s="801">
        <f>+S7*W7</f>
        <v>1878.3182000000002</v>
      </c>
      <c r="Y7" s="1370" t="s">
        <v>748</v>
      </c>
      <c r="Z7" s="1448" t="s">
        <v>893</v>
      </c>
      <c r="AA7" s="705">
        <v>1176378</v>
      </c>
      <c r="AB7" s="1455" t="s">
        <v>67</v>
      </c>
      <c r="AC7" s="1455" t="s">
        <v>502</v>
      </c>
      <c r="AD7" s="1370" t="s">
        <v>748</v>
      </c>
      <c r="AE7" s="600" t="s">
        <v>691</v>
      </c>
      <c r="AF7" s="600" t="s">
        <v>749</v>
      </c>
      <c r="AG7" s="1456" t="s">
        <v>504</v>
      </c>
      <c r="AH7" s="601" t="s">
        <v>238</v>
      </c>
      <c r="AI7" s="638"/>
      <c r="AK7" s="1533"/>
    </row>
    <row r="8" spans="1:47" s="508" customFormat="1" ht="15.75" thickBot="1">
      <c r="A8" s="793"/>
      <c r="B8" s="794"/>
      <c r="C8" s="795"/>
      <c r="D8" s="795"/>
      <c r="E8" s="769"/>
      <c r="F8" s="583"/>
      <c r="G8" s="583"/>
      <c r="H8" s="583"/>
      <c r="I8" s="770"/>
      <c r="J8" s="943" t="s">
        <v>75</v>
      </c>
      <c r="K8" s="590"/>
      <c r="L8" s="591">
        <f>SUM(L7:L7)</f>
        <v>200000</v>
      </c>
      <c r="M8" s="591">
        <f>SUM(M7:M7)</f>
        <v>187831.82</v>
      </c>
      <c r="N8" s="591">
        <v>0</v>
      </c>
      <c r="O8" s="591">
        <v>0</v>
      </c>
      <c r="P8" s="591">
        <v>0</v>
      </c>
      <c r="Q8" s="591">
        <v>0</v>
      </c>
      <c r="R8" s="591">
        <v>0</v>
      </c>
      <c r="S8" s="591">
        <f>SUM(S7:S7)</f>
        <v>187831.82</v>
      </c>
      <c r="T8" s="591">
        <v>0</v>
      </c>
      <c r="U8" s="591">
        <v>0</v>
      </c>
      <c r="V8" s="1198">
        <f>SUM(V7:V7)</f>
        <v>0</v>
      </c>
      <c r="W8" s="591"/>
      <c r="X8" s="591">
        <f>X7</f>
        <v>1878.3182000000002</v>
      </c>
      <c r="Y8" s="771"/>
      <c r="Z8" s="772"/>
      <c r="AA8" s="773"/>
      <c r="AB8" s="774"/>
      <c r="AC8" s="774"/>
      <c r="AD8" s="775"/>
      <c r="AE8" s="776"/>
      <c r="AF8" s="777"/>
      <c r="AG8" s="778"/>
      <c r="AH8" s="779"/>
      <c r="AI8" s="780"/>
    </row>
    <row r="9" spans="1:47" s="508" customFormat="1">
      <c r="A9" s="1710"/>
      <c r="B9" s="1710"/>
      <c r="C9" s="1710"/>
      <c r="D9" s="1710"/>
      <c r="E9" s="1710"/>
      <c r="F9" s="1710"/>
      <c r="G9" s="1710"/>
      <c r="H9" s="1710"/>
      <c r="I9" s="1710"/>
      <c r="J9" s="1710"/>
      <c r="K9" s="1710"/>
      <c r="L9" s="1710"/>
      <c r="M9" s="1710"/>
      <c r="N9" s="1710"/>
      <c r="O9" s="1710"/>
      <c r="P9" s="1710"/>
      <c r="Q9" s="1710"/>
      <c r="R9" s="1710"/>
      <c r="S9" s="1710"/>
      <c r="T9" s="1710"/>
      <c r="U9" s="1710"/>
      <c r="V9" s="1710"/>
      <c r="W9" s="1710"/>
      <c r="X9" s="1710"/>
      <c r="Y9" s="1710"/>
      <c r="Z9" s="1710"/>
      <c r="AA9" s="1710"/>
      <c r="AB9" s="1710"/>
      <c r="AC9" s="1710"/>
      <c r="AD9" s="1710"/>
      <c r="AE9" s="1710"/>
      <c r="AF9" s="1710"/>
      <c r="AG9" s="1710"/>
      <c r="AH9" s="1710"/>
      <c r="AI9" s="1710"/>
      <c r="AJ9" s="796"/>
      <c r="AK9" s="796"/>
      <c r="AL9" s="796"/>
      <c r="AM9" s="796"/>
      <c r="AN9" s="796"/>
    </row>
    <row r="10" spans="1:47" s="508" customFormat="1">
      <c r="A10" s="1710"/>
      <c r="B10" s="1710"/>
      <c r="C10" s="1710"/>
      <c r="D10" s="1710"/>
      <c r="E10" s="1710"/>
      <c r="F10" s="1710"/>
      <c r="G10" s="1710"/>
      <c r="H10" s="1710"/>
      <c r="I10" s="1710"/>
      <c r="J10" s="1710"/>
      <c r="K10" s="1710"/>
      <c r="L10" s="1710"/>
      <c r="M10" s="1710"/>
      <c r="N10" s="1710"/>
      <c r="O10" s="1710"/>
      <c r="P10" s="1710"/>
      <c r="Q10" s="1710"/>
      <c r="R10" s="1710"/>
      <c r="S10" s="1710"/>
      <c r="T10" s="1710"/>
      <c r="U10" s="1710"/>
      <c r="V10" s="1710"/>
      <c r="W10" s="1710"/>
      <c r="X10" s="1710"/>
      <c r="Y10" s="1710"/>
      <c r="Z10" s="1710"/>
      <c r="AA10" s="1710"/>
      <c r="AB10" s="1710"/>
      <c r="AC10" s="1710"/>
      <c r="AD10" s="1710"/>
      <c r="AE10" s="1710"/>
      <c r="AF10" s="1710"/>
      <c r="AG10" s="1710"/>
      <c r="AH10" s="1710"/>
      <c r="AI10" s="1710"/>
      <c r="AJ10" s="796"/>
      <c r="AK10" s="796"/>
      <c r="AL10" s="796"/>
      <c r="AM10" s="796"/>
      <c r="AN10" s="796"/>
    </row>
    <row r="11" spans="1:47" s="508" customFormat="1" ht="15.75" thickBot="1">
      <c r="A11" s="1710"/>
      <c r="B11" s="1710"/>
      <c r="C11" s="1710"/>
      <c r="D11" s="1710"/>
      <c r="E11" s="1710"/>
      <c r="F11" s="1710"/>
      <c r="G11" s="1710"/>
      <c r="H11" s="1710"/>
      <c r="I11" s="1710"/>
      <c r="J11" s="1710"/>
      <c r="K11" s="1710"/>
      <c r="L11" s="1710"/>
      <c r="M11" s="1710"/>
      <c r="N11" s="1710"/>
      <c r="O11" s="1710"/>
      <c r="P11" s="1710"/>
      <c r="Q11" s="1710"/>
      <c r="R11" s="1710"/>
      <c r="S11" s="1710"/>
      <c r="T11" s="1710"/>
      <c r="U11" s="1710"/>
      <c r="V11" s="1710"/>
      <c r="W11" s="1710"/>
      <c r="X11" s="1710"/>
      <c r="Y11" s="1710"/>
      <c r="Z11" s="1710"/>
      <c r="AA11" s="1710"/>
      <c r="AB11" s="1710"/>
      <c r="AC11" s="1710"/>
      <c r="AD11" s="1710"/>
      <c r="AE11" s="1710"/>
      <c r="AF11" s="1710"/>
      <c r="AG11" s="1710"/>
      <c r="AH11" s="1710"/>
      <c r="AI11" s="1710"/>
      <c r="AJ11" s="796"/>
      <c r="AK11" s="796"/>
      <c r="AL11" s="796"/>
      <c r="AM11" s="796"/>
      <c r="AN11" s="796"/>
      <c r="AO11" s="796"/>
      <c r="AP11" s="796"/>
      <c r="AQ11" s="796"/>
      <c r="AR11" s="796"/>
      <c r="AS11" s="796"/>
      <c r="AT11" s="796"/>
      <c r="AU11" s="796"/>
    </row>
    <row r="12" spans="1:47" ht="21.75" thickBot="1">
      <c r="A12" s="1699" t="s">
        <v>549</v>
      </c>
      <c r="B12" s="1700"/>
      <c r="C12" s="1700"/>
      <c r="D12" s="1701"/>
      <c r="E12" s="799" t="s">
        <v>562</v>
      </c>
      <c r="F12" s="798">
        <v>16</v>
      </c>
      <c r="G12" s="800" t="s">
        <v>563</v>
      </c>
      <c r="H12" s="798">
        <v>126</v>
      </c>
      <c r="I12" s="1711"/>
      <c r="J12" s="1711"/>
      <c r="K12" s="1711"/>
      <c r="L12" s="1711"/>
      <c r="M12" s="1711"/>
      <c r="N12" s="1711"/>
      <c r="O12" s="1711"/>
      <c r="P12" s="1711"/>
      <c r="Q12" s="1711"/>
      <c r="R12" s="1711"/>
      <c r="S12" s="1711"/>
      <c r="T12" s="1711"/>
      <c r="U12" s="1711"/>
      <c r="V12" s="1711"/>
      <c r="W12" s="1711"/>
      <c r="X12" s="1711"/>
      <c r="Y12" s="1711"/>
      <c r="Z12" s="1711"/>
      <c r="AA12" s="1711"/>
      <c r="AB12" s="1711"/>
      <c r="AC12" s="1711"/>
      <c r="AD12" s="1711"/>
      <c r="AE12" s="1711"/>
      <c r="AF12" s="1711"/>
      <c r="AG12" s="1711"/>
      <c r="AH12" s="1711"/>
      <c r="AI12" s="1711"/>
    </row>
    <row r="13" spans="1:47" s="749" customFormat="1" ht="36.75" thickBot="1">
      <c r="A13" s="763" t="s">
        <v>1</v>
      </c>
      <c r="B13" s="762" t="s">
        <v>2</v>
      </c>
      <c r="C13" s="761" t="s">
        <v>505</v>
      </c>
      <c r="D13" s="761" t="s">
        <v>506</v>
      </c>
      <c r="E13" s="763" t="s">
        <v>27</v>
      </c>
      <c r="F13" s="763" t="s">
        <v>52</v>
      </c>
      <c r="G13" s="763" t="s">
        <v>9</v>
      </c>
      <c r="H13" s="760" t="s">
        <v>507</v>
      </c>
      <c r="I13" s="760" t="s">
        <v>390</v>
      </c>
      <c r="J13" s="944" t="s">
        <v>56</v>
      </c>
      <c r="K13" s="760" t="s">
        <v>393</v>
      </c>
      <c r="L13" s="760" t="s">
        <v>57</v>
      </c>
      <c r="M13" s="759" t="s">
        <v>515</v>
      </c>
      <c r="N13" s="759" t="s">
        <v>516</v>
      </c>
      <c r="O13" s="759" t="s">
        <v>517</v>
      </c>
      <c r="P13" s="759" t="s">
        <v>518</v>
      </c>
      <c r="Q13" s="759" t="s">
        <v>519</v>
      </c>
      <c r="R13" s="759" t="s">
        <v>520</v>
      </c>
      <c r="S13" s="759" t="s">
        <v>512</v>
      </c>
      <c r="T13" s="763" t="s">
        <v>59</v>
      </c>
      <c r="U13" s="763" t="s">
        <v>45</v>
      </c>
      <c r="V13" s="765" t="s">
        <v>389</v>
      </c>
      <c r="W13" s="766" t="s">
        <v>60</v>
      </c>
      <c r="X13" s="763" t="s">
        <v>61</v>
      </c>
      <c r="Y13" s="760" t="s">
        <v>62</v>
      </c>
      <c r="Z13" s="760" t="s">
        <v>63</v>
      </c>
      <c r="AA13" s="763" t="s">
        <v>64</v>
      </c>
      <c r="AB13" s="760" t="s">
        <v>509</v>
      </c>
      <c r="AC13" s="763" t="s">
        <v>510</v>
      </c>
      <c r="AD13" s="764" t="s">
        <v>53</v>
      </c>
      <c r="AE13" s="767" t="s">
        <v>392</v>
      </c>
      <c r="AF13" s="767" t="s">
        <v>54</v>
      </c>
      <c r="AG13" s="768" t="s">
        <v>508</v>
      </c>
      <c r="AH13" s="764" t="s">
        <v>387</v>
      </c>
      <c r="AI13" s="764" t="s">
        <v>493</v>
      </c>
      <c r="AK13" s="1534"/>
    </row>
    <row r="14" spans="1:47" s="1374" customFormat="1" ht="37.5" customHeight="1" thickBot="1">
      <c r="A14" s="595">
        <v>1</v>
      </c>
      <c r="B14" s="1401" t="s">
        <v>724</v>
      </c>
      <c r="C14" s="1437" t="s">
        <v>503</v>
      </c>
      <c r="D14" s="1660" t="s">
        <v>511</v>
      </c>
      <c r="E14" s="1663">
        <f>VLOOKUP(B14,'Consolidate O-D'!B$8:$I53,2,FALSE)</f>
        <v>1000178574</v>
      </c>
      <c r="F14" s="1661">
        <f>VLOOKUP(B14,'Consolidate O-D'!B$8:$I53,7,FALSE)</f>
        <v>42718</v>
      </c>
      <c r="G14" s="1367">
        <f>VLOOKUP(B14,'Consolidate O-D'!B$8:$I53,8,FALSE)</f>
        <v>43083</v>
      </c>
      <c r="H14" s="695" t="str">
        <f t="shared" ref="H14:H48" si="0">(YEAR(G14)-YEAR(F14)-IF(OR(MONTH(G14)&lt;MONTH(F14),AND(MONTH(G14)=MONTH(F14),DAY(G14)&lt;DAY(F14))),1,0))*12+(MONTH(G14)-MONTH(F14)+IF(AND(MONTH(G14)&lt;=MONTH(F14),DAY(G14)&lt;DAY(F14)),11,IF(AND(MONTH(G14)&lt;MONTH(F14),DAY(G14)&gt;=DAY(F14)),12,IF(AND(MONTH(G14)&gt;MONTH(F14),DAY(G14)&lt;DAY(F14)),-1))))&amp;"month,"&amp;G14-DATE(YEAR(G14),MONTH(G14)-IF(DAY(G14)&lt;DAY(F14),1,0),DAY(F14))&amp;"days"</f>
        <v>12month,0days</v>
      </c>
      <c r="I14" s="696" t="s">
        <v>640</v>
      </c>
      <c r="J14" s="1368">
        <f>VLOOKUP(B14,'Consolidate O-D'!B$8:$I53,3,FALSE)</f>
        <v>0.09</v>
      </c>
      <c r="K14" s="697" t="s">
        <v>66</v>
      </c>
      <c r="L14" s="698">
        <f>VLOOKUP(B14,'Consolidate O-D'!B$8:$I53,4,FALSE)</f>
        <v>50000</v>
      </c>
      <c r="M14" s="801">
        <f>VLOOKUP(B14,'Consolidate O-D'!B$8:$I53,5,FALSE)</f>
        <v>48399.07</v>
      </c>
      <c r="N14" s="1369"/>
      <c r="O14" s="597"/>
      <c r="P14" s="1369"/>
      <c r="Q14" s="1369"/>
      <c r="R14" s="1369"/>
      <c r="S14" s="698">
        <f t="shared" ref="S14:S64" si="1">+SUM(M14:R14)</f>
        <v>48399.07</v>
      </c>
      <c r="T14" s="698"/>
      <c r="U14" s="698"/>
      <c r="V14" s="755"/>
      <c r="W14" s="699">
        <v>0.01</v>
      </c>
      <c r="X14" s="801">
        <f t="shared" ref="X14:X41" si="2">+S14*W14</f>
        <v>483.9907</v>
      </c>
      <c r="Y14" s="1370" t="s">
        <v>725</v>
      </c>
      <c r="Z14" s="1433" t="s">
        <v>726</v>
      </c>
      <c r="AA14" s="1371">
        <v>172544.4</v>
      </c>
      <c r="AB14" s="700" t="s">
        <v>67</v>
      </c>
      <c r="AC14" s="700" t="s">
        <v>502</v>
      </c>
      <c r="AD14" s="1370" t="s">
        <v>725</v>
      </c>
      <c r="AE14" s="1372" t="s">
        <v>691</v>
      </c>
      <c r="AF14" s="919" t="s">
        <v>727</v>
      </c>
      <c r="AG14" s="1373" t="s">
        <v>504</v>
      </c>
      <c r="AH14" s="704" t="s">
        <v>314</v>
      </c>
      <c r="AI14" s="1127"/>
    </row>
    <row r="15" spans="1:47" s="1374" customFormat="1" ht="59.25" customHeight="1" thickBot="1">
      <c r="A15" s="595">
        <v>2</v>
      </c>
      <c r="B15" s="1401" t="s">
        <v>586</v>
      </c>
      <c r="C15" s="693" t="s">
        <v>503</v>
      </c>
      <c r="D15" s="693" t="s">
        <v>511</v>
      </c>
      <c r="E15" s="1662" t="str">
        <f>+VLOOKUP(B15,'Consolidate TL'!$B$17:O210,2,FALSE)</f>
        <v>LD1526201621</v>
      </c>
      <c r="F15" s="1367">
        <f>+VLOOKUP(B15,'Consolidate TL'!$B$17:L210,9,FALSE)</f>
        <v>42088</v>
      </c>
      <c r="G15" s="1367">
        <f>+VLOOKUP(B15,'Consolidate TL'!$B$17:P211,10,FALSE)</f>
        <v>45376</v>
      </c>
      <c r="H15" s="695" t="str">
        <f t="shared" si="0"/>
        <v>108month,0days</v>
      </c>
      <c r="I15" s="696" t="s">
        <v>524</v>
      </c>
      <c r="J15" s="1368">
        <f>++VLOOKUP(B15,'Consolidate TL'!$B$17:L211,3,FALSE)</f>
        <v>0.1</v>
      </c>
      <c r="K15" s="697" t="s">
        <v>394</v>
      </c>
      <c r="L15" s="698">
        <f>+VLOOKUP(B15,'Consolidate TL'!$B$8:P991,4,FALSE)</f>
        <v>42000</v>
      </c>
      <c r="M15" s="1369"/>
      <c r="N15" s="1369"/>
      <c r="O15" s="597">
        <f>+VLOOKUP(B15,'Consolidate TL'!$B$8:$S$525,8,FALSE)</f>
        <v>32738.74</v>
      </c>
      <c r="P15" s="1369"/>
      <c r="Q15" s="1369"/>
      <c r="R15" s="1369"/>
      <c r="S15" s="698">
        <f t="shared" si="1"/>
        <v>32738.74</v>
      </c>
      <c r="T15" s="698">
        <f>+VLOOKUP(B15,'Consolidate TL'!$B$3:P324,6,FALSE)</f>
        <v>0</v>
      </c>
      <c r="U15" s="698">
        <f>+VLOOKUP(B15,'Consolidate TL'!$B$3:P479,7,FALSE)</f>
        <v>0</v>
      </c>
      <c r="V15" s="630">
        <f>+VLOOKUP(B15,'Consolidate TL'!$B$3:P426,12,FALSE)</f>
        <v>297.62</v>
      </c>
      <c r="W15" s="699">
        <v>0.01</v>
      </c>
      <c r="X15" s="801">
        <f t="shared" si="2"/>
        <v>327.38740000000001</v>
      </c>
      <c r="Y15" s="1370" t="s">
        <v>590</v>
      </c>
      <c r="Z15" s="1435" t="s">
        <v>653</v>
      </c>
      <c r="AA15" s="1371">
        <v>80000</v>
      </c>
      <c r="AB15" s="700" t="s">
        <v>67</v>
      </c>
      <c r="AC15" s="700" t="s">
        <v>502</v>
      </c>
      <c r="AD15" s="701" t="s">
        <v>591</v>
      </c>
      <c r="AE15" s="1372" t="s">
        <v>592</v>
      </c>
      <c r="AF15" s="919" t="s">
        <v>593</v>
      </c>
      <c r="AG15" s="1373" t="s">
        <v>504</v>
      </c>
      <c r="AH15" s="704" t="s">
        <v>386</v>
      </c>
      <c r="AI15" s="1127" t="str">
        <f>+VLOOKUP(B15,'Consolidate TL'!B9:P198,15,FALSE)</f>
        <v>Monthly Amortization of USD592.00 until the facility is fully settled.</v>
      </c>
      <c r="AJ15" s="1532" t="e">
        <f>S15+S18+#REF!+S21+#REF!+S28+S29+S30+S31+S33+S35+S37+S38+S39+S40+S45+#REF!+S46+S47+S53+S54+S56+#REF!+S59+S60+S61+S62+S63+S64+S65+S66+#REF!+S67+S68+S69+S71+S72+S74+S75+S76+S77+S78+S79+S92+S93+S94+S95+S96+S97+S98+S99+S100+S101</f>
        <v>#REF!</v>
      </c>
      <c r="AK15" s="1532"/>
    </row>
    <row r="16" spans="1:47" s="1374" customFormat="1" ht="59.25" customHeight="1" thickBot="1">
      <c r="A16" s="595">
        <v>3</v>
      </c>
      <c r="B16" s="1401" t="s">
        <v>594</v>
      </c>
      <c r="C16" s="693" t="s">
        <v>503</v>
      </c>
      <c r="D16" s="693" t="s">
        <v>511</v>
      </c>
      <c r="E16" s="694" t="str">
        <f>+VLOOKUP(B16,'Consolidate TL'!$B$17:O212,2,FALSE)</f>
        <v>LD1526201634</v>
      </c>
      <c r="F16" s="1367">
        <f>+VLOOKUP(B16,'Consolidate TL'!$B$17:L212,9,FALSE)</f>
        <v>42114</v>
      </c>
      <c r="G16" s="1367">
        <f>+VLOOKUP(B16,'Consolidate TL'!$B$17:P213,10,FALSE)</f>
        <v>45767</v>
      </c>
      <c r="H16" s="695" t="str">
        <f t="shared" si="0"/>
        <v>120month,0days</v>
      </c>
      <c r="I16" s="696" t="s">
        <v>524</v>
      </c>
      <c r="J16" s="1368">
        <f>++VLOOKUP(B16,'Consolidate TL'!$B$17:L213,3,FALSE)</f>
        <v>0.11</v>
      </c>
      <c r="K16" s="697" t="s">
        <v>394</v>
      </c>
      <c r="L16" s="698">
        <f>+VLOOKUP(B16,'Consolidate TL'!$B$8:P1001,4,FALSE)</f>
        <v>33000</v>
      </c>
      <c r="M16" s="1369"/>
      <c r="N16" s="1369"/>
      <c r="O16" s="597">
        <f>+VLOOKUP(B16,'Consolidate TL'!$B$8:$S$525,8,FALSE)</f>
        <v>27035.77</v>
      </c>
      <c r="P16" s="1369"/>
      <c r="Q16" s="1369"/>
      <c r="R16" s="1369"/>
      <c r="S16" s="698">
        <f t="shared" si="1"/>
        <v>27035.77</v>
      </c>
      <c r="T16" s="698">
        <f>+VLOOKUP(B16,'Consolidate TL'!$B$3:P334,6,FALSE)</f>
        <v>0</v>
      </c>
      <c r="U16" s="698">
        <f>+VLOOKUP(B16,'Consolidate TL'!$B$3:P489,7,FALSE)</f>
        <v>0</v>
      </c>
      <c r="V16" s="630">
        <f>+VLOOKUP(B16,'Consolidate TL'!$B$3:P428,12,FALSE)</f>
        <v>60.38</v>
      </c>
      <c r="W16" s="599">
        <v>0.01</v>
      </c>
      <c r="X16" s="801">
        <f t="shared" si="2"/>
        <v>270.35770000000002</v>
      </c>
      <c r="Y16" s="1370" t="s">
        <v>595</v>
      </c>
      <c r="Z16" s="1435" t="s">
        <v>596</v>
      </c>
      <c r="AA16" s="1371">
        <v>75000</v>
      </c>
      <c r="AB16" s="700" t="s">
        <v>67</v>
      </c>
      <c r="AC16" s="700" t="s">
        <v>502</v>
      </c>
      <c r="AD16" s="701" t="s">
        <v>597</v>
      </c>
      <c r="AE16" s="1372" t="s">
        <v>598</v>
      </c>
      <c r="AF16" s="919" t="s">
        <v>599</v>
      </c>
      <c r="AG16" s="1373" t="s">
        <v>504</v>
      </c>
      <c r="AH16" s="704" t="s">
        <v>374</v>
      </c>
      <c r="AI16" s="1127" t="str">
        <f>+VLOOKUP(B16,'Consolidate TL'!B10:P200,15,FALSE)</f>
        <v>Monthly Amortization of USD455.00 until the facility is fully settled.</v>
      </c>
    </row>
    <row r="17" spans="1:35" s="1374" customFormat="1" ht="59.25" customHeight="1" thickBot="1">
      <c r="A17" s="595">
        <v>4</v>
      </c>
      <c r="B17" s="1401" t="s">
        <v>752</v>
      </c>
      <c r="C17" s="693" t="s">
        <v>503</v>
      </c>
      <c r="D17" s="693" t="s">
        <v>511</v>
      </c>
      <c r="E17" s="694" t="str">
        <f>+VLOOKUP(B17,'Consolidate TL'!$B$17:O215,2,FALSE)</f>
        <v>LD1526201629</v>
      </c>
      <c r="F17" s="1367">
        <f>+VLOOKUP(B17,'Consolidate TL'!$B$17:L215,9,FALSE)</f>
        <v>42128</v>
      </c>
      <c r="G17" s="1367">
        <f>+VLOOKUP(B17,'Consolidate TL'!$B$17:P216,10,FALSE)</f>
        <v>45781</v>
      </c>
      <c r="H17" s="695" t="str">
        <f t="shared" si="0"/>
        <v>120month,0days</v>
      </c>
      <c r="I17" s="696" t="s">
        <v>524</v>
      </c>
      <c r="J17" s="1368">
        <f>++VLOOKUP(B17,'Consolidate TL'!$B$17:L216,3,FALSE)</f>
        <v>0.1</v>
      </c>
      <c r="K17" s="697" t="s">
        <v>394</v>
      </c>
      <c r="L17" s="698">
        <f>+VLOOKUP(B17,'Consolidate TL'!$B$8:P1015,4,FALSE)</f>
        <v>100000</v>
      </c>
      <c r="M17" s="1369"/>
      <c r="N17" s="1369"/>
      <c r="O17" s="597">
        <f>+VLOOKUP(B17,'Consolidate TL'!$B$8:$S$525,8,FALSE)</f>
        <v>81912.09</v>
      </c>
      <c r="P17" s="1369"/>
      <c r="Q17" s="1369"/>
      <c r="R17" s="1369"/>
      <c r="S17" s="698">
        <f t="shared" si="1"/>
        <v>81912.09</v>
      </c>
      <c r="T17" s="698">
        <f>+VLOOKUP(B17,'Consolidate TL'!$B$3:P348,6,FALSE)</f>
        <v>0</v>
      </c>
      <c r="U17" s="698">
        <f>+VLOOKUP(B17,'Consolidate TL'!$B$3:P501,7,FALSE)</f>
        <v>0</v>
      </c>
      <c r="V17" s="755">
        <f>+VLOOKUP(B17,'Consolidate TL'!$B$3:P431,12,FALSE)</f>
        <v>475.37</v>
      </c>
      <c r="W17" s="699">
        <v>0.01</v>
      </c>
      <c r="X17" s="801">
        <f t="shared" si="2"/>
        <v>819.12090000000001</v>
      </c>
      <c r="Y17" s="1370" t="s">
        <v>487</v>
      </c>
      <c r="Z17" s="1434" t="s">
        <v>97</v>
      </c>
      <c r="AA17" s="1371" t="s">
        <v>97</v>
      </c>
      <c r="AB17" s="700" t="s">
        <v>67</v>
      </c>
      <c r="AC17" s="700" t="s">
        <v>502</v>
      </c>
      <c r="AD17" s="701" t="s">
        <v>606</v>
      </c>
      <c r="AE17" s="1372" t="s">
        <v>580</v>
      </c>
      <c r="AF17" s="919" t="s">
        <v>607</v>
      </c>
      <c r="AG17" s="1373" t="s">
        <v>504</v>
      </c>
      <c r="AH17" s="704" t="s">
        <v>374</v>
      </c>
      <c r="AI17" s="1127" t="str">
        <f>+VLOOKUP(B17,'Consolidate TL'!B13:P203,15,FALSE)</f>
        <v>Monthly Amortization of USD1,325.00 until the facility is fully settled.</v>
      </c>
    </row>
    <row r="18" spans="1:35" s="1374" customFormat="1" ht="54.75" thickBot="1">
      <c r="A18" s="595">
        <v>6</v>
      </c>
      <c r="B18" s="1401" t="s">
        <v>618</v>
      </c>
      <c r="C18" s="693" t="s">
        <v>503</v>
      </c>
      <c r="D18" s="693" t="s">
        <v>511</v>
      </c>
      <c r="E18" s="694" t="str">
        <f>+VLOOKUP(B18,'Consolidate TL'!$B$17:O223,2,FALSE)</f>
        <v>LD1526201628</v>
      </c>
      <c r="F18" s="1367">
        <f>+VLOOKUP(B18,'Consolidate TL'!$B$17:L223,9,FALSE)</f>
        <v>42168</v>
      </c>
      <c r="G18" s="1367">
        <f>+VLOOKUP(B18,'Consolidate TL'!$B$17:P223,10,FALSE)</f>
        <v>45821</v>
      </c>
      <c r="H18" s="695" t="str">
        <f t="shared" si="0"/>
        <v>120month,0days</v>
      </c>
      <c r="I18" s="696" t="s">
        <v>524</v>
      </c>
      <c r="J18" s="1368">
        <f>++VLOOKUP(B18,'Consolidate TL'!$B$17:L223,3,FALSE)</f>
        <v>0.1</v>
      </c>
      <c r="K18" s="697" t="s">
        <v>394</v>
      </c>
      <c r="L18" s="698">
        <f>+VLOOKUP(B18,'Consolidate TL'!$B$8:P1042,4,FALSE)</f>
        <v>60000</v>
      </c>
      <c r="M18" s="1369"/>
      <c r="N18" s="1369"/>
      <c r="O18" s="597">
        <f>+VLOOKUP(B18,'Consolidate TL'!$B$8:$S$525,8,FALSE)</f>
        <v>49352.18</v>
      </c>
      <c r="P18" s="1369"/>
      <c r="Q18" s="1369"/>
      <c r="R18" s="1369"/>
      <c r="S18" s="698">
        <f t="shared" si="1"/>
        <v>49352.18</v>
      </c>
      <c r="T18" s="698">
        <f>+VLOOKUP(B18,'Consolidate TL'!$B$3:P375,6,FALSE)</f>
        <v>0</v>
      </c>
      <c r="U18" s="698">
        <f>+VLOOKUP(B18,'Consolidate TL'!$B$3:P528,7,FALSE)</f>
        <v>0</v>
      </c>
      <c r="V18" s="630">
        <f>+VLOOKUP(B18,'Consolidate TL'!$B$3:P438,12,FALSE)</f>
        <v>186.1</v>
      </c>
      <c r="W18" s="699">
        <v>0.01</v>
      </c>
      <c r="X18" s="801">
        <f t="shared" si="2"/>
        <v>493.52180000000004</v>
      </c>
      <c r="Y18" s="1370" t="s">
        <v>619</v>
      </c>
      <c r="Z18" s="1434" t="s">
        <v>895</v>
      </c>
      <c r="AA18" s="1371">
        <v>176254</v>
      </c>
      <c r="AB18" s="700" t="s">
        <v>67</v>
      </c>
      <c r="AC18" s="1375" t="s">
        <v>502</v>
      </c>
      <c r="AD18" s="1372" t="s">
        <v>620</v>
      </c>
      <c r="AE18" s="1372" t="s">
        <v>581</v>
      </c>
      <c r="AF18" s="919" t="s">
        <v>621</v>
      </c>
      <c r="AG18" s="1373" t="s">
        <v>504</v>
      </c>
      <c r="AH18" s="704" t="s">
        <v>386</v>
      </c>
      <c r="AI18" s="1127" t="str">
        <f>+VLOOKUP(B18,'Consolidate TL'!B18:P210,15,FALSE)</f>
        <v>Monthly Amortization of USD795.00 until the facility is fully settled.</v>
      </c>
    </row>
    <row r="19" spans="1:35" s="1374" customFormat="1" ht="44.25" customHeight="1" thickBot="1">
      <c r="A19" s="595">
        <v>8</v>
      </c>
      <c r="B19" s="1401" t="s">
        <v>642</v>
      </c>
      <c r="C19" s="693" t="s">
        <v>503</v>
      </c>
      <c r="D19" s="693" t="s">
        <v>511</v>
      </c>
      <c r="E19" s="694" t="str">
        <f>+VLOOKUP(B19,'Consolidate TL'!$B$17:O226,2,FALSE)</f>
        <v>LD1526201636</v>
      </c>
      <c r="F19" s="1367">
        <f>+VLOOKUP(B19,'Consolidate TL'!$B$17:L226,9,FALSE)</f>
        <v>42191</v>
      </c>
      <c r="G19" s="1367">
        <f>+VLOOKUP(B19,'Consolidate TL'!$B$17:P227,10,FALSE)</f>
        <v>44748</v>
      </c>
      <c r="H19" s="695" t="str">
        <f t="shared" si="0"/>
        <v>84month,0days</v>
      </c>
      <c r="I19" s="696" t="s">
        <v>524</v>
      </c>
      <c r="J19" s="1368">
        <f>++VLOOKUP(B19,'Consolidate TL'!$B$17:L227,3,FALSE)</f>
        <v>8.5000000000000006E-2</v>
      </c>
      <c r="K19" s="697" t="s">
        <v>394</v>
      </c>
      <c r="L19" s="698">
        <f>+VLOOKUP(B19,'Consolidate TL'!$B$8:P1048,4,FALSE)</f>
        <v>20000</v>
      </c>
      <c r="M19" s="1369"/>
      <c r="N19" s="1369"/>
      <c r="O19" s="597">
        <f>+VLOOKUP(B19,'Consolidate TL'!$B$8:$S$525,8,FALSE)</f>
        <v>13938.83</v>
      </c>
      <c r="P19" s="1369"/>
      <c r="Q19" s="1369"/>
      <c r="R19" s="1369"/>
      <c r="S19" s="698">
        <f t="shared" si="1"/>
        <v>13938.83</v>
      </c>
      <c r="T19" s="698"/>
      <c r="U19" s="698"/>
      <c r="V19" s="630">
        <f>+VLOOKUP(B19,'Consolidate TL'!$B$3:P442,12,FALSE)</f>
        <v>82.88</v>
      </c>
      <c r="W19" s="699">
        <v>0.01</v>
      </c>
      <c r="X19" s="801">
        <f t="shared" si="2"/>
        <v>139.38830000000002</v>
      </c>
      <c r="Y19" s="1370" t="s">
        <v>654</v>
      </c>
      <c r="Z19" s="1434" t="s">
        <v>655</v>
      </c>
      <c r="AA19" s="1371">
        <v>45000</v>
      </c>
      <c r="AB19" s="700" t="s">
        <v>67</v>
      </c>
      <c r="AC19" s="700" t="s">
        <v>502</v>
      </c>
      <c r="AD19" s="1370" t="s">
        <v>656</v>
      </c>
      <c r="AE19" s="1372" t="s">
        <v>657</v>
      </c>
      <c r="AF19" s="919" t="s">
        <v>658</v>
      </c>
      <c r="AG19" s="1373" t="s">
        <v>504</v>
      </c>
      <c r="AH19" s="704" t="s">
        <v>374</v>
      </c>
      <c r="AI19" s="1127" t="str">
        <f>+VLOOKUP(B19,'Consolidate TL'!B20:P215,15,FALSE)</f>
        <v>Monthly Amortization of USD327.00 until the facility is fully settled.</v>
      </c>
    </row>
    <row r="20" spans="1:35" s="1374" customFormat="1" ht="44.25" customHeight="1" thickBot="1">
      <c r="A20" s="595">
        <v>9</v>
      </c>
      <c r="B20" s="1401" t="s">
        <v>647</v>
      </c>
      <c r="C20" s="693" t="s">
        <v>503</v>
      </c>
      <c r="D20" s="693" t="s">
        <v>511</v>
      </c>
      <c r="E20" s="694" t="str">
        <f>+VLOOKUP(B20,'Consolidate TL'!$B$17:O227,2,FALSE)</f>
        <v>LD1526201642</v>
      </c>
      <c r="F20" s="1367">
        <f>+VLOOKUP(B20,'Consolidate TL'!$B$17:L227,9,FALSE)</f>
        <v>42214</v>
      </c>
      <c r="G20" s="1367">
        <f>+VLOOKUP(B20,'Consolidate TL'!$B$17:P228,10,FALSE)</f>
        <v>45136</v>
      </c>
      <c r="H20" s="695" t="str">
        <f t="shared" si="0"/>
        <v>96month,0days</v>
      </c>
      <c r="I20" s="696" t="s">
        <v>524</v>
      </c>
      <c r="J20" s="1368">
        <f>++VLOOKUP(B20,'Consolidate TL'!$B$17:L228,3,FALSE)</f>
        <v>0.105</v>
      </c>
      <c r="K20" s="697" t="s">
        <v>394</v>
      </c>
      <c r="L20" s="698">
        <f>+VLOOKUP(B20,'Consolidate TL'!$B$8:P1049,4,FALSE)</f>
        <v>35000</v>
      </c>
      <c r="M20" s="1369"/>
      <c r="N20" s="1369"/>
      <c r="O20" s="597">
        <f>+VLOOKUP(B20,'Consolidate TL'!$B$8:$S$525,8,FALSE)</f>
        <v>26658.18</v>
      </c>
      <c r="P20" s="1369"/>
      <c r="Q20" s="1369"/>
      <c r="R20" s="1369"/>
      <c r="S20" s="698">
        <f t="shared" si="1"/>
        <v>26658.18</v>
      </c>
      <c r="T20" s="698">
        <v>0</v>
      </c>
      <c r="U20" s="698">
        <v>0</v>
      </c>
      <c r="V20" s="630">
        <f>+VLOOKUP(B20,'Consolidate TL'!$B$3:P443,12,FALSE)</f>
        <v>16.600000000000001</v>
      </c>
      <c r="W20" s="699">
        <v>0.01</v>
      </c>
      <c r="X20" s="801">
        <f t="shared" si="2"/>
        <v>266.58179999999999</v>
      </c>
      <c r="Y20" s="1370" t="s">
        <v>659</v>
      </c>
      <c r="Z20" s="1434" t="s">
        <v>660</v>
      </c>
      <c r="AA20" s="1371">
        <v>60000</v>
      </c>
      <c r="AB20" s="700" t="s">
        <v>67</v>
      </c>
      <c r="AC20" s="700" t="s">
        <v>502</v>
      </c>
      <c r="AD20" s="1372" t="s">
        <v>661</v>
      </c>
      <c r="AE20" s="1372" t="s">
        <v>662</v>
      </c>
      <c r="AF20" s="919" t="s">
        <v>663</v>
      </c>
      <c r="AG20" s="1373" t="s">
        <v>504</v>
      </c>
      <c r="AH20" s="704" t="s">
        <v>374</v>
      </c>
      <c r="AI20" s="1127" t="str">
        <f>+VLOOKUP(B20,'Consolidate TL'!B20:P216,15,FALSE)</f>
        <v>Monthly Amortization of USD545.00 until the facility is fully settled.</v>
      </c>
    </row>
    <row r="21" spans="1:35" s="1374" customFormat="1" ht="44.25" customHeight="1" thickBot="1">
      <c r="A21" s="595">
        <v>10</v>
      </c>
      <c r="B21" s="1401" t="s">
        <v>643</v>
      </c>
      <c r="C21" s="693" t="s">
        <v>503</v>
      </c>
      <c r="D21" s="693" t="s">
        <v>511</v>
      </c>
      <c r="E21" s="694" t="str">
        <f>+VLOOKUP(B21,'Consolidate TL'!$B$17:O230,2,FALSE)</f>
        <v>LD1526201637</v>
      </c>
      <c r="F21" s="1367">
        <f>+VLOOKUP(B21,'Consolidate TL'!$B$17:L230,9,FALSE)</f>
        <v>42192</v>
      </c>
      <c r="G21" s="1367">
        <f>+VLOOKUP(B21,'Consolidate TL'!$B$17:P231,10,FALSE)</f>
        <v>44749</v>
      </c>
      <c r="H21" s="695" t="str">
        <f t="shared" si="0"/>
        <v>84month,0days</v>
      </c>
      <c r="I21" s="696" t="s">
        <v>524</v>
      </c>
      <c r="J21" s="1368">
        <f>++VLOOKUP(B21,'Consolidate TL'!$B$17:L231,3,FALSE)</f>
        <v>0.1</v>
      </c>
      <c r="K21" s="697" t="s">
        <v>394</v>
      </c>
      <c r="L21" s="698">
        <f>+VLOOKUP(B21,'Consolidate TL'!$B$8:P1052,4,FALSE)</f>
        <v>30000</v>
      </c>
      <c r="M21" s="1369"/>
      <c r="N21" s="1369"/>
      <c r="O21" s="597">
        <f>+VLOOKUP(B21,'Consolidate TL'!$B$8:$S$525,8,FALSE)</f>
        <v>21330.95</v>
      </c>
      <c r="P21" s="1369"/>
      <c r="Q21" s="1369"/>
      <c r="R21" s="1369"/>
      <c r="S21" s="698">
        <f t="shared" si="1"/>
        <v>21330.95</v>
      </c>
      <c r="T21" s="698">
        <v>0</v>
      </c>
      <c r="U21" s="698">
        <v>0</v>
      </c>
      <c r="V21" s="630">
        <f>+VLOOKUP(B21,'Consolidate TL'!$B$3:P446,12,FALSE)</f>
        <v>148.13</v>
      </c>
      <c r="W21" s="699">
        <v>0.01</v>
      </c>
      <c r="X21" s="801">
        <f t="shared" si="2"/>
        <v>213.30950000000001</v>
      </c>
      <c r="Y21" s="1370" t="s">
        <v>664</v>
      </c>
      <c r="Z21" s="1475" t="s">
        <v>896</v>
      </c>
      <c r="AA21" s="1371">
        <v>55000</v>
      </c>
      <c r="AB21" s="700" t="s">
        <v>67</v>
      </c>
      <c r="AC21" s="700" t="s">
        <v>502</v>
      </c>
      <c r="AD21" s="1372" t="s">
        <v>665</v>
      </c>
      <c r="AE21" s="1372" t="s">
        <v>666</v>
      </c>
      <c r="AF21" s="919" t="s">
        <v>667</v>
      </c>
      <c r="AG21" s="1373" t="s">
        <v>504</v>
      </c>
      <c r="AH21" s="704" t="s">
        <v>386</v>
      </c>
      <c r="AI21" s="1127" t="str">
        <f>+VLOOKUP(B21,'Consolidate TL'!B20:P219,15,FALSE)</f>
        <v>Monthly Amortization of USD500.00 until the facility is fully settled.</v>
      </c>
    </row>
    <row r="22" spans="1:35" s="1374" customFormat="1" ht="44.25" customHeight="1" thickBot="1">
      <c r="A22" s="595">
        <v>11</v>
      </c>
      <c r="B22" s="1401" t="s">
        <v>670</v>
      </c>
      <c r="C22" s="693" t="s">
        <v>503</v>
      </c>
      <c r="D22" s="693" t="s">
        <v>511</v>
      </c>
      <c r="E22" s="694" t="str">
        <f>+VLOOKUP(B22,'Consolidate TL'!$B$17:O236,2,FALSE)</f>
        <v>LD1526201650</v>
      </c>
      <c r="F22" s="1367">
        <f>+VLOOKUP(B22,'Consolidate TL'!$B$17:L236,9,FALSE)</f>
        <v>42227</v>
      </c>
      <c r="G22" s="1367">
        <f>+VLOOKUP(B22,'Consolidate TL'!$B$17:P237,10,FALSE)</f>
        <v>44054</v>
      </c>
      <c r="H22" s="695" t="str">
        <f t="shared" si="0"/>
        <v>60month,0days</v>
      </c>
      <c r="I22" s="696" t="s">
        <v>524</v>
      </c>
      <c r="J22" s="1368">
        <f>++VLOOKUP(B22,'Consolidate TL'!$B$17:L237,3,FALSE)</f>
        <v>0.12</v>
      </c>
      <c r="K22" s="697" t="s">
        <v>394</v>
      </c>
      <c r="L22" s="698">
        <f>+VLOOKUP(B22,'Consolidate TL'!$B$8:P1058,4,FALSE)</f>
        <v>10000</v>
      </c>
      <c r="M22" s="1369"/>
      <c r="N22" s="1369"/>
      <c r="O22" s="597">
        <f>+VLOOKUP(B22,'Consolidate TL'!$B$8:$S$525,8,FALSE)</f>
        <v>5698.5</v>
      </c>
      <c r="P22" s="1369"/>
      <c r="Q22" s="1369"/>
      <c r="R22" s="1369"/>
      <c r="S22" s="698">
        <f t="shared" si="1"/>
        <v>5698.5</v>
      </c>
      <c r="T22" s="698">
        <v>0</v>
      </c>
      <c r="U22" s="698">
        <v>0</v>
      </c>
      <c r="V22" s="630">
        <f>+VLOOKUP(B22,'Consolidate TL'!$B$3:P451,12,FALSE)</f>
        <v>46.65</v>
      </c>
      <c r="W22" s="699">
        <v>0.01</v>
      </c>
      <c r="X22" s="801">
        <f t="shared" si="2"/>
        <v>56.984999999999999</v>
      </c>
      <c r="Y22" s="1370" t="s">
        <v>672</v>
      </c>
      <c r="Z22" s="1434" t="s">
        <v>673</v>
      </c>
      <c r="AA22" s="1371">
        <v>35000</v>
      </c>
      <c r="AB22" s="700" t="s">
        <v>67</v>
      </c>
      <c r="AC22" s="700" t="s">
        <v>502</v>
      </c>
      <c r="AD22" s="1372" t="s">
        <v>674</v>
      </c>
      <c r="AE22" s="1372" t="s">
        <v>580</v>
      </c>
      <c r="AF22" s="919" t="s">
        <v>675</v>
      </c>
      <c r="AG22" s="1373" t="s">
        <v>504</v>
      </c>
      <c r="AH22" s="704" t="s">
        <v>374</v>
      </c>
      <c r="AI22" s="1127" t="str">
        <f>+VLOOKUP(B22,'Consolidate TL'!B21:P224,15,FALSE)</f>
        <v>Monthly Amortization of USD225.00 until the facility is fully settled.</v>
      </c>
    </row>
    <row r="23" spans="1:35" s="1374" customFormat="1" ht="44.25" customHeight="1" thickBot="1">
      <c r="A23" s="595">
        <v>12</v>
      </c>
      <c r="B23" s="1401" t="s">
        <v>676</v>
      </c>
      <c r="C23" s="693" t="s">
        <v>503</v>
      </c>
      <c r="D23" s="693" t="s">
        <v>511</v>
      </c>
      <c r="E23" s="694" t="str">
        <f>+VLOOKUP(B23,'Consolidate TL'!$B$17:O237,2,FALSE)</f>
        <v>LD1526201653</v>
      </c>
      <c r="F23" s="1367">
        <f>+VLOOKUP(B23,'Consolidate TL'!$B$17:L237,9,FALSE)</f>
        <v>42235</v>
      </c>
      <c r="G23" s="1367">
        <f>+VLOOKUP(B23,'Consolidate TL'!$B$17:P238,10,FALSE)</f>
        <v>44062</v>
      </c>
      <c r="H23" s="695" t="str">
        <f t="shared" si="0"/>
        <v>60month,0days</v>
      </c>
      <c r="I23" s="696" t="s">
        <v>524</v>
      </c>
      <c r="J23" s="1368">
        <f>++VLOOKUP(B23,'Consolidate TL'!$B$17:L238,3,FALSE)</f>
        <v>0.11</v>
      </c>
      <c r="K23" s="697" t="s">
        <v>394</v>
      </c>
      <c r="L23" s="698">
        <f>+VLOOKUP(B23,'Consolidate TL'!$B$8:P1059,4,FALSE)</f>
        <v>15000</v>
      </c>
      <c r="M23" s="1369"/>
      <c r="N23" s="1369"/>
      <c r="O23" s="597">
        <f>+VLOOKUP(B23,'Consolidate TL'!$B$8:$S$525,8,FALSE)</f>
        <v>8333.26</v>
      </c>
      <c r="P23" s="1369"/>
      <c r="Q23" s="1369"/>
      <c r="R23" s="1369"/>
      <c r="S23" s="698">
        <f t="shared" si="1"/>
        <v>8333.26</v>
      </c>
      <c r="T23" s="698">
        <v>0</v>
      </c>
      <c r="U23" s="698">
        <v>0</v>
      </c>
      <c r="V23" s="630">
        <f>+VLOOKUP(B23,'Consolidate TL'!$B$3:P452,12,FALSE)</f>
        <v>38.9</v>
      </c>
      <c r="W23" s="699">
        <v>0.01</v>
      </c>
      <c r="X23" s="801">
        <f t="shared" si="2"/>
        <v>83.332599999999999</v>
      </c>
      <c r="Y23" s="1370" t="s">
        <v>678</v>
      </c>
      <c r="Z23" s="1433" t="s">
        <v>679</v>
      </c>
      <c r="AA23" s="1371">
        <v>55000</v>
      </c>
      <c r="AB23" s="700" t="s">
        <v>67</v>
      </c>
      <c r="AC23" s="700" t="s">
        <v>502</v>
      </c>
      <c r="AD23" s="1370" t="s">
        <v>678</v>
      </c>
      <c r="AE23" s="1372" t="s">
        <v>680</v>
      </c>
      <c r="AF23" s="919" t="s">
        <v>681</v>
      </c>
      <c r="AG23" s="1373" t="s">
        <v>504</v>
      </c>
      <c r="AH23" s="704" t="s">
        <v>374</v>
      </c>
      <c r="AI23" s="1127" t="str">
        <f>+VLOOKUP(B23,'Consolidate TL'!B21:P225,15,FALSE)</f>
        <v>Monthly Amortization of USD330.00 until the facility is fully settled.</v>
      </c>
    </row>
    <row r="24" spans="1:35" s="1374" customFormat="1" ht="44.25" customHeight="1" thickBot="1">
      <c r="A24" s="595">
        <v>13</v>
      </c>
      <c r="B24" s="1401" t="s">
        <v>692</v>
      </c>
      <c r="C24" s="693" t="s">
        <v>503</v>
      </c>
      <c r="D24" s="693" t="s">
        <v>511</v>
      </c>
      <c r="E24" s="694" t="str">
        <f>+VLOOKUP(B24,'Consolidate TL'!$B$17:O239,2,FALSE)</f>
        <v>LD1526201648</v>
      </c>
      <c r="F24" s="1367">
        <f>+VLOOKUP(B24,'Consolidate TL'!$B$17:L239,9,FALSE)</f>
        <v>42222</v>
      </c>
      <c r="G24" s="1367">
        <f>+VLOOKUP(B24,'Consolidate TL'!$B$17:P240,10,FALSE)</f>
        <v>44779</v>
      </c>
      <c r="H24" s="695" t="str">
        <f t="shared" si="0"/>
        <v>84month,0days</v>
      </c>
      <c r="I24" s="696" t="s">
        <v>524</v>
      </c>
      <c r="J24" s="1368">
        <f>++VLOOKUP(B24,'Consolidate TL'!$B$17:L240,3,FALSE)</f>
        <v>0.12</v>
      </c>
      <c r="K24" s="697" t="s">
        <v>394</v>
      </c>
      <c r="L24" s="698">
        <f>+VLOOKUP(B24,'Consolidate TL'!$B$8:P1061,4,FALSE)</f>
        <v>12000</v>
      </c>
      <c r="M24" s="1369"/>
      <c r="N24" s="1369"/>
      <c r="O24" s="597">
        <f>+VLOOKUP(B24,'Consolidate TL'!$B$8:$S$525,8,FALSE)</f>
        <v>8754.65</v>
      </c>
      <c r="P24" s="1369"/>
      <c r="Q24" s="1369"/>
      <c r="R24" s="1369"/>
      <c r="S24" s="698">
        <f t="shared" si="1"/>
        <v>8754.65</v>
      </c>
      <c r="T24" s="698">
        <v>0</v>
      </c>
      <c r="U24" s="698">
        <v>0</v>
      </c>
      <c r="V24" s="630">
        <f>+VLOOKUP(B24,'Consolidate TL'!$B$3:P454,12,FALSE)</f>
        <v>82.17</v>
      </c>
      <c r="W24" s="699">
        <v>0.01</v>
      </c>
      <c r="X24" s="801">
        <f t="shared" si="2"/>
        <v>87.546499999999995</v>
      </c>
      <c r="Y24" s="1370" t="s">
        <v>696</v>
      </c>
      <c r="Z24" s="1433" t="s">
        <v>697</v>
      </c>
      <c r="AA24" s="1371">
        <v>40000</v>
      </c>
      <c r="AB24" s="700" t="s">
        <v>67</v>
      </c>
      <c r="AC24" s="700" t="s">
        <v>502</v>
      </c>
      <c r="AD24" s="1370" t="s">
        <v>698</v>
      </c>
      <c r="AE24" s="1372" t="s">
        <v>699</v>
      </c>
      <c r="AF24" s="919" t="s">
        <v>700</v>
      </c>
      <c r="AG24" s="1373" t="s">
        <v>504</v>
      </c>
      <c r="AH24" s="704" t="s">
        <v>374</v>
      </c>
      <c r="AI24" s="1127" t="str">
        <f>'Consolidate TL'!P26</f>
        <v>Monthly Amortization of USD215.00 until the facility is fully settled.</v>
      </c>
    </row>
    <row r="25" spans="1:35" s="1374" customFormat="1" ht="44.25" customHeight="1" thickBot="1">
      <c r="A25" s="595">
        <v>14</v>
      </c>
      <c r="B25" s="1401" t="s">
        <v>694</v>
      </c>
      <c r="C25" s="693" t="s">
        <v>503</v>
      </c>
      <c r="D25" s="693" t="s">
        <v>511</v>
      </c>
      <c r="E25" s="694" t="str">
        <f>+VLOOKUP(B25,'Consolidate TL'!$B$17:O240,2,FALSE)</f>
        <v>LD1526201655</v>
      </c>
      <c r="F25" s="1367">
        <f>+VLOOKUP(B25,'Consolidate TL'!$B$17:L240,9,FALSE)</f>
        <v>42238</v>
      </c>
      <c r="G25" s="1367">
        <f>+VLOOKUP(B25,'Consolidate TL'!$B$17:P241,10,FALSE)</f>
        <v>44795</v>
      </c>
      <c r="H25" s="695" t="str">
        <f t="shared" si="0"/>
        <v>84month,0days</v>
      </c>
      <c r="I25" s="696" t="s">
        <v>524</v>
      </c>
      <c r="J25" s="1368">
        <f>++VLOOKUP(B25,'Consolidate TL'!$B$17:L241,3,FALSE)</f>
        <v>0.13200000000000001</v>
      </c>
      <c r="K25" s="697" t="s">
        <v>394</v>
      </c>
      <c r="L25" s="698">
        <f>+VLOOKUP(B25,'Consolidate TL'!$B$8:P1062,4,FALSE)</f>
        <v>30000</v>
      </c>
      <c r="M25" s="1369"/>
      <c r="N25" s="1369"/>
      <c r="O25" s="597">
        <f>+VLOOKUP(B25,'Consolidate TL'!$B$8:$S$525,8,FALSE)</f>
        <v>22402.34</v>
      </c>
      <c r="P25" s="1369"/>
      <c r="Q25" s="1369"/>
      <c r="R25" s="1369"/>
      <c r="S25" s="698">
        <f t="shared" si="1"/>
        <v>22402.34</v>
      </c>
      <c r="T25" s="698">
        <v>0</v>
      </c>
      <c r="U25" s="698">
        <v>0</v>
      </c>
      <c r="V25" s="630">
        <f>+VLOOKUP(B25,'Consolidate TL'!$B$3:P455,12,FALSE)</f>
        <v>61.92</v>
      </c>
      <c r="W25" s="699">
        <v>0.01</v>
      </c>
      <c r="X25" s="801">
        <f t="shared" si="2"/>
        <v>224.02340000000001</v>
      </c>
      <c r="Y25" s="1370" t="s">
        <v>701</v>
      </c>
      <c r="Z25" s="1433" t="s">
        <v>702</v>
      </c>
      <c r="AA25" s="1371">
        <v>65000</v>
      </c>
      <c r="AB25" s="700" t="s">
        <v>67</v>
      </c>
      <c r="AC25" s="700" t="s">
        <v>502</v>
      </c>
      <c r="AD25" s="1370" t="s">
        <v>704</v>
      </c>
      <c r="AE25" s="1372" t="s">
        <v>705</v>
      </c>
      <c r="AF25" s="919" t="s">
        <v>706</v>
      </c>
      <c r="AG25" s="1373" t="s">
        <v>504</v>
      </c>
      <c r="AH25" s="704" t="s">
        <v>374</v>
      </c>
      <c r="AI25" s="1127" t="str">
        <f>'Consolidate TL'!P27</f>
        <v>Monthly Amortization of USD550.00 until the facility is fully settled.</v>
      </c>
    </row>
    <row r="26" spans="1:35" s="1374" customFormat="1" ht="44.25" customHeight="1" thickBot="1">
      <c r="A26" s="595">
        <v>16</v>
      </c>
      <c r="B26" s="1401" t="s">
        <v>686</v>
      </c>
      <c r="C26" s="693" t="s">
        <v>503</v>
      </c>
      <c r="D26" s="693" t="s">
        <v>511</v>
      </c>
      <c r="E26" s="694" t="str">
        <f>+VLOOKUP(B26,'Consolidate TL'!$B$17:O245,2,FALSE)</f>
        <v>LD1526201654</v>
      </c>
      <c r="F26" s="1367">
        <f>+VLOOKUP(B26,'Consolidate TL'!$B$17:L245,9,FALSE)</f>
        <v>42233</v>
      </c>
      <c r="G26" s="1367">
        <f>+VLOOKUP(B26,'Consolidate TL'!$B$17:P246,10,FALSE)</f>
        <v>44425</v>
      </c>
      <c r="H26" s="695" t="str">
        <f t="shared" si="0"/>
        <v>72month,0days</v>
      </c>
      <c r="I26" s="696" t="s">
        <v>524</v>
      </c>
      <c r="J26" s="1368">
        <f>++VLOOKUP(B26,'Consolidate TL'!$B$17:L246,3,FALSE)</f>
        <v>0.1</v>
      </c>
      <c r="K26" s="697" t="s">
        <v>394</v>
      </c>
      <c r="L26" s="698">
        <f>+VLOOKUP(B26,'Consolidate TL'!$B$8:P1067,4,FALSE)</f>
        <v>200000</v>
      </c>
      <c r="M26" s="1369"/>
      <c r="N26" s="1369"/>
      <c r="O26" s="597">
        <f>+VLOOKUP(B26,'Consolidate TL'!$B$8:$S$525,8,FALSE)</f>
        <v>134781.6</v>
      </c>
      <c r="P26" s="1369"/>
      <c r="Q26" s="1369"/>
      <c r="R26" s="1369"/>
      <c r="S26" s="698">
        <f t="shared" si="1"/>
        <v>134781.6</v>
      </c>
      <c r="T26" s="698">
        <v>0</v>
      </c>
      <c r="U26" s="698">
        <v>0</v>
      </c>
      <c r="V26" s="630">
        <f>+VLOOKUP(B26,'Consolidate TL'!$B$3:P460,12,FALSE)</f>
        <v>1289.1300000000001</v>
      </c>
      <c r="W26" s="699">
        <v>0.01</v>
      </c>
      <c r="X26" s="801">
        <f t="shared" si="2"/>
        <v>1347.816</v>
      </c>
      <c r="Y26" s="1370" t="s">
        <v>688</v>
      </c>
      <c r="Z26" s="1433" t="s">
        <v>689</v>
      </c>
      <c r="AA26" s="1371">
        <v>400447.8</v>
      </c>
      <c r="AB26" s="700" t="s">
        <v>67</v>
      </c>
      <c r="AC26" s="700" t="s">
        <v>502</v>
      </c>
      <c r="AD26" s="1370" t="s">
        <v>688</v>
      </c>
      <c r="AE26" s="1372" t="s">
        <v>690</v>
      </c>
      <c r="AF26" s="919" t="s">
        <v>833</v>
      </c>
      <c r="AG26" s="1373" t="s">
        <v>504</v>
      </c>
      <c r="AH26" s="704" t="s">
        <v>374</v>
      </c>
      <c r="AI26" s="1127" t="str">
        <f>'Consolidate TL'!P28</f>
        <v>Monthly Amortization of USD3,710.00 until the facility is fully settled.</v>
      </c>
    </row>
    <row r="27" spans="1:35" s="1374" customFormat="1" ht="44.25" customHeight="1" thickBot="1">
      <c r="A27" s="595">
        <v>17</v>
      </c>
      <c r="B27" s="1401" t="s">
        <v>1471</v>
      </c>
      <c r="C27" s="693" t="s">
        <v>503</v>
      </c>
      <c r="D27" s="693" t="s">
        <v>511</v>
      </c>
      <c r="E27" s="694" t="str">
        <f>+VLOOKUP(B27,'Consolidate TL'!$B$17:O247,2,FALSE)</f>
        <v>LD1526201646</v>
      </c>
      <c r="F27" s="1367">
        <f>+VLOOKUP(B27,'Consolidate TL'!$B$17:L247,9,FALSE)</f>
        <v>42213</v>
      </c>
      <c r="G27" s="1367">
        <f>+VLOOKUP(B27,'Consolidate TL'!$B$17:P248,10,FALSE)</f>
        <v>45866</v>
      </c>
      <c r="H27" s="695" t="str">
        <f t="shared" si="0"/>
        <v>120month,0days</v>
      </c>
      <c r="I27" s="696" t="s">
        <v>524</v>
      </c>
      <c r="J27" s="1368">
        <f>++VLOOKUP(B27,'Consolidate TL'!$B$17:L248,3,FALSE)</f>
        <v>0.1</v>
      </c>
      <c r="K27" s="697" t="s">
        <v>394</v>
      </c>
      <c r="L27" s="698">
        <f>+VLOOKUP(B27,'Consolidate TL'!$B$8:P1069,4,FALSE)</f>
        <v>80000</v>
      </c>
      <c r="M27" s="1369"/>
      <c r="N27" s="1369"/>
      <c r="O27" s="597" t="e">
        <f>+VLOOKUP(B27,'Consolidate TL'!$B$8:$S$525,8,FALSE)</f>
        <v>#N/A</v>
      </c>
      <c r="P27" s="1369"/>
      <c r="Q27" s="1369"/>
      <c r="R27" s="1369"/>
      <c r="S27" s="698" t="e">
        <f t="shared" si="1"/>
        <v>#N/A</v>
      </c>
      <c r="T27" s="698"/>
      <c r="U27" s="698"/>
      <c r="V27" s="630">
        <f>+VLOOKUP(B27,'Consolidate TL'!$B$3:P462,12,FALSE)</f>
        <v>562.72</v>
      </c>
      <c r="W27" s="699">
        <v>0.01</v>
      </c>
      <c r="X27" s="801" t="e">
        <f t="shared" si="2"/>
        <v>#N/A</v>
      </c>
      <c r="Y27" s="1370" t="s">
        <v>708</v>
      </c>
      <c r="Z27" s="1474" t="s">
        <v>894</v>
      </c>
      <c r="AA27" s="1371">
        <v>549534</v>
      </c>
      <c r="AB27" s="700" t="s">
        <v>67</v>
      </c>
      <c r="AC27" s="700" t="s">
        <v>502</v>
      </c>
      <c r="AD27" s="1370" t="s">
        <v>709</v>
      </c>
      <c r="AE27" s="1372" t="s">
        <v>710</v>
      </c>
      <c r="AF27" s="919" t="s">
        <v>834</v>
      </c>
      <c r="AG27" s="1373" t="s">
        <v>504</v>
      </c>
      <c r="AH27" s="704" t="s">
        <v>326</v>
      </c>
      <c r="AI27" s="1127" t="str">
        <f>'Consolidate TL'!P29</f>
        <v>Monthly Amortization of USD1,060.00 until the facility is fully settled.</v>
      </c>
    </row>
    <row r="28" spans="1:35" s="1374" customFormat="1" ht="37.5" customHeight="1" thickBot="1">
      <c r="A28" s="595">
        <v>18</v>
      </c>
      <c r="B28" s="1401" t="s">
        <v>712</v>
      </c>
      <c r="C28" s="693" t="s">
        <v>503</v>
      </c>
      <c r="D28" s="693" t="s">
        <v>511</v>
      </c>
      <c r="E28" s="694" t="str">
        <f>+VLOOKUP(B28,'Consolidate TL'!$B$17:O248,2,FALSE)</f>
        <v>LD1526201658</v>
      </c>
      <c r="F28" s="1367">
        <f>+VLOOKUP(B28,'Consolidate TL'!$B$17:L248,9,FALSE)</f>
        <v>42226</v>
      </c>
      <c r="G28" s="1367">
        <f>+VLOOKUP(B28,'Consolidate TL'!$B$17:P249,10,FALSE)</f>
        <v>45879</v>
      </c>
      <c r="H28" s="695" t="str">
        <f t="shared" si="0"/>
        <v>120month,0days</v>
      </c>
      <c r="I28" s="696" t="s">
        <v>524</v>
      </c>
      <c r="J28" s="1368">
        <f>++VLOOKUP(B28,'Consolidate TL'!$B$17:L249,3,FALSE)</f>
        <v>9.5000000000000001E-2</v>
      </c>
      <c r="K28" s="697" t="s">
        <v>394</v>
      </c>
      <c r="L28" s="698">
        <f>+VLOOKUP(B28,'Consolidate TL'!$B$8:P1070,4,FALSE)</f>
        <v>170000</v>
      </c>
      <c r="M28" s="1369"/>
      <c r="N28" s="1369"/>
      <c r="O28" s="597">
        <f>+VLOOKUP(B28,'Consolidate TL'!$B$8:$S$525,8,FALSE)</f>
        <v>59828.93</v>
      </c>
      <c r="P28" s="1369"/>
      <c r="Q28" s="1369"/>
      <c r="R28" s="1369"/>
      <c r="S28" s="698">
        <f t="shared" si="1"/>
        <v>59828.93</v>
      </c>
      <c r="T28" s="698"/>
      <c r="U28" s="698"/>
      <c r="V28" s="630">
        <f>+VLOOKUP(B28,'Consolidate TL'!$B$3:P463,12,FALSE)</f>
        <v>535.87</v>
      </c>
      <c r="W28" s="699">
        <v>0.01</v>
      </c>
      <c r="X28" s="801">
        <f t="shared" si="2"/>
        <v>598.28930000000003</v>
      </c>
      <c r="Y28" s="1370" t="s">
        <v>716</v>
      </c>
      <c r="Z28" s="1433" t="s">
        <v>714</v>
      </c>
      <c r="AA28" s="1371">
        <v>298800</v>
      </c>
      <c r="AB28" s="700" t="s">
        <v>67</v>
      </c>
      <c r="AC28" s="700" t="s">
        <v>502</v>
      </c>
      <c r="AD28" s="1370" t="s">
        <v>715</v>
      </c>
      <c r="AE28" s="1372" t="s">
        <v>717</v>
      </c>
      <c r="AF28" s="919" t="s">
        <v>835</v>
      </c>
      <c r="AG28" s="1373" t="s">
        <v>504</v>
      </c>
      <c r="AH28" s="704" t="s">
        <v>386</v>
      </c>
      <c r="AI28" s="1127" t="str">
        <f>'Consolidate TL'!P30</f>
        <v>Monthly Amortization of USD2,200.00 until the facility is fully settled.</v>
      </c>
    </row>
    <row r="29" spans="1:35" s="1374" customFormat="1" ht="37.5" customHeight="1" thickBot="1">
      <c r="A29" s="595">
        <v>19</v>
      </c>
      <c r="B29" s="1401" t="s">
        <v>718</v>
      </c>
      <c r="C29" s="693" t="s">
        <v>503</v>
      </c>
      <c r="D29" s="693" t="s">
        <v>511</v>
      </c>
      <c r="E29" s="694" t="str">
        <f>+VLOOKUP(B29,'Consolidate TL'!$B$17:O249,2,FALSE)</f>
        <v>LD1526201660</v>
      </c>
      <c r="F29" s="1367">
        <f>+VLOOKUP(B29,'Consolidate TL'!$B$17:L249,9,FALSE)</f>
        <v>42244</v>
      </c>
      <c r="G29" s="1367">
        <f>+VLOOKUP(B29,'Consolidate TL'!$B$17:P250,10,FALSE)</f>
        <v>45897</v>
      </c>
      <c r="H29" s="695" t="str">
        <f t="shared" si="0"/>
        <v>120month,0days</v>
      </c>
      <c r="I29" s="696" t="s">
        <v>524</v>
      </c>
      <c r="J29" s="1368">
        <f>++VLOOKUP(B29,'Consolidate TL'!$B$17:L250,3,FALSE)</f>
        <v>0.11</v>
      </c>
      <c r="K29" s="697" t="s">
        <v>394</v>
      </c>
      <c r="L29" s="698">
        <f>+VLOOKUP(B29,'Consolidate TL'!$B$8:P1071,4,FALSE)</f>
        <v>40000</v>
      </c>
      <c r="M29" s="1369"/>
      <c r="N29" s="1369"/>
      <c r="O29" s="597">
        <f>+VLOOKUP(B29,'Consolidate TL'!$B$8:$S$525,8,FALSE)</f>
        <v>33955.26</v>
      </c>
      <c r="P29" s="1369"/>
      <c r="Q29" s="1369"/>
      <c r="R29" s="1369"/>
      <c r="S29" s="698">
        <f t="shared" si="1"/>
        <v>33955.26</v>
      </c>
      <c r="T29" s="698"/>
      <c r="U29" s="698"/>
      <c r="V29" s="630">
        <f>+VLOOKUP(B29,'Consolidate TL'!$B$3:P464,12,FALSE)</f>
        <v>334.66</v>
      </c>
      <c r="W29" s="699">
        <v>0.01</v>
      </c>
      <c r="X29" s="801">
        <f t="shared" si="2"/>
        <v>339.55260000000004</v>
      </c>
      <c r="Y29" s="1370" t="s">
        <v>720</v>
      </c>
      <c r="Z29" s="1433" t="s">
        <v>721</v>
      </c>
      <c r="AA29" s="1371">
        <v>85000</v>
      </c>
      <c r="AB29" s="700" t="s">
        <v>67</v>
      </c>
      <c r="AC29" s="700" t="s">
        <v>502</v>
      </c>
      <c r="AD29" s="1370" t="s">
        <v>720</v>
      </c>
      <c r="AE29" s="1372" t="s">
        <v>717</v>
      </c>
      <c r="AF29" s="919" t="s">
        <v>722</v>
      </c>
      <c r="AG29" s="1373" t="s">
        <v>504</v>
      </c>
      <c r="AH29" s="704" t="s">
        <v>386</v>
      </c>
      <c r="AI29" s="1127" t="str">
        <f>'Consolidate TL'!P31</f>
        <v>Monthly Amortization of USD555.00 until the facility is fully settled.</v>
      </c>
    </row>
    <row r="30" spans="1:35" s="1403" customFormat="1" ht="37.5" customHeight="1" thickBot="1">
      <c r="A30" s="595">
        <v>20</v>
      </c>
      <c r="B30" s="1401" t="s">
        <v>729</v>
      </c>
      <c r="C30" s="693" t="s">
        <v>503</v>
      </c>
      <c r="D30" s="693" t="s">
        <v>511</v>
      </c>
      <c r="E30" s="694" t="str">
        <f>+VLOOKUP(B30,'Consolidate TL'!$B$17:O253,2,FALSE)</f>
        <v>LD1526644233</v>
      </c>
      <c r="F30" s="1367">
        <f>+VLOOKUP(B30,'Consolidate TL'!$B$17:L253,9,FALSE)</f>
        <v>42270</v>
      </c>
      <c r="G30" s="1367">
        <f>+VLOOKUP(B30,'Consolidate TL'!$B$17:P254,10,FALSE)</f>
        <v>44827</v>
      </c>
      <c r="H30" s="695" t="str">
        <f t="shared" si="0"/>
        <v>84month,0days</v>
      </c>
      <c r="I30" s="696" t="s">
        <v>524</v>
      </c>
      <c r="J30" s="1368">
        <f>++VLOOKUP(B30,'Consolidate TL'!$B$17:L254,3,FALSE)</f>
        <v>0.13200000000000001</v>
      </c>
      <c r="K30" s="697" t="s">
        <v>394</v>
      </c>
      <c r="L30" s="698">
        <f>+VLOOKUP(B30,'Consolidate TL'!$B$8:P1075,4,FALSE)</f>
        <v>25000</v>
      </c>
      <c r="M30" s="801"/>
      <c r="N30" s="1369"/>
      <c r="O30" s="597">
        <f>+VLOOKUP(B30,'Consolidate TL'!$B$8:$S$525,8,FALSE)</f>
        <v>8617.7000000000007</v>
      </c>
      <c r="P30" s="1369"/>
      <c r="Q30" s="1369"/>
      <c r="R30" s="1369"/>
      <c r="S30" s="698">
        <f t="shared" si="1"/>
        <v>8617.7000000000007</v>
      </c>
      <c r="T30" s="698"/>
      <c r="U30" s="698"/>
      <c r="V30" s="630">
        <f>+VLOOKUP(B30,'Consolidate TL'!$B$3:P468,12,FALSE)</f>
        <v>35.369999999999997</v>
      </c>
      <c r="W30" s="699">
        <v>0.01</v>
      </c>
      <c r="X30" s="801">
        <f t="shared" si="2"/>
        <v>86.177000000000007</v>
      </c>
      <c r="Y30" s="1370" t="s">
        <v>731</v>
      </c>
      <c r="Z30" s="1476" t="s">
        <v>897</v>
      </c>
      <c r="AA30" s="1371">
        <v>48000</v>
      </c>
      <c r="AB30" s="700" t="s">
        <v>67</v>
      </c>
      <c r="AC30" s="700" t="s">
        <v>502</v>
      </c>
      <c r="AD30" s="1370" t="s">
        <v>731</v>
      </c>
      <c r="AE30" s="1372" t="s">
        <v>581</v>
      </c>
      <c r="AF30" s="919" t="s">
        <v>732</v>
      </c>
      <c r="AG30" s="1373" t="s">
        <v>504</v>
      </c>
      <c r="AH30" s="704" t="s">
        <v>386</v>
      </c>
      <c r="AI30" s="1127" t="s">
        <v>730</v>
      </c>
    </row>
    <row r="31" spans="1:35" s="1403" customFormat="1" ht="37.5" customHeight="1" thickBot="1">
      <c r="A31" s="595">
        <v>21</v>
      </c>
      <c r="B31" s="1401" t="s">
        <v>733</v>
      </c>
      <c r="C31" s="693" t="s">
        <v>503</v>
      </c>
      <c r="D31" s="693" t="s">
        <v>511</v>
      </c>
      <c r="E31" s="694" t="str">
        <f>+VLOOKUP(B31,'Consolidate TL'!$B$17:O255,2,FALSE)</f>
        <v>LD1526201664</v>
      </c>
      <c r="F31" s="1367">
        <f>+VLOOKUP(B31,'Consolidate TL'!$B$17:L255,9,FALSE)</f>
        <v>42258</v>
      </c>
      <c r="G31" s="1367">
        <f>+VLOOKUP(B31,'Consolidate TL'!$B$17:P256,10,FALSE)</f>
        <v>45911</v>
      </c>
      <c r="H31" s="695" t="str">
        <f t="shared" si="0"/>
        <v>120month,0days</v>
      </c>
      <c r="I31" s="696" t="s">
        <v>524</v>
      </c>
      <c r="J31" s="1368">
        <f>++VLOOKUP(B31,'Consolidate TL'!$B$17:L256,3,FALSE)</f>
        <v>0.11</v>
      </c>
      <c r="K31" s="697" t="s">
        <v>394</v>
      </c>
      <c r="L31" s="698">
        <f>+VLOOKUP(B31,'Consolidate TL'!$B$8:P1076,4,FALSE)</f>
        <v>35000</v>
      </c>
      <c r="M31" s="801"/>
      <c r="N31" s="1369"/>
      <c r="O31" s="597">
        <f>+VLOOKUP(B31,'Consolidate TL'!$B$8:$S$525,8,FALSE)</f>
        <v>21584.38</v>
      </c>
      <c r="P31" s="1369"/>
      <c r="Q31" s="1369"/>
      <c r="R31" s="1369"/>
      <c r="S31" s="698">
        <f t="shared" si="1"/>
        <v>21584.38</v>
      </c>
      <c r="T31" s="698"/>
      <c r="U31" s="698"/>
      <c r="V31" s="630">
        <f>+VLOOKUP(B31,'Consolidate TL'!$B$3:P470,12,FALSE)</f>
        <v>161.16999999999999</v>
      </c>
      <c r="W31" s="699">
        <v>0.01</v>
      </c>
      <c r="X31" s="801">
        <f t="shared" si="2"/>
        <v>215.84380000000002</v>
      </c>
      <c r="Y31" s="1370" t="s">
        <v>735</v>
      </c>
      <c r="Z31" s="1433" t="s">
        <v>736</v>
      </c>
      <c r="AA31" s="1371">
        <v>80000</v>
      </c>
      <c r="AB31" s="700" t="s">
        <v>67</v>
      </c>
      <c r="AC31" s="700" t="s">
        <v>502</v>
      </c>
      <c r="AD31" s="1370" t="s">
        <v>737</v>
      </c>
      <c r="AE31" s="1372" t="s">
        <v>581</v>
      </c>
      <c r="AF31" s="919" t="s">
        <v>738</v>
      </c>
      <c r="AG31" s="1373" t="s">
        <v>504</v>
      </c>
      <c r="AH31" s="704" t="s">
        <v>386</v>
      </c>
      <c r="AI31" s="1127" t="str">
        <f>'Consolidate TL'!P33</f>
        <v>Monthly Amortization of USD485.00 until the facility is fully settled.</v>
      </c>
    </row>
    <row r="32" spans="1:35" s="1403" customFormat="1" ht="37.5" customHeight="1" thickBot="1">
      <c r="A32" s="595">
        <v>22</v>
      </c>
      <c r="B32" s="1401" t="s">
        <v>739</v>
      </c>
      <c r="C32" s="693" t="s">
        <v>503</v>
      </c>
      <c r="D32" s="693" t="s">
        <v>511</v>
      </c>
      <c r="E32" s="694" t="str">
        <f>+VLOOKUP(B32,'Consolidate TL'!$B$17:O256,2,FALSE)</f>
        <v>LD1526201661</v>
      </c>
      <c r="F32" s="1367">
        <f>+VLOOKUP(B32,'Consolidate TL'!$B$17:L256,9,FALSE)</f>
        <v>42250</v>
      </c>
      <c r="G32" s="1367">
        <f>+VLOOKUP(B32,'Consolidate TL'!$B$17:P257,10,FALSE)</f>
        <v>44442</v>
      </c>
      <c r="H32" s="695" t="str">
        <f t="shared" si="0"/>
        <v>72month,0days</v>
      </c>
      <c r="I32" s="696" t="s">
        <v>524</v>
      </c>
      <c r="J32" s="1368">
        <f>++VLOOKUP(B32,'Consolidate TL'!$B$17:L257,3,FALSE)</f>
        <v>0.11</v>
      </c>
      <c r="K32" s="697" t="s">
        <v>394</v>
      </c>
      <c r="L32" s="698">
        <f>+VLOOKUP(B32,'Consolidate TL'!$B$8:P1077,4,FALSE)</f>
        <v>40000</v>
      </c>
      <c r="M32" s="801"/>
      <c r="N32" s="1369"/>
      <c r="O32" s="597">
        <f>+VLOOKUP(B32,'Consolidate TL'!$B$8:$S$525,8,FALSE)</f>
        <v>26999.31</v>
      </c>
      <c r="P32" s="1369"/>
      <c r="Q32" s="1369"/>
      <c r="R32" s="1369"/>
      <c r="S32" s="698">
        <f t="shared" si="1"/>
        <v>26999.31</v>
      </c>
      <c r="T32" s="698"/>
      <c r="U32" s="698"/>
      <c r="V32" s="630">
        <f>+VLOOKUP(B32,'Consolidate TL'!$B$3:P471,12,FALSE)</f>
        <v>265.60000000000002</v>
      </c>
      <c r="W32" s="699">
        <v>0.01</v>
      </c>
      <c r="X32" s="801">
        <f t="shared" si="2"/>
        <v>269.99310000000003</v>
      </c>
      <c r="Y32" s="1370" t="s">
        <v>743</v>
      </c>
      <c r="Z32" s="1433" t="s">
        <v>742</v>
      </c>
      <c r="AA32" s="1371">
        <v>103000</v>
      </c>
      <c r="AB32" s="700" t="s">
        <v>67</v>
      </c>
      <c r="AC32" s="700" t="s">
        <v>502</v>
      </c>
      <c r="AD32" s="1370" t="s">
        <v>741</v>
      </c>
      <c r="AE32" s="1372" t="s">
        <v>744</v>
      </c>
      <c r="AF32" s="919" t="s">
        <v>745</v>
      </c>
      <c r="AG32" s="1373" t="s">
        <v>504</v>
      </c>
      <c r="AH32" s="704" t="s">
        <v>374</v>
      </c>
      <c r="AI32" s="1127" t="str">
        <f>'Consolidate TL'!P34</f>
        <v>Monthly Amortization of USD765.00 until the facility is fully settled.</v>
      </c>
    </row>
    <row r="33" spans="1:37" s="1374" customFormat="1" ht="37.5" customHeight="1" thickBot="1">
      <c r="A33" s="595">
        <v>23</v>
      </c>
      <c r="B33" s="1401" t="s">
        <v>772</v>
      </c>
      <c r="C33" s="1417" t="s">
        <v>503</v>
      </c>
      <c r="D33" s="693" t="s">
        <v>511</v>
      </c>
      <c r="E33" s="694" t="str">
        <f>+VLOOKUP(B33,'Consolidate TL'!$B$17:O264,2,FALSE)</f>
        <v>LD1002400210</v>
      </c>
      <c r="F33" s="1367">
        <f>+VLOOKUP(B33,'Consolidate TL'!$B$17:L264,9,FALSE)</f>
        <v>42314</v>
      </c>
      <c r="G33" s="1367">
        <f>+VLOOKUP(B33,'Consolidate TL'!$B$17:P265,10,FALSE)</f>
        <v>45236</v>
      </c>
      <c r="H33" s="695" t="str">
        <f t="shared" si="0"/>
        <v>96month,0days</v>
      </c>
      <c r="I33" s="696" t="s">
        <v>524</v>
      </c>
      <c r="J33" s="1368">
        <f>++VLOOKUP(B33,'Consolidate TL'!$B$17:L265,3,FALSE)</f>
        <v>0.1</v>
      </c>
      <c r="K33" s="697" t="s">
        <v>394</v>
      </c>
      <c r="L33" s="698">
        <f>+VLOOKUP(B33,'Consolidate TL'!$B$8:P1085,4,FALSE)</f>
        <v>50000</v>
      </c>
      <c r="M33" s="801"/>
      <c r="N33" s="1369"/>
      <c r="O33" s="597">
        <f>+VLOOKUP(B33,'Consolidate TL'!$B$8:$S$525,8,FALSE)</f>
        <v>39681.32</v>
      </c>
      <c r="P33" s="1369"/>
      <c r="Q33" s="1369"/>
      <c r="R33" s="1369"/>
      <c r="S33" s="698">
        <f t="shared" si="1"/>
        <v>39681.32</v>
      </c>
      <c r="T33" s="698"/>
      <c r="U33" s="698"/>
      <c r="V33" s="630">
        <f>+VLOOKUP(B33,'Consolidate TL'!$B$3:P479,12,FALSE)</f>
        <v>304.55</v>
      </c>
      <c r="W33" s="699">
        <v>0.01</v>
      </c>
      <c r="X33" s="801">
        <f t="shared" si="2"/>
        <v>396.81319999999999</v>
      </c>
      <c r="Y33" s="1370" t="s">
        <v>773</v>
      </c>
      <c r="Z33" s="1436" t="s">
        <v>774</v>
      </c>
      <c r="AA33" s="1371">
        <v>95000</v>
      </c>
      <c r="AB33" s="700" t="s">
        <v>67</v>
      </c>
      <c r="AC33" s="700" t="s">
        <v>502</v>
      </c>
      <c r="AD33" s="1370" t="s">
        <v>775</v>
      </c>
      <c r="AE33" s="1372" t="s">
        <v>776</v>
      </c>
      <c r="AF33" s="919" t="s">
        <v>777</v>
      </c>
      <c r="AG33" s="1373" t="s">
        <v>504</v>
      </c>
      <c r="AH33" s="704" t="s">
        <v>386</v>
      </c>
      <c r="AI33" s="1127" t="str">
        <f>'Consolidate TL'!P35</f>
        <v>Monthly Amortization of USD765.00 until the facility is fully settled.</v>
      </c>
    </row>
    <row r="34" spans="1:37" s="1374" customFormat="1" ht="37.5" customHeight="1" thickBot="1">
      <c r="A34" s="595">
        <v>24</v>
      </c>
      <c r="B34" s="1401" t="s">
        <v>778</v>
      </c>
      <c r="C34" s="1417" t="s">
        <v>503</v>
      </c>
      <c r="D34" s="693" t="s">
        <v>511</v>
      </c>
      <c r="E34" s="694" t="str">
        <f>+VLOOKUP(B34,'Consolidate TL'!$B$17:O265,2,FALSE)</f>
        <v>LD1002300744</v>
      </c>
      <c r="F34" s="1367">
        <f>+VLOOKUP(B34,'Consolidate TL'!$B$17:L265,9,FALSE)</f>
        <v>42312</v>
      </c>
      <c r="G34" s="1367">
        <f>+VLOOKUP(B34,'Consolidate TL'!$B$17:P266,10,FALSE)</f>
        <v>43773</v>
      </c>
      <c r="H34" s="695" t="str">
        <f t="shared" si="0"/>
        <v>48month,0days</v>
      </c>
      <c r="I34" s="696" t="s">
        <v>524</v>
      </c>
      <c r="J34" s="1368">
        <f>++VLOOKUP(B34,'Consolidate TL'!$B$17:L266,3,FALSE)</f>
        <v>0.11</v>
      </c>
      <c r="K34" s="697" t="s">
        <v>394</v>
      </c>
      <c r="L34" s="698">
        <f>+VLOOKUP(B34,'Consolidate TL'!$B$8:P1086,4,FALSE)</f>
        <v>10000</v>
      </c>
      <c r="M34" s="801"/>
      <c r="N34" s="1369"/>
      <c r="O34" s="597">
        <f>+VLOOKUP(B34,'Consolidate TL'!$B$8:$S$525,8,FALSE)</f>
        <v>4903.12</v>
      </c>
      <c r="P34" s="1369"/>
      <c r="Q34" s="1369"/>
      <c r="R34" s="1369"/>
      <c r="S34" s="698">
        <f t="shared" si="1"/>
        <v>4903.12</v>
      </c>
      <c r="T34" s="698"/>
      <c r="U34" s="698"/>
      <c r="V34" s="630">
        <f>+VLOOKUP(B34,'Consolidate TL'!$B$3:P480,12,FALSE)</f>
        <v>52.59</v>
      </c>
      <c r="W34" s="699">
        <v>0.01</v>
      </c>
      <c r="X34" s="801">
        <f t="shared" si="2"/>
        <v>49.031199999999998</v>
      </c>
      <c r="Y34" s="1370" t="s">
        <v>780</v>
      </c>
      <c r="Z34" s="1436" t="s">
        <v>781</v>
      </c>
      <c r="AA34" s="1371">
        <v>70000</v>
      </c>
      <c r="AB34" s="700" t="s">
        <v>67</v>
      </c>
      <c r="AC34" s="700" t="s">
        <v>703</v>
      </c>
      <c r="AD34" s="1370" t="s">
        <v>782</v>
      </c>
      <c r="AE34" s="1372" t="s">
        <v>783</v>
      </c>
      <c r="AF34" s="919" t="s">
        <v>784</v>
      </c>
      <c r="AG34" s="1373" t="s">
        <v>504</v>
      </c>
      <c r="AH34" s="704" t="s">
        <v>374</v>
      </c>
      <c r="AI34" s="1127" t="str">
        <f>'Consolidate TL'!P36</f>
        <v>Monthly Amortization of USD260.00 until the facility is fully settled.</v>
      </c>
    </row>
    <row r="35" spans="1:37" s="1374" customFormat="1" ht="37.5" customHeight="1" thickBot="1">
      <c r="A35" s="595">
        <v>25</v>
      </c>
      <c r="B35" s="1401" t="s">
        <v>793</v>
      </c>
      <c r="C35" s="1417" t="s">
        <v>503</v>
      </c>
      <c r="D35" s="693" t="s">
        <v>511</v>
      </c>
      <c r="E35" s="694" t="str">
        <f>+VLOOKUP(B35,'Consolidate TL'!$B$17:O268,2,FALSE)</f>
        <v>LD1002400369</v>
      </c>
      <c r="F35" s="1367">
        <f>+VLOOKUP(B35,'Consolidate TL'!$B$17:L268,9,FALSE)</f>
        <v>42321</v>
      </c>
      <c r="G35" s="1367">
        <f>+VLOOKUP(B35,'Consolidate TL'!$B$17:P269,10,FALSE)</f>
        <v>44513</v>
      </c>
      <c r="H35" s="695" t="str">
        <f t="shared" si="0"/>
        <v>72month,0days</v>
      </c>
      <c r="I35" s="696" t="s">
        <v>524</v>
      </c>
      <c r="J35" s="1368">
        <f>++VLOOKUP(B35,'Consolidate TL'!$B$17:L269,3,FALSE)</f>
        <v>0.12</v>
      </c>
      <c r="K35" s="697" t="s">
        <v>394</v>
      </c>
      <c r="L35" s="698">
        <f>+VLOOKUP(B35,'Consolidate TL'!$B$8:P1089,4,FALSE)</f>
        <v>25000</v>
      </c>
      <c r="M35" s="801"/>
      <c r="N35" s="1369"/>
      <c r="O35" s="597">
        <f>+VLOOKUP(B35,'Consolidate TL'!$B$8:$S$525,8,FALSE)</f>
        <v>17553.759999999998</v>
      </c>
      <c r="P35" s="1369"/>
      <c r="Q35" s="1369"/>
      <c r="R35" s="1369"/>
      <c r="S35" s="698">
        <f t="shared" si="1"/>
        <v>17553.759999999998</v>
      </c>
      <c r="T35" s="698"/>
      <c r="U35" s="698"/>
      <c r="V35" s="630">
        <f>+VLOOKUP(B35,'Consolidate TL'!$B$3:P483,12,FALSE)</f>
        <v>122.75</v>
      </c>
      <c r="W35" s="699">
        <v>0.01</v>
      </c>
      <c r="X35" s="801">
        <f t="shared" si="2"/>
        <v>175.5376</v>
      </c>
      <c r="Y35" s="1370" t="s">
        <v>795</v>
      </c>
      <c r="Z35" s="1436" t="s">
        <v>796</v>
      </c>
      <c r="AA35" s="1371">
        <v>45000</v>
      </c>
      <c r="AB35" s="700" t="s">
        <v>67</v>
      </c>
      <c r="AC35" s="700" t="s">
        <v>502</v>
      </c>
      <c r="AD35" s="1370" t="s">
        <v>795</v>
      </c>
      <c r="AE35" s="1372" t="s">
        <v>792</v>
      </c>
      <c r="AF35" s="919" t="s">
        <v>797</v>
      </c>
      <c r="AG35" s="1373" t="s">
        <v>504</v>
      </c>
      <c r="AH35" s="704" t="s">
        <v>386</v>
      </c>
      <c r="AI35" s="1127" t="str">
        <f>'Consolidate TL'!P38</f>
        <v>Monthly Amortization of USD495.00 until the facility is fully settled.</v>
      </c>
    </row>
    <row r="36" spans="1:37" s="1374" customFormat="1" ht="37.5" customHeight="1" thickBot="1">
      <c r="A36" s="595">
        <v>26</v>
      </c>
      <c r="B36" s="1401" t="s">
        <v>798</v>
      </c>
      <c r="C36" s="1417" t="s">
        <v>503</v>
      </c>
      <c r="D36" s="693" t="s">
        <v>511</v>
      </c>
      <c r="E36" s="694" t="str">
        <f>+VLOOKUP(B36,'Consolidate TL'!$B$17:O269,2,FALSE)</f>
        <v>LD1002400258</v>
      </c>
      <c r="F36" s="1367">
        <f>+VLOOKUP(B36,'Consolidate TL'!$B$17:L269,9,FALSE)</f>
        <v>42314</v>
      </c>
      <c r="G36" s="1367">
        <f>+VLOOKUP(B36,'Consolidate TL'!$B$17:P270,10,FALSE)</f>
        <v>45236</v>
      </c>
      <c r="H36" s="695" t="str">
        <f t="shared" si="0"/>
        <v>96month,0days</v>
      </c>
      <c r="I36" s="696" t="s">
        <v>524</v>
      </c>
      <c r="J36" s="1368">
        <f>++VLOOKUP(B36,'Consolidate TL'!$B$17:L270,3,FALSE)</f>
        <v>0.11</v>
      </c>
      <c r="K36" s="697" t="s">
        <v>394</v>
      </c>
      <c r="L36" s="698">
        <f>+VLOOKUP(B36,'Consolidate TL'!$B$8:P1090,4,FALSE)</f>
        <v>100000</v>
      </c>
      <c r="M36" s="801"/>
      <c r="N36" s="1369"/>
      <c r="O36" s="597">
        <f>+VLOOKUP(B36,'Consolidate TL'!$B$8:$S$525,8,FALSE)</f>
        <v>80012.5</v>
      </c>
      <c r="P36" s="1369"/>
      <c r="Q36" s="1369"/>
      <c r="R36" s="1369"/>
      <c r="S36" s="698">
        <f t="shared" si="1"/>
        <v>80012.5</v>
      </c>
      <c r="T36" s="698"/>
      <c r="U36" s="698"/>
      <c r="V36" s="630">
        <f>+VLOOKUP(B36,'Consolidate TL'!$B$3:P484,12,FALSE)</f>
        <v>674.2</v>
      </c>
      <c r="W36" s="699">
        <v>0.01</v>
      </c>
      <c r="X36" s="801">
        <f t="shared" si="2"/>
        <v>800.125</v>
      </c>
      <c r="Y36" s="1370" t="s">
        <v>801</v>
      </c>
      <c r="Z36" s="1436" t="s">
        <v>802</v>
      </c>
      <c r="AA36" s="1371">
        <v>203260</v>
      </c>
      <c r="AB36" s="700" t="s">
        <v>67</v>
      </c>
      <c r="AC36" s="700" t="s">
        <v>502</v>
      </c>
      <c r="AD36" s="1370" t="s">
        <v>800</v>
      </c>
      <c r="AE36" s="1372" t="s">
        <v>803</v>
      </c>
      <c r="AF36" s="919" t="s">
        <v>804</v>
      </c>
      <c r="AG36" s="1373" t="s">
        <v>504</v>
      </c>
      <c r="AH36" s="704" t="s">
        <v>374</v>
      </c>
      <c r="AI36" s="1127" t="str">
        <f>'Consolidate TL'!P39</f>
        <v>Monthly Amortization of USD1,585.00 until the facility is fully settled.</v>
      </c>
    </row>
    <row r="37" spans="1:37" s="1403" customFormat="1" ht="37.5" customHeight="1" thickBot="1">
      <c r="A37" s="595">
        <v>27</v>
      </c>
      <c r="B37" s="1401" t="s">
        <v>810</v>
      </c>
      <c r="C37" s="1417" t="s">
        <v>503</v>
      </c>
      <c r="D37" s="693" t="s">
        <v>511</v>
      </c>
      <c r="E37" s="694" t="str">
        <f>+VLOOKUP(B37,'Consolidate TL'!$B$17:O271,2,FALSE)</f>
        <v>LD1002300883</v>
      </c>
      <c r="F37" s="1367">
        <f>+VLOOKUP(B37,'Consolidate TL'!$B$17:L271,9,FALSE)</f>
        <v>42339</v>
      </c>
      <c r="G37" s="1367">
        <f>+VLOOKUP(B37,'Consolidate TL'!$B$17:P272,10,FALSE)</f>
        <v>43800</v>
      </c>
      <c r="H37" s="695" t="str">
        <f t="shared" si="0"/>
        <v>48month,0days</v>
      </c>
      <c r="I37" s="696" t="s">
        <v>524</v>
      </c>
      <c r="J37" s="1368">
        <f>++VLOOKUP(B37,'Consolidate TL'!$B$17:L272,3,FALSE)</f>
        <v>0.12</v>
      </c>
      <c r="K37" s="697" t="s">
        <v>394</v>
      </c>
      <c r="L37" s="698">
        <f>+VLOOKUP(B37,'Consolidate TL'!$B$8:P1092,4,FALSE)</f>
        <v>15000</v>
      </c>
      <c r="M37" s="801"/>
      <c r="N37" s="1369"/>
      <c r="O37" s="597">
        <f>+VLOOKUP(B37,'Consolidate TL'!$B$8:$S$525,8,FALSE)</f>
        <v>3276.64</v>
      </c>
      <c r="P37" s="1369"/>
      <c r="Q37" s="1369"/>
      <c r="R37" s="1369"/>
      <c r="S37" s="698">
        <f t="shared" si="1"/>
        <v>3276.64</v>
      </c>
      <c r="T37" s="698"/>
      <c r="U37" s="698"/>
      <c r="V37" s="630">
        <f>+VLOOKUP(B37,'Consolidate TL'!$B$3:P486,12,FALSE)</f>
        <v>98.56</v>
      </c>
      <c r="W37" s="699">
        <v>0.01</v>
      </c>
      <c r="X37" s="801">
        <f t="shared" si="2"/>
        <v>32.766399999999997</v>
      </c>
      <c r="Y37" s="1370" t="s">
        <v>812</v>
      </c>
      <c r="Z37" s="1438" t="s">
        <v>813</v>
      </c>
      <c r="AA37" s="1371">
        <v>45000</v>
      </c>
      <c r="AB37" s="700" t="s">
        <v>67</v>
      </c>
      <c r="AC37" s="700" t="s">
        <v>502</v>
      </c>
      <c r="AD37" s="1370" t="s">
        <v>812</v>
      </c>
      <c r="AE37" s="1372" t="s">
        <v>814</v>
      </c>
      <c r="AF37" s="919" t="s">
        <v>815</v>
      </c>
      <c r="AG37" s="1373" t="s">
        <v>504</v>
      </c>
      <c r="AH37" s="704" t="s">
        <v>386</v>
      </c>
      <c r="AI37" s="1127" t="str">
        <f>'Consolidate TL'!P40</f>
        <v>Monthly Amortization of USD400.00 until the facility is fully settled.</v>
      </c>
    </row>
    <row r="38" spans="1:37" s="1403" customFormat="1" ht="37.5" customHeight="1" thickBot="1">
      <c r="A38" s="595">
        <v>28</v>
      </c>
      <c r="B38" s="1401" t="s">
        <v>816</v>
      </c>
      <c r="C38" s="1417" t="s">
        <v>503</v>
      </c>
      <c r="D38" s="693" t="s">
        <v>511</v>
      </c>
      <c r="E38" s="694" t="str">
        <f>+VLOOKUP(B38,'Consolidate TL'!$B$17:O272,2,FALSE)</f>
        <v>LD1002400758</v>
      </c>
      <c r="F38" s="1367">
        <f>+VLOOKUP(B38,'Consolidate TL'!$B$17:L272,9,FALSE)</f>
        <v>42349</v>
      </c>
      <c r="G38" s="1367">
        <f>+VLOOKUP(B38,'Consolidate TL'!$B$17:P273,10,FALSE)</f>
        <v>45271</v>
      </c>
      <c r="H38" s="695" t="str">
        <f t="shared" si="0"/>
        <v>96month,0days</v>
      </c>
      <c r="I38" s="696" t="s">
        <v>524</v>
      </c>
      <c r="J38" s="1368">
        <f>++VLOOKUP(B38,'Consolidate TL'!$B$17:L273,3,FALSE)</f>
        <v>0.12</v>
      </c>
      <c r="K38" s="697" t="s">
        <v>394</v>
      </c>
      <c r="L38" s="698">
        <f>+VLOOKUP(B38,'Consolidate TL'!$B$8:P1093,4,FALSE)</f>
        <v>30000</v>
      </c>
      <c r="M38" s="801"/>
      <c r="N38" s="1369"/>
      <c r="O38" s="597">
        <f>+VLOOKUP(B38,'Consolidate TL'!$B$8:$S$525,8,FALSE)</f>
        <v>24376.54</v>
      </c>
      <c r="P38" s="1369"/>
      <c r="Q38" s="1369"/>
      <c r="R38" s="1369"/>
      <c r="S38" s="698">
        <f t="shared" si="1"/>
        <v>24376.54</v>
      </c>
      <c r="T38" s="698"/>
      <c r="U38" s="698"/>
      <c r="V38" s="630">
        <f>+VLOOKUP(B38,'Consolidate TL'!$B$3:P487,12,FALSE)</f>
        <v>180.6</v>
      </c>
      <c r="W38" s="699">
        <v>0.01</v>
      </c>
      <c r="X38" s="801">
        <f t="shared" si="2"/>
        <v>243.7654</v>
      </c>
      <c r="Y38" s="1370" t="s">
        <v>817</v>
      </c>
      <c r="Z38" s="1438" t="s">
        <v>818</v>
      </c>
      <c r="AA38" s="1371">
        <v>55000</v>
      </c>
      <c r="AB38" s="700" t="s">
        <v>67</v>
      </c>
      <c r="AC38" s="700" t="s">
        <v>502</v>
      </c>
      <c r="AD38" s="1370" t="s">
        <v>817</v>
      </c>
      <c r="AE38" s="1372" t="s">
        <v>814</v>
      </c>
      <c r="AF38" s="919" t="s">
        <v>819</v>
      </c>
      <c r="AG38" s="1373" t="s">
        <v>504</v>
      </c>
      <c r="AH38" s="704" t="s">
        <v>386</v>
      </c>
      <c r="AI38" s="1127" t="str">
        <f>'Consolidate TL'!P41</f>
        <v>Monthly Amortization of USD495.00 until the facility is fully settled.</v>
      </c>
    </row>
    <row r="39" spans="1:37" s="1403" customFormat="1" ht="37.5" customHeight="1" thickBot="1">
      <c r="A39" s="595">
        <v>29</v>
      </c>
      <c r="B39" s="1401" t="s">
        <v>820</v>
      </c>
      <c r="C39" s="1417" t="s">
        <v>503</v>
      </c>
      <c r="D39" s="693" t="s">
        <v>511</v>
      </c>
      <c r="E39" s="694" t="str">
        <f>+VLOOKUP(B39,'Consolidate TL'!$B$17:O274,2,FALSE)</f>
        <v>LD1002400918</v>
      </c>
      <c r="F39" s="1367">
        <f>+VLOOKUP(B39,'Consolidate TL'!$B$17:L274,9,FALSE)</f>
        <v>42363</v>
      </c>
      <c r="G39" s="1367">
        <f>+VLOOKUP(B39,'Consolidate TL'!$B$17:P275,10,FALSE)</f>
        <v>45285</v>
      </c>
      <c r="H39" s="695" t="str">
        <f t="shared" si="0"/>
        <v>96month,0days</v>
      </c>
      <c r="I39" s="696" t="s">
        <v>524</v>
      </c>
      <c r="J39" s="1368">
        <f>++VLOOKUP(B39,'Consolidate TL'!$B$17:L275,3,FALSE)</f>
        <v>0.12</v>
      </c>
      <c r="K39" s="697" t="s">
        <v>394</v>
      </c>
      <c r="L39" s="698">
        <f>+VLOOKUP(B39,'Consolidate TL'!$B$8:P1095,4,FALSE)</f>
        <v>30000</v>
      </c>
      <c r="M39" s="801"/>
      <c r="N39" s="1369"/>
      <c r="O39" s="597">
        <f>+VLOOKUP(B39,'Consolidate TL'!$B$8:$S$525,8,FALSE)</f>
        <v>3871.86</v>
      </c>
      <c r="P39" s="1369"/>
      <c r="Q39" s="1369"/>
      <c r="R39" s="1369"/>
      <c r="S39" s="698">
        <f t="shared" si="1"/>
        <v>3871.86</v>
      </c>
      <c r="T39" s="698"/>
      <c r="U39" s="698"/>
      <c r="V39" s="630">
        <f>+VLOOKUP(B39,'Consolidate TL'!$B$3:P489,12,FALSE)</f>
        <v>65.38</v>
      </c>
      <c r="W39" s="699">
        <v>0.01</v>
      </c>
      <c r="X39" s="801">
        <f t="shared" si="2"/>
        <v>38.718600000000002</v>
      </c>
      <c r="Y39" s="1370" t="s">
        <v>822</v>
      </c>
      <c r="Z39" s="1508" t="s">
        <v>1062</v>
      </c>
      <c r="AA39" s="1371">
        <v>75000</v>
      </c>
      <c r="AB39" s="700" t="s">
        <v>67</v>
      </c>
      <c r="AC39" s="700" t="s">
        <v>502</v>
      </c>
      <c r="AD39" s="1370" t="s">
        <v>823</v>
      </c>
      <c r="AE39" s="1372" t="s">
        <v>814</v>
      </c>
      <c r="AF39" s="919" t="s">
        <v>838</v>
      </c>
      <c r="AG39" s="1373" t="s">
        <v>504</v>
      </c>
      <c r="AH39" s="704" t="s">
        <v>386</v>
      </c>
      <c r="AI39" s="1127" t="str">
        <f>'Consolidate TL'!P42</f>
        <v>Monthly Amortization of USD500.00 until the facility is fully settled.</v>
      </c>
    </row>
    <row r="40" spans="1:37" s="1374" customFormat="1" ht="37.5" customHeight="1" thickBot="1">
      <c r="A40" s="595">
        <v>30</v>
      </c>
      <c r="B40" s="1401" t="str">
        <f>'Consolidate TL'!B43</f>
        <v xml:space="preserve">Khim Ratana &amp; Md. Khim Namom </v>
      </c>
      <c r="C40" s="1417" t="s">
        <v>503</v>
      </c>
      <c r="D40" s="693" t="s">
        <v>511</v>
      </c>
      <c r="E40" s="694" t="str">
        <f>+VLOOKUP(B40,'Consolidate TL'!$B$17:O277,2,FALSE)</f>
        <v>LD1002500289</v>
      </c>
      <c r="F40" s="1367">
        <f>+VLOOKUP(B40,'Consolidate TL'!$B$17:L277,9,FALSE)</f>
        <v>42354</v>
      </c>
      <c r="G40" s="1367">
        <f>+VLOOKUP(B40,'Consolidate TL'!$B$17:P278,10,FALSE)</f>
        <v>44181</v>
      </c>
      <c r="H40" s="695" t="str">
        <f t="shared" si="0"/>
        <v>60month,0days</v>
      </c>
      <c r="I40" s="696" t="s">
        <v>524</v>
      </c>
      <c r="J40" s="1368">
        <f>++VLOOKUP(B40,'Consolidate TL'!$B$17:L278,3,FALSE)</f>
        <v>0.12</v>
      </c>
      <c r="K40" s="697" t="s">
        <v>394</v>
      </c>
      <c r="L40" s="698">
        <f>+VLOOKUP(B40,'Consolidate TL'!$B$8:P1098,4,FALSE)</f>
        <v>35000</v>
      </c>
      <c r="M40" s="801"/>
      <c r="N40" s="1369"/>
      <c r="O40" s="597">
        <f>+VLOOKUP(B40,'Consolidate TL'!$B$8:$S$525,8,FALSE)</f>
        <v>22303.98</v>
      </c>
      <c r="P40" s="1369"/>
      <c r="Q40" s="1369"/>
      <c r="R40" s="1369"/>
      <c r="S40" s="698">
        <f t="shared" si="1"/>
        <v>22303.98</v>
      </c>
      <c r="T40" s="698"/>
      <c r="U40" s="698"/>
      <c r="V40" s="630">
        <f>+VLOOKUP(B40,'Consolidate TL'!$B$3:P492,12,FALSE)</f>
        <v>127.66</v>
      </c>
      <c r="W40" s="699">
        <v>0.01</v>
      </c>
      <c r="X40" s="801">
        <f t="shared" si="2"/>
        <v>223.03980000000001</v>
      </c>
      <c r="Y40" s="1370" t="s">
        <v>827</v>
      </c>
      <c r="Z40" s="1477" t="s">
        <v>825</v>
      </c>
      <c r="AA40" s="1371">
        <v>70000</v>
      </c>
      <c r="AB40" s="700" t="s">
        <v>67</v>
      </c>
      <c r="AC40" s="700" t="s">
        <v>502</v>
      </c>
      <c r="AD40" s="1370" t="s">
        <v>824</v>
      </c>
      <c r="AE40" s="919" t="s">
        <v>814</v>
      </c>
      <c r="AF40" s="919" t="s">
        <v>826</v>
      </c>
      <c r="AG40" s="1373" t="s">
        <v>504</v>
      </c>
      <c r="AH40" s="704" t="s">
        <v>386</v>
      </c>
      <c r="AI40" s="1127" t="str">
        <f>'Consolidate TL'!P43</f>
        <v>Monthly Amortization of USD780.00 until the facility is fully settled.</v>
      </c>
    </row>
    <row r="41" spans="1:37" s="1374" customFormat="1" ht="37.5" customHeight="1" thickBot="1">
      <c r="A41" s="595">
        <v>31</v>
      </c>
      <c r="B41" s="1401" t="s">
        <v>836</v>
      </c>
      <c r="C41" s="1480" t="s">
        <v>503</v>
      </c>
      <c r="D41" s="693" t="s">
        <v>511</v>
      </c>
      <c r="E41" s="694" t="str">
        <f>+VLOOKUP(B41,'Consolidate TL'!$B$17:O278,2,FALSE)</f>
        <v>LD1002400866</v>
      </c>
      <c r="F41" s="1367">
        <f>+VLOOKUP(B41,'Consolidate TL'!$B$17:L278,9,FALSE)</f>
        <v>42381</v>
      </c>
      <c r="G41" s="1367">
        <f>+VLOOKUP(B41,'Consolidate TL'!$B$17:P279,10,FALSE)</f>
        <v>45303</v>
      </c>
      <c r="H41" s="695" t="str">
        <f t="shared" si="0"/>
        <v>96month,0days</v>
      </c>
      <c r="I41" s="696" t="s">
        <v>524</v>
      </c>
      <c r="J41" s="1368">
        <f>++VLOOKUP(B41,'Consolidate TL'!$B$17:L279,3,FALSE)</f>
        <v>0.11</v>
      </c>
      <c r="K41" s="697" t="s">
        <v>394</v>
      </c>
      <c r="L41" s="698">
        <f>+VLOOKUP(B41,'Consolidate TL'!$B$8:P1099,4,FALSE)</f>
        <v>40000</v>
      </c>
      <c r="M41" s="801"/>
      <c r="N41" s="1369"/>
      <c r="O41" s="597">
        <f>+VLOOKUP(B41,'Consolidate TL'!$B$8:$S$525,8,FALSE)</f>
        <v>32646.66</v>
      </c>
      <c r="P41" s="1369"/>
      <c r="Q41" s="1369"/>
      <c r="R41" s="1369"/>
      <c r="S41" s="698">
        <f t="shared" si="1"/>
        <v>32646.66</v>
      </c>
      <c r="T41" s="698"/>
      <c r="U41" s="698"/>
      <c r="V41" s="630">
        <f>+VLOOKUP(B41,'Consolidate TL'!$B$3:P493,12,FALSE)</f>
        <v>211.19</v>
      </c>
      <c r="W41" s="699">
        <v>0.01</v>
      </c>
      <c r="X41" s="801">
        <f t="shared" si="2"/>
        <v>326.46660000000003</v>
      </c>
      <c r="Y41" s="1370" t="s">
        <v>839</v>
      </c>
      <c r="Z41" s="1477" t="s">
        <v>840</v>
      </c>
      <c r="AA41" s="1371">
        <v>90000</v>
      </c>
      <c r="AB41" s="700" t="s">
        <v>67</v>
      </c>
      <c r="AC41" s="700" t="s">
        <v>502</v>
      </c>
      <c r="AD41" s="1370" t="s">
        <v>839</v>
      </c>
      <c r="AE41" s="919" t="s">
        <v>841</v>
      </c>
      <c r="AF41" s="919" t="s">
        <v>821</v>
      </c>
      <c r="AG41" s="1373" t="s">
        <v>504</v>
      </c>
      <c r="AH41" s="704" t="s">
        <v>342</v>
      </c>
      <c r="AI41" s="1127" t="str">
        <f>'Consolidate TL'!P44</f>
        <v>Monthly Amortization of USD635.00 until the facility is fully settled.</v>
      </c>
      <c r="AK41" s="1532"/>
    </row>
    <row r="42" spans="1:37" s="1374" customFormat="1" ht="37.5" customHeight="1" thickBot="1">
      <c r="A42" s="595">
        <v>32</v>
      </c>
      <c r="B42" s="1401" t="s">
        <v>842</v>
      </c>
      <c r="C42" s="1417" t="s">
        <v>503</v>
      </c>
      <c r="D42" s="693" t="s">
        <v>511</v>
      </c>
      <c r="E42" s="694" t="str">
        <f>+VLOOKUP(B42,'Consolidate TL'!$B$17:O279,2,FALSE)</f>
        <v>LD1002500605</v>
      </c>
      <c r="F42" s="1367">
        <f>+VLOOKUP(B42,'Consolidate TL'!$B$17:L279,9,FALSE)</f>
        <v>42371</v>
      </c>
      <c r="G42" s="1367">
        <f>+VLOOKUP(B42,'Consolidate TL'!$B$17:P280,10,FALSE)</f>
        <v>44928</v>
      </c>
      <c r="H42" s="695" t="str">
        <f t="shared" si="0"/>
        <v>84month,0days</v>
      </c>
      <c r="I42" s="696" t="s">
        <v>524</v>
      </c>
      <c r="J42" s="1368">
        <f>++VLOOKUP(B42,'Consolidate TL'!$B$17:L280,3,FALSE)</f>
        <v>0.13200000000000001</v>
      </c>
      <c r="K42" s="697" t="s">
        <v>394</v>
      </c>
      <c r="L42" s="698">
        <f>+VLOOKUP(B42,'Consolidate TL'!$B$8:P1100,4,FALSE)</f>
        <v>30000</v>
      </c>
      <c r="M42" s="801"/>
      <c r="N42" s="1369"/>
      <c r="O42" s="597">
        <f>+VLOOKUP(B42,'Consolidate TL'!$B$8:$S$525,8,FALSE)</f>
        <v>23699.74</v>
      </c>
      <c r="P42" s="1369"/>
      <c r="Q42" s="1369"/>
      <c r="R42" s="1369"/>
      <c r="S42" s="698">
        <f t="shared" si="1"/>
        <v>23699.74</v>
      </c>
      <c r="T42" s="698"/>
      <c r="U42" s="698"/>
      <c r="V42" s="630">
        <f>+VLOOKUP(B42,'Consolidate TL'!$B$3:P494,12,FALSE)</f>
        <v>279.01</v>
      </c>
      <c r="W42" s="699">
        <v>0.01</v>
      </c>
      <c r="X42" s="801">
        <f t="shared" ref="X42:X67" si="3">+S42*W42</f>
        <v>236.99740000000003</v>
      </c>
      <c r="Y42" s="1370" t="s">
        <v>843</v>
      </c>
      <c r="Z42" s="1477" t="s">
        <v>844</v>
      </c>
      <c r="AA42" s="1371">
        <v>70000</v>
      </c>
      <c r="AB42" s="700" t="s">
        <v>67</v>
      </c>
      <c r="AC42" s="700" t="s">
        <v>502</v>
      </c>
      <c r="AD42" s="1370" t="s">
        <v>843</v>
      </c>
      <c r="AE42" s="919" t="s">
        <v>845</v>
      </c>
      <c r="AF42" s="919" t="s">
        <v>846</v>
      </c>
      <c r="AG42" s="1373" t="s">
        <v>504</v>
      </c>
      <c r="AH42" s="704" t="s">
        <v>374</v>
      </c>
      <c r="AI42" s="1127" t="str">
        <f>'Consolidate TL'!P45</f>
        <v>Monthly Amortization of USD555.00 until the facility is fully settled.</v>
      </c>
    </row>
    <row r="43" spans="1:37" s="1374" customFormat="1" ht="37.5" customHeight="1" thickBot="1">
      <c r="A43" s="595">
        <v>33</v>
      </c>
      <c r="B43" s="1401" t="s">
        <v>847</v>
      </c>
      <c r="C43" s="1417" t="s">
        <v>503</v>
      </c>
      <c r="D43" s="693" t="s">
        <v>511</v>
      </c>
      <c r="E43" s="694" t="str">
        <f>+VLOOKUP(B43,'Consolidate TL'!$B$17:O280,2,FALSE)</f>
        <v>LD1002500825</v>
      </c>
      <c r="F43" s="1367">
        <f>+VLOOKUP(B43,'Consolidate TL'!$B$17:L280,9,FALSE)</f>
        <v>42377</v>
      </c>
      <c r="G43" s="1367">
        <f>+VLOOKUP(B43,'Consolidate TL'!$B$17:P281,10,FALSE)</f>
        <v>44204</v>
      </c>
      <c r="H43" s="695" t="str">
        <f t="shared" si="0"/>
        <v>60month,0days</v>
      </c>
      <c r="I43" s="696" t="s">
        <v>524</v>
      </c>
      <c r="J43" s="1368">
        <f>++VLOOKUP(B43,'Consolidate TL'!$B$17:L281,3,FALSE)</f>
        <v>0.12</v>
      </c>
      <c r="K43" s="697" t="s">
        <v>394</v>
      </c>
      <c r="L43" s="698">
        <f>+VLOOKUP(B43,'Consolidate TL'!$B$8:P1101,4,FALSE)</f>
        <v>15000</v>
      </c>
      <c r="M43" s="801"/>
      <c r="N43" s="1369"/>
      <c r="O43" s="597">
        <f>+VLOOKUP(B43,'Consolidate TL'!$B$8:$S$525,8,FALSE)</f>
        <v>9830.69</v>
      </c>
      <c r="P43" s="1369"/>
      <c r="Q43" s="1369"/>
      <c r="R43" s="1369"/>
      <c r="S43" s="698">
        <f t="shared" si="1"/>
        <v>9830.69</v>
      </c>
      <c r="T43" s="698"/>
      <c r="U43" s="698"/>
      <c r="V43" s="630">
        <f>+VLOOKUP(B43,'Consolidate TL'!$B$3:P495,12,FALSE)</f>
        <v>89.51</v>
      </c>
      <c r="W43" s="699">
        <v>0.01</v>
      </c>
      <c r="X43" s="801">
        <f t="shared" si="3"/>
        <v>98.306900000000013</v>
      </c>
      <c r="Y43" s="1370" t="s">
        <v>849</v>
      </c>
      <c r="Z43" s="1477" t="s">
        <v>850</v>
      </c>
      <c r="AA43" s="1371">
        <v>40000</v>
      </c>
      <c r="AB43" s="700" t="s">
        <v>67</v>
      </c>
      <c r="AC43" s="700" t="s">
        <v>703</v>
      </c>
      <c r="AD43" s="1370" t="s">
        <v>849</v>
      </c>
      <c r="AE43" s="919" t="s">
        <v>851</v>
      </c>
      <c r="AF43" s="919" t="s">
        <v>852</v>
      </c>
      <c r="AG43" s="1373" t="s">
        <v>504</v>
      </c>
      <c r="AH43" s="704" t="s">
        <v>374</v>
      </c>
      <c r="AI43" s="1127" t="str">
        <f>'Consolidate TL'!P46</f>
        <v>Monthly Amortization of USD335.00 until the facility is fully settled.</v>
      </c>
    </row>
    <row r="44" spans="1:37" s="1374" customFormat="1" ht="37.5" customHeight="1" thickBot="1">
      <c r="A44" s="595">
        <v>34</v>
      </c>
      <c r="B44" s="1401" t="s">
        <v>853</v>
      </c>
      <c r="C44" s="1417" t="s">
        <v>503</v>
      </c>
      <c r="D44" s="693" t="s">
        <v>511</v>
      </c>
      <c r="E44" s="694" t="str">
        <f>+VLOOKUP(B44,'Consolidate TL'!$B$17:O281,2,FALSE)</f>
        <v>LD1002600149</v>
      </c>
      <c r="F44" s="1367">
        <f>+VLOOKUP(B44,'Consolidate TL'!$B$17:L281,9,FALSE)</f>
        <v>42389</v>
      </c>
      <c r="G44" s="1367">
        <f>+VLOOKUP(B44,'Consolidate TL'!$B$17:P282,10,FALSE)</f>
        <v>45311</v>
      </c>
      <c r="H44" s="695" t="str">
        <f t="shared" si="0"/>
        <v>96month,0days</v>
      </c>
      <c r="I44" s="696" t="s">
        <v>524</v>
      </c>
      <c r="J44" s="1368">
        <f>++VLOOKUP(B44,'Consolidate TL'!$B$17:L282,3,FALSE)</f>
        <v>0.105</v>
      </c>
      <c r="K44" s="697" t="s">
        <v>394</v>
      </c>
      <c r="L44" s="698">
        <f>+VLOOKUP(B44,'Consolidate TL'!$B$8:P1102,4,FALSE)</f>
        <v>40000</v>
      </c>
      <c r="M44" s="801"/>
      <c r="N44" s="1369"/>
      <c r="O44" s="597">
        <f>+VLOOKUP(B44,'Consolidate TL'!$B$8:$S$525,8,FALSE)</f>
        <v>32352.75</v>
      </c>
      <c r="P44" s="1369"/>
      <c r="Q44" s="1369"/>
      <c r="R44" s="1369"/>
      <c r="S44" s="698">
        <f t="shared" si="1"/>
        <v>32352.75</v>
      </c>
      <c r="T44" s="698"/>
      <c r="U44" s="698"/>
      <c r="V44" s="630">
        <f>+VLOOKUP(B44,'Consolidate TL'!$B$3:P496,12,FALSE)</f>
        <v>120.17</v>
      </c>
      <c r="W44" s="699">
        <v>0.01</v>
      </c>
      <c r="X44" s="801">
        <f t="shared" si="3"/>
        <v>323.52750000000003</v>
      </c>
      <c r="Y44" s="1370" t="s">
        <v>855</v>
      </c>
      <c r="Z44" s="1477" t="s">
        <v>856</v>
      </c>
      <c r="AA44" s="1371">
        <v>85000</v>
      </c>
      <c r="AB44" s="700" t="s">
        <v>67</v>
      </c>
      <c r="AC44" s="700" t="s">
        <v>703</v>
      </c>
      <c r="AD44" s="1370" t="s">
        <v>855</v>
      </c>
      <c r="AE44" s="919" t="s">
        <v>857</v>
      </c>
      <c r="AF44" s="919" t="s">
        <v>858</v>
      </c>
      <c r="AG44" s="1373" t="s">
        <v>504</v>
      </c>
      <c r="AH44" s="704" t="s">
        <v>374</v>
      </c>
      <c r="AI44" s="1127" t="str">
        <f>'Consolidate TL'!P47</f>
        <v>Monthly Amortization of USD630.00 until the facility is fully settled.</v>
      </c>
    </row>
    <row r="45" spans="1:37" s="1374" customFormat="1" ht="37.5" customHeight="1" thickBot="1">
      <c r="A45" s="595">
        <v>35</v>
      </c>
      <c r="B45" s="1401" t="s">
        <v>859</v>
      </c>
      <c r="C45" s="1417" t="s">
        <v>503</v>
      </c>
      <c r="D45" s="693" t="s">
        <v>511</v>
      </c>
      <c r="E45" s="694" t="str">
        <f>+VLOOKUP(B45,'Consolidate TL'!$B$17:O282,2,FALSE)</f>
        <v>LD1002600273</v>
      </c>
      <c r="F45" s="1367">
        <f>+VLOOKUP(B45,'Consolidate TL'!$B$17:L282,9,FALSE)</f>
        <v>42391</v>
      </c>
      <c r="G45" s="1367">
        <f>+VLOOKUP(B45,'Consolidate TL'!$B$17:P283,10,FALSE)</f>
        <v>45313</v>
      </c>
      <c r="H45" s="695" t="str">
        <f t="shared" si="0"/>
        <v>96month,0days</v>
      </c>
      <c r="I45" s="696" t="s">
        <v>524</v>
      </c>
      <c r="J45" s="1368">
        <f>++VLOOKUP(B45,'Consolidate TL'!$B$17:L283,3,FALSE)</f>
        <v>0.12</v>
      </c>
      <c r="K45" s="697" t="s">
        <v>394</v>
      </c>
      <c r="L45" s="698">
        <f>+VLOOKUP(B45,'Consolidate TL'!$B$8:P1103,4,FALSE)</f>
        <v>45000</v>
      </c>
      <c r="M45" s="801"/>
      <c r="N45" s="1369"/>
      <c r="O45" s="597">
        <f>+VLOOKUP(B45,'Consolidate TL'!$B$8:$S$525,8,FALSE)</f>
        <v>36992.89</v>
      </c>
      <c r="P45" s="1369"/>
      <c r="Q45" s="1369"/>
      <c r="R45" s="1369"/>
      <c r="S45" s="698">
        <f t="shared" si="1"/>
        <v>36992.89</v>
      </c>
      <c r="T45" s="698"/>
      <c r="U45" s="698"/>
      <c r="V45" s="630">
        <f>+VLOOKUP(B45,'Consolidate TL'!$B$3:P497,12,FALSE)</f>
        <v>130.30000000000001</v>
      </c>
      <c r="W45" s="699">
        <v>0.01</v>
      </c>
      <c r="X45" s="801">
        <f t="shared" si="3"/>
        <v>369.9289</v>
      </c>
      <c r="Y45" s="1370" t="s">
        <v>861</v>
      </c>
      <c r="Z45" s="1477" t="s">
        <v>862</v>
      </c>
      <c r="AA45" s="1371">
        <v>80000</v>
      </c>
      <c r="AB45" s="700" t="s">
        <v>67</v>
      </c>
      <c r="AC45" s="700" t="s">
        <v>502</v>
      </c>
      <c r="AD45" s="1370" t="s">
        <v>861</v>
      </c>
      <c r="AE45" s="919" t="s">
        <v>864</v>
      </c>
      <c r="AF45" s="919" t="s">
        <v>863</v>
      </c>
      <c r="AG45" s="1373" t="s">
        <v>504</v>
      </c>
      <c r="AH45" s="704" t="s">
        <v>386</v>
      </c>
      <c r="AI45" s="1127" t="str">
        <f>'Consolidate TL'!P48</f>
        <v>Monthly Amortization of USD740.00 until the facility is fully settled.</v>
      </c>
    </row>
    <row r="46" spans="1:37" s="1374" customFormat="1" ht="37.5" customHeight="1" thickBot="1">
      <c r="A46" s="595">
        <v>37</v>
      </c>
      <c r="B46" s="1401" t="str">
        <f>'Consolidate TL'!B49</f>
        <v>Koy Sophea &amp; Kong Rattana</v>
      </c>
      <c r="C46" s="1417" t="s">
        <v>503</v>
      </c>
      <c r="D46" s="693" t="s">
        <v>511</v>
      </c>
      <c r="E46" s="694" t="str">
        <f>+VLOOKUP(B46,'Consolidate TL'!$B$17:O285,2,FALSE)</f>
        <v>LD1002500928</v>
      </c>
      <c r="F46" s="1367">
        <f>+VLOOKUP(B46,'Consolidate TL'!$B$17:L285,9,FALSE)</f>
        <v>42382</v>
      </c>
      <c r="G46" s="1367">
        <f>+VLOOKUP(B46,'Consolidate TL'!$B$17:P286,10,FALSE)</f>
        <v>46035</v>
      </c>
      <c r="H46" s="695" t="str">
        <f t="shared" si="0"/>
        <v>120month,0days</v>
      </c>
      <c r="I46" s="696" t="s">
        <v>524</v>
      </c>
      <c r="J46" s="1368">
        <f>++VLOOKUP(B46,'Consolidate TL'!$B$17:L286,3,FALSE)</f>
        <v>0.1</v>
      </c>
      <c r="K46" s="697" t="s">
        <v>394</v>
      </c>
      <c r="L46" s="698">
        <f>+VLOOKUP(B46,'Consolidate TL'!$B$8:P1106,4,FALSE)</f>
        <v>100000</v>
      </c>
      <c r="M46" s="801"/>
      <c r="N46" s="1369"/>
      <c r="O46" s="597">
        <f>+VLOOKUP(B46,'Consolidate TL'!$B$8:$S$525,8,FALSE)</f>
        <v>86599.43</v>
      </c>
      <c r="P46" s="1369"/>
      <c r="Q46" s="1369"/>
      <c r="R46" s="1369"/>
      <c r="S46" s="698">
        <f t="shared" si="1"/>
        <v>86599.43</v>
      </c>
      <c r="T46" s="698"/>
      <c r="U46" s="698"/>
      <c r="V46" s="630">
        <f>+VLOOKUP(B46,'Consolidate TL'!$B$3:P500,12,FALSE)</f>
        <v>475.26</v>
      </c>
      <c r="W46" s="699">
        <v>0.01</v>
      </c>
      <c r="X46" s="801">
        <f t="shared" si="3"/>
        <v>865.99429999999995</v>
      </c>
      <c r="Y46" s="1370" t="s">
        <v>866</v>
      </c>
      <c r="Z46" s="1477" t="s">
        <v>867</v>
      </c>
      <c r="AA46" s="1371">
        <v>369234</v>
      </c>
      <c r="AB46" s="700" t="s">
        <v>67</v>
      </c>
      <c r="AC46" s="700" t="s">
        <v>502</v>
      </c>
      <c r="AD46" s="1370" t="s">
        <v>868</v>
      </c>
      <c r="AE46" s="919" t="s">
        <v>864</v>
      </c>
      <c r="AF46" s="919" t="s">
        <v>869</v>
      </c>
      <c r="AG46" s="1373" t="s">
        <v>504</v>
      </c>
      <c r="AH46" s="704" t="s">
        <v>386</v>
      </c>
      <c r="AI46" s="1127" t="str">
        <f>'Consolidate TL'!P49</f>
        <v>Monthly Amortization amount (USD1,330) until the facility is fully settled</v>
      </c>
    </row>
    <row r="47" spans="1:37" s="1374" customFormat="1" ht="37.5" customHeight="1" thickBot="1">
      <c r="A47" s="595">
        <v>38</v>
      </c>
      <c r="B47" s="1401" t="s">
        <v>870</v>
      </c>
      <c r="C47" s="1417" t="s">
        <v>503</v>
      </c>
      <c r="D47" s="693" t="s">
        <v>511</v>
      </c>
      <c r="E47" s="694" t="str">
        <f>+VLOOKUP(B47,'Consolidate TL'!$B$17:O286,2,FALSE)</f>
        <v>LD1002600343</v>
      </c>
      <c r="F47" s="1367">
        <f>+VLOOKUP(B47,'Consolidate TL'!$B$17:L286,9,FALSE)</f>
        <v>42397</v>
      </c>
      <c r="G47" s="1367">
        <f>+VLOOKUP(B47,'Consolidate TL'!$B$17:P287,10,FALSE)</f>
        <v>44224</v>
      </c>
      <c r="H47" s="695" t="str">
        <f t="shared" si="0"/>
        <v>60month,0days</v>
      </c>
      <c r="I47" s="696" t="s">
        <v>524</v>
      </c>
      <c r="J47" s="1368">
        <f>++VLOOKUP(B47,'Consolidate TL'!$B$17:L287,3,FALSE)</f>
        <v>0.11</v>
      </c>
      <c r="K47" s="697" t="s">
        <v>394</v>
      </c>
      <c r="L47" s="698">
        <f>+VLOOKUP(B47,'Consolidate TL'!$B$8:P1107,4,FALSE)</f>
        <v>35000</v>
      </c>
      <c r="M47" s="801"/>
      <c r="N47" s="1369"/>
      <c r="O47" s="597">
        <f>+VLOOKUP(B47,'Consolidate TL'!$B$8:$S$525,8,FALSE)</f>
        <v>10048.709999999999</v>
      </c>
      <c r="P47" s="1369"/>
      <c r="Q47" s="1369"/>
      <c r="R47" s="1369"/>
      <c r="S47" s="698">
        <f t="shared" si="1"/>
        <v>10048.709999999999</v>
      </c>
      <c r="T47" s="698"/>
      <c r="U47" s="698"/>
      <c r="V47" s="630">
        <f>+VLOOKUP(B47,'Consolidate TL'!$B$3:P501,12,FALSE)</f>
        <v>17.12</v>
      </c>
      <c r="W47" s="699">
        <v>0.01</v>
      </c>
      <c r="X47" s="801">
        <f t="shared" si="3"/>
        <v>100.4871</v>
      </c>
      <c r="Y47" s="1370" t="s">
        <v>875</v>
      </c>
      <c r="Z47" s="1477" t="s">
        <v>876</v>
      </c>
      <c r="AA47" s="1371">
        <v>140000</v>
      </c>
      <c r="AB47" s="700" t="s">
        <v>67</v>
      </c>
      <c r="AC47" s="700" t="s">
        <v>502</v>
      </c>
      <c r="AD47" s="1370" t="s">
        <v>877</v>
      </c>
      <c r="AE47" s="919" t="s">
        <v>864</v>
      </c>
      <c r="AF47" s="919" t="s">
        <v>878</v>
      </c>
      <c r="AG47" s="1373" t="s">
        <v>504</v>
      </c>
      <c r="AH47" s="704" t="s">
        <v>386</v>
      </c>
      <c r="AI47" s="1127" t="str">
        <f>'Consolidate TL'!P50</f>
        <v>Monthly Amortization amount (USD 775) until the facility is fully settled</v>
      </c>
    </row>
    <row r="48" spans="1:37" s="1374" customFormat="1" ht="37.5" customHeight="1" thickBot="1">
      <c r="A48" s="595">
        <v>39</v>
      </c>
      <c r="B48" s="1401" t="s">
        <v>873</v>
      </c>
      <c r="C48" s="1417" t="s">
        <v>503</v>
      </c>
      <c r="D48" s="693" t="s">
        <v>511</v>
      </c>
      <c r="E48" s="694" t="str">
        <f>+VLOOKUP(B48,'Consolidate TL'!$B$17:O287,2,FALSE)</f>
        <v>LD1002600432</v>
      </c>
      <c r="F48" s="1367">
        <f>+VLOOKUP(B48,'Consolidate TL'!$B$17:L287,9,FALSE)</f>
        <v>42398</v>
      </c>
      <c r="G48" s="1367">
        <f>+VLOOKUP(B48,'Consolidate TL'!$B$17:P288,10,FALSE)</f>
        <v>43494</v>
      </c>
      <c r="H48" s="695" t="str">
        <f t="shared" si="0"/>
        <v>36month,0days</v>
      </c>
      <c r="I48" s="696" t="s">
        <v>524</v>
      </c>
      <c r="J48" s="1368">
        <f>++VLOOKUP(B48,'Consolidate TL'!$B$17:L288,3,FALSE)</f>
        <v>0.13200000000000001</v>
      </c>
      <c r="K48" s="697" t="s">
        <v>394</v>
      </c>
      <c r="L48" s="698">
        <f>+VLOOKUP(B48,'Consolidate TL'!$B$8:P1108,4,FALSE)</f>
        <v>10000</v>
      </c>
      <c r="M48" s="801"/>
      <c r="N48" s="1369"/>
      <c r="O48" s="597">
        <f>+VLOOKUP(B48,'Consolidate TL'!$B$8:$S$525,8,FALSE)</f>
        <v>3168.82</v>
      </c>
      <c r="P48" s="1369"/>
      <c r="Q48" s="1369"/>
      <c r="R48" s="1369"/>
      <c r="S48" s="698">
        <f t="shared" si="1"/>
        <v>3168.82</v>
      </c>
      <c r="T48" s="698"/>
      <c r="U48" s="698"/>
      <c r="V48" s="630">
        <f>+VLOOKUP(B48,'Consolidate TL'!$B$3:P502,12,FALSE)</f>
        <v>5.48</v>
      </c>
      <c r="W48" s="699">
        <v>0.01</v>
      </c>
      <c r="X48" s="801">
        <f t="shared" si="3"/>
        <v>31.688200000000002</v>
      </c>
      <c r="Y48" s="1370" t="s">
        <v>879</v>
      </c>
      <c r="Z48" s="1477" t="s">
        <v>898</v>
      </c>
      <c r="AA48" s="1371">
        <v>70000</v>
      </c>
      <c r="AB48" s="700" t="s">
        <v>67</v>
      </c>
      <c r="AC48" s="700" t="s">
        <v>502</v>
      </c>
      <c r="AD48" s="1370" t="s">
        <v>880</v>
      </c>
      <c r="AE48" s="919" t="s">
        <v>841</v>
      </c>
      <c r="AF48" s="919" t="s">
        <v>881</v>
      </c>
      <c r="AG48" s="1373" t="s">
        <v>504</v>
      </c>
      <c r="AH48" s="704" t="s">
        <v>358</v>
      </c>
      <c r="AI48" s="1127" t="str">
        <f>'Consolidate TL'!P51</f>
        <v>Monthly Amortization amount (USD 350) until the facility is fully settled</v>
      </c>
      <c r="AK48" s="1532"/>
    </row>
    <row r="49" spans="1:35" s="1374" customFormat="1" ht="37.5" customHeight="1" thickBot="1">
      <c r="A49" s="595">
        <v>41</v>
      </c>
      <c r="B49" s="1401" t="s">
        <v>900</v>
      </c>
      <c r="C49" s="1417" t="s">
        <v>503</v>
      </c>
      <c r="D49" s="693" t="s">
        <v>511</v>
      </c>
      <c r="E49" s="694" t="str">
        <f>+VLOOKUP(B49,'Consolidate TL'!$B$17:O293,2,FALSE)</f>
        <v>LD1002200873</v>
      </c>
      <c r="F49" s="1367">
        <f>+VLOOKUP(B49,'Consolidate TL'!$B$17:L293,9,FALSE)</f>
        <v>42415</v>
      </c>
      <c r="G49" s="1367">
        <f>+VLOOKUP(B49,'Consolidate TL'!$B$17:P294,10,FALSE)</f>
        <v>44972</v>
      </c>
      <c r="H49" s="695" t="str">
        <f t="shared" ref="H49:H84" si="4">(YEAR(G49)-YEAR(F49)-IF(OR(MONTH(G49)&lt;MONTH(F49),AND(MONTH(G49)=MONTH(F49),DAY(G49)&lt;DAY(F49))),1,0))*12+(MONTH(G49)-MONTH(F49)+IF(AND(MONTH(G49)&lt;=MONTH(F49),DAY(G49)&lt;DAY(F49)),11,IF(AND(MONTH(G49)&lt;MONTH(F49),DAY(G49)&gt;=DAY(F49)),12,IF(AND(MONTH(G49)&gt;MONTH(F49),DAY(G49)&lt;DAY(F49)),-1))))&amp;"month,"&amp;G49-DATE(YEAR(G49),MONTH(G49)-IF(DAY(G49)&lt;DAY(F49),1,0),DAY(F49))&amp;"days"</f>
        <v>84month,0days</v>
      </c>
      <c r="I49" s="696" t="s">
        <v>524</v>
      </c>
      <c r="J49" s="1368">
        <f>++VLOOKUP(B49,'Consolidate TL'!$B$17:L294,3,FALSE)</f>
        <v>0.1</v>
      </c>
      <c r="K49" s="697" t="s">
        <v>394</v>
      </c>
      <c r="L49" s="698">
        <f>+VLOOKUP(B49,'Consolidate TL'!$B$8:P1114,4,FALSE)</f>
        <v>20000</v>
      </c>
      <c r="M49" s="801"/>
      <c r="N49" s="1369"/>
      <c r="O49" s="597">
        <f>+VLOOKUP(B49,'Consolidate TL'!$B$8:$S$525,8,FALSE)</f>
        <v>15474.17</v>
      </c>
      <c r="P49" s="1369"/>
      <c r="Q49" s="1369"/>
      <c r="R49" s="1369"/>
      <c r="S49" s="698">
        <f t="shared" si="1"/>
        <v>15474.17</v>
      </c>
      <c r="T49" s="698"/>
      <c r="U49" s="698"/>
      <c r="V49" s="630">
        <f>+VLOOKUP(B49,'Consolidate TL'!$B$3:P508,12,FALSE)</f>
        <v>78.8</v>
      </c>
      <c r="W49" s="699">
        <v>0.01</v>
      </c>
      <c r="X49" s="801">
        <f t="shared" si="3"/>
        <v>154.74170000000001</v>
      </c>
      <c r="Y49" s="1370" t="s">
        <v>901</v>
      </c>
      <c r="Z49" s="1477" t="s">
        <v>902</v>
      </c>
      <c r="AA49" s="1371">
        <v>85000</v>
      </c>
      <c r="AB49" s="700" t="s">
        <v>67</v>
      </c>
      <c r="AC49" s="700" t="s">
        <v>502</v>
      </c>
      <c r="AD49" s="1370" t="s">
        <v>903</v>
      </c>
      <c r="AE49" s="919" t="s">
        <v>904</v>
      </c>
      <c r="AF49" s="919" t="s">
        <v>905</v>
      </c>
      <c r="AG49" s="1373" t="s">
        <v>504</v>
      </c>
      <c r="AH49" s="704" t="s">
        <v>374</v>
      </c>
      <c r="AI49" s="1127" t="str">
        <f>'Consolidate TL'!P52</f>
        <v>Monthly Amortization amount (USD 340) until the facility is fully settled</v>
      </c>
    </row>
    <row r="50" spans="1:35" s="1374" customFormat="1" ht="37.5" customHeight="1" thickBot="1">
      <c r="A50" s="595">
        <v>42</v>
      </c>
      <c r="B50" s="1401" t="s">
        <v>908</v>
      </c>
      <c r="C50" s="1417" t="s">
        <v>503</v>
      </c>
      <c r="D50" s="693" t="s">
        <v>511</v>
      </c>
      <c r="E50" s="694" t="str">
        <f>+VLOOKUP(B50,'Consolidate TL'!$B$17:O297,2,FALSE)</f>
        <v>LD1002700015</v>
      </c>
      <c r="F50" s="1367">
        <f>+VLOOKUP(B50,'Consolidate TL'!$B$17:L297,9,FALSE)</f>
        <v>42432</v>
      </c>
      <c r="G50" s="1367">
        <f>+VLOOKUP(B50,'Consolidate TL'!$B$17:P298,10,FALSE)</f>
        <v>45354</v>
      </c>
      <c r="H50" s="695" t="str">
        <f t="shared" si="4"/>
        <v>96month,0days</v>
      </c>
      <c r="I50" s="696" t="s">
        <v>524</v>
      </c>
      <c r="J50" s="1368">
        <f>++VLOOKUP(B50,'Consolidate TL'!$B$17:L298,3,FALSE)</f>
        <v>0.1</v>
      </c>
      <c r="K50" s="697" t="s">
        <v>394</v>
      </c>
      <c r="L50" s="698">
        <f>+VLOOKUP(B50,'Consolidate TL'!$B$8:P1118,4,FALSE)</f>
        <v>50000</v>
      </c>
      <c r="M50" s="801"/>
      <c r="N50" s="1369"/>
      <c r="O50" s="597">
        <f>+VLOOKUP(B50,'Consolidate TL'!$B$8:$S$525,8,FALSE)</f>
        <v>41250.85</v>
      </c>
      <c r="P50" s="1369"/>
      <c r="Q50" s="1369"/>
      <c r="R50" s="1369"/>
      <c r="S50" s="698">
        <f t="shared" si="1"/>
        <v>41250.85</v>
      </c>
      <c r="T50" s="698"/>
      <c r="U50" s="698"/>
      <c r="V50" s="630">
        <f>+VLOOKUP(B50,'Consolidate TL'!$B$3:P512,12,FALSE)</f>
        <v>351.94</v>
      </c>
      <c r="W50" s="699">
        <v>0.01</v>
      </c>
      <c r="X50" s="801">
        <f t="shared" si="3"/>
        <v>412.50849999999997</v>
      </c>
      <c r="Y50" s="1370" t="s">
        <v>913</v>
      </c>
      <c r="Z50" s="1494" t="s">
        <v>912</v>
      </c>
      <c r="AA50" s="1371">
        <v>125000</v>
      </c>
      <c r="AB50" s="700" t="s">
        <v>67</v>
      </c>
      <c r="AC50" s="700" t="s">
        <v>502</v>
      </c>
      <c r="AD50" s="1370" t="s">
        <v>914</v>
      </c>
      <c r="AE50" s="919" t="s">
        <v>904</v>
      </c>
      <c r="AF50" s="919" t="s">
        <v>915</v>
      </c>
      <c r="AG50" s="1373" t="s">
        <v>504</v>
      </c>
      <c r="AH50" s="704" t="s">
        <v>374</v>
      </c>
      <c r="AI50" s="1127" t="str">
        <f>'Consolidate TL'!P53</f>
        <v>Monthly Amortization amount (USD770)</v>
      </c>
    </row>
    <row r="51" spans="1:35" s="1374" customFormat="1" ht="37.5" customHeight="1" thickBot="1">
      <c r="A51" s="595">
        <v>44</v>
      </c>
      <c r="B51" s="1401" t="s">
        <v>910</v>
      </c>
      <c r="C51" s="1417" t="s">
        <v>503</v>
      </c>
      <c r="D51" s="693" t="s">
        <v>511</v>
      </c>
      <c r="E51" s="694" t="str">
        <f>+VLOOKUP(B51,'Consolidate TL'!$B$17:O299,2,FALSE)</f>
        <v>LD1002700282</v>
      </c>
      <c r="F51" s="1367">
        <f>+VLOOKUP(B51,'Consolidate TL'!$B$17:L299,9,FALSE)</f>
        <v>42436</v>
      </c>
      <c r="G51" s="1367">
        <f>+VLOOKUP(B51,'Consolidate TL'!$B$17:P300,10,FALSE)</f>
        <v>44262</v>
      </c>
      <c r="H51" s="695" t="str">
        <f t="shared" si="4"/>
        <v>60month,0days</v>
      </c>
      <c r="I51" s="696" t="s">
        <v>524</v>
      </c>
      <c r="J51" s="1368">
        <f>++VLOOKUP(B51,'Consolidate TL'!$B$17:L300,3,FALSE)</f>
        <v>0.11</v>
      </c>
      <c r="K51" s="697" t="s">
        <v>394</v>
      </c>
      <c r="L51" s="698">
        <f>+VLOOKUP(B51,'Consolidate TL'!$B$8:P1120,4,FALSE)</f>
        <v>20000</v>
      </c>
      <c r="M51" s="801"/>
      <c r="N51" s="1369"/>
      <c r="O51" s="597">
        <f>+VLOOKUP(B51,'Consolidate TL'!$B$8:$S$525,8,FALSE)</f>
        <v>13581.52</v>
      </c>
      <c r="P51" s="1369"/>
      <c r="Q51" s="1369"/>
      <c r="R51" s="1369"/>
      <c r="S51" s="698">
        <f t="shared" si="1"/>
        <v>13581.52</v>
      </c>
      <c r="T51" s="698"/>
      <c r="U51" s="698"/>
      <c r="V51" s="630">
        <f>+VLOOKUP(B51,'Consolidate TL'!$B$3:P514,12,FALSE)</f>
        <v>117.54</v>
      </c>
      <c r="W51" s="699">
        <v>0.01</v>
      </c>
      <c r="X51" s="801">
        <f t="shared" si="3"/>
        <v>135.8152</v>
      </c>
      <c r="Y51" s="1370" t="s">
        <v>916</v>
      </c>
      <c r="Z51" s="1477" t="s">
        <v>917</v>
      </c>
      <c r="AA51" s="1371">
        <v>100000</v>
      </c>
      <c r="AB51" s="700" t="s">
        <v>67</v>
      </c>
      <c r="AC51" s="700" t="s">
        <v>502</v>
      </c>
      <c r="AD51" s="1370" t="s">
        <v>918</v>
      </c>
      <c r="AE51" s="919" t="s">
        <v>906</v>
      </c>
      <c r="AF51" s="919" t="s">
        <v>919</v>
      </c>
      <c r="AG51" s="1373" t="s">
        <v>504</v>
      </c>
      <c r="AH51" s="1519" t="s">
        <v>374</v>
      </c>
      <c r="AI51" s="1127" t="str">
        <f>'Consolidate TL'!P54</f>
        <v>Monthly Amortization amount (USD438)</v>
      </c>
    </row>
    <row r="52" spans="1:35" s="1374" customFormat="1" ht="37.5" customHeight="1" thickBot="1">
      <c r="A52" s="595">
        <v>45</v>
      </c>
      <c r="B52" s="1401" t="s">
        <v>921</v>
      </c>
      <c r="C52" s="1417" t="s">
        <v>503</v>
      </c>
      <c r="D52" s="693" t="s">
        <v>511</v>
      </c>
      <c r="E52" s="694" t="str">
        <f>+VLOOKUP(B52,'Consolidate TL'!$B$17:O300,2,FALSE)</f>
        <v>LD1002700332</v>
      </c>
      <c r="F52" s="1367">
        <f>+VLOOKUP(B52,'Consolidate TL'!$B$17:L300,9,FALSE)</f>
        <v>42439</v>
      </c>
      <c r="G52" s="1367">
        <f>+VLOOKUP(B52,'Consolidate TL'!$B$17:P301,10,FALSE)</f>
        <v>44995</v>
      </c>
      <c r="H52" s="695" t="str">
        <f t="shared" si="4"/>
        <v>84month,0days</v>
      </c>
      <c r="I52" s="696" t="s">
        <v>524</v>
      </c>
      <c r="J52" s="1368">
        <f>++VLOOKUP(B52,'Consolidate TL'!$B$17:L301,3,FALSE)</f>
        <v>0.11</v>
      </c>
      <c r="K52" s="697" t="s">
        <v>394</v>
      </c>
      <c r="L52" s="698">
        <f>+VLOOKUP(B52,'Consolidate TL'!$B$8:P1121,4,FALSE)</f>
        <v>27000</v>
      </c>
      <c r="M52" s="801"/>
      <c r="N52" s="1369"/>
      <c r="O52" s="597">
        <f>+VLOOKUP(B52,'Consolidate TL'!$B$8:$S$525,8,FALSE)</f>
        <v>21551</v>
      </c>
      <c r="P52" s="1369"/>
      <c r="Q52" s="1369"/>
      <c r="R52" s="1369"/>
      <c r="S52" s="698">
        <f t="shared" si="1"/>
        <v>21551</v>
      </c>
      <c r="T52" s="698"/>
      <c r="U52" s="698"/>
      <c r="V52" s="630">
        <f>+VLOOKUP(B52,'Consolidate TL'!$B$3:P515,12,FALSE)</f>
        <v>155.13999999999999</v>
      </c>
      <c r="W52" s="699">
        <v>0.01</v>
      </c>
      <c r="X52" s="801">
        <f t="shared" si="3"/>
        <v>215.51</v>
      </c>
      <c r="Y52" s="1370" t="s">
        <v>922</v>
      </c>
      <c r="Z52" s="1477" t="s">
        <v>923</v>
      </c>
      <c r="AA52" s="1371">
        <v>55000</v>
      </c>
      <c r="AB52" s="700" t="s">
        <v>67</v>
      </c>
      <c r="AC52" s="700" t="s">
        <v>502</v>
      </c>
      <c r="AD52" s="1370" t="s">
        <v>924</v>
      </c>
      <c r="AE52" s="919" t="s">
        <v>925</v>
      </c>
      <c r="AF52" s="919" t="s">
        <v>926</v>
      </c>
      <c r="AG52" s="1373" t="s">
        <v>504</v>
      </c>
      <c r="AH52" s="704" t="s">
        <v>374</v>
      </c>
      <c r="AI52" s="1127" t="str">
        <f>'Consolidate TL'!P55</f>
        <v>Monthly Amortization amount (USD465)</v>
      </c>
    </row>
    <row r="53" spans="1:35" s="1374" customFormat="1" ht="37.5" customHeight="1" thickBot="1">
      <c r="A53" s="595">
        <v>46</v>
      </c>
      <c r="B53" s="1401" t="s">
        <v>929</v>
      </c>
      <c r="C53" s="1417" t="s">
        <v>503</v>
      </c>
      <c r="D53" s="693" t="s">
        <v>511</v>
      </c>
      <c r="E53" s="694" t="str">
        <f>+VLOOKUP(B53,'Consolidate TL'!$B$17:O303,2,FALSE)</f>
        <v>LD1002700581</v>
      </c>
      <c r="F53" s="1367">
        <f>+VLOOKUP(B53,'Consolidate TL'!$B$17:L303,9,FALSE)</f>
        <v>42451</v>
      </c>
      <c r="G53" s="1367">
        <f>+VLOOKUP(B53,'Consolidate TL'!$B$17:P304,10,FALSE)</f>
        <v>45007</v>
      </c>
      <c r="H53" s="695" t="str">
        <f t="shared" si="4"/>
        <v>84month,0days</v>
      </c>
      <c r="I53" s="696" t="s">
        <v>524</v>
      </c>
      <c r="J53" s="1368">
        <f>++VLOOKUP(B53,'Consolidate TL'!$B$17:L304,3,FALSE)</f>
        <v>0.11</v>
      </c>
      <c r="K53" s="697" t="s">
        <v>394</v>
      </c>
      <c r="L53" s="698">
        <f>+VLOOKUP(B53,'Consolidate TL'!$B$8:P1124,4,FALSE)</f>
        <v>40000</v>
      </c>
      <c r="M53" s="801"/>
      <c r="N53" s="1369"/>
      <c r="O53" s="597">
        <f>+VLOOKUP(B53,'Consolidate TL'!$B$8:$S$525,8,FALSE)</f>
        <v>6506.06</v>
      </c>
      <c r="P53" s="1369"/>
      <c r="Q53" s="1369"/>
      <c r="R53" s="1369"/>
      <c r="S53" s="698">
        <f t="shared" si="1"/>
        <v>6506.06</v>
      </c>
      <c r="T53" s="698"/>
      <c r="U53" s="698"/>
      <c r="V53" s="630">
        <f>+VLOOKUP(B53,'Consolidate TL'!$B$3:P518,12,FALSE)</f>
        <v>104.44</v>
      </c>
      <c r="W53" s="699">
        <v>0.01</v>
      </c>
      <c r="X53" s="801">
        <f t="shared" si="3"/>
        <v>65.060600000000008</v>
      </c>
      <c r="Y53" s="1370" t="s">
        <v>931</v>
      </c>
      <c r="Z53" s="1477" t="s">
        <v>932</v>
      </c>
      <c r="AA53" s="1371">
        <v>80000</v>
      </c>
      <c r="AB53" s="700" t="s">
        <v>67</v>
      </c>
      <c r="AC53" s="700" t="s">
        <v>502</v>
      </c>
      <c r="AD53" s="1370" t="s">
        <v>933</v>
      </c>
      <c r="AE53" s="919" t="s">
        <v>934</v>
      </c>
      <c r="AF53" s="919" t="s">
        <v>935</v>
      </c>
      <c r="AG53" s="1373" t="s">
        <v>504</v>
      </c>
      <c r="AH53" s="704" t="s">
        <v>386</v>
      </c>
      <c r="AI53" s="1127" t="str">
        <f>'Consolidate TL'!P56</f>
        <v>Monthly Amortization amount (USD690)</v>
      </c>
    </row>
    <row r="54" spans="1:35" s="1374" customFormat="1" ht="37.5" customHeight="1" thickBot="1">
      <c r="A54" s="595">
        <v>47</v>
      </c>
      <c r="B54" s="1479" t="s">
        <v>936</v>
      </c>
      <c r="C54" s="1417" t="s">
        <v>503</v>
      </c>
      <c r="D54" s="693" t="s">
        <v>511</v>
      </c>
      <c r="E54" s="694" t="str">
        <f>+VLOOKUP(B54,'Consolidate TL'!$B$17:O304,2,FALSE)</f>
        <v>LD1002200880</v>
      </c>
      <c r="F54" s="1367">
        <f>+VLOOKUP(B54,'Consolidate TL'!$B$17:L304,9,FALSE)</f>
        <v>42454</v>
      </c>
      <c r="G54" s="1367">
        <f>+VLOOKUP(B54,'Consolidate TL'!$B$17:P305,10,FALSE)</f>
        <v>47932</v>
      </c>
      <c r="H54" s="695" t="str">
        <f t="shared" si="4"/>
        <v>180month,0days</v>
      </c>
      <c r="I54" s="696" t="s">
        <v>524</v>
      </c>
      <c r="J54" s="1368">
        <f>++VLOOKUP(B54,'Consolidate TL'!$B$17:L305,3,FALSE)</f>
        <v>2.75E-2</v>
      </c>
      <c r="K54" s="697" t="s">
        <v>938</v>
      </c>
      <c r="L54" s="698">
        <f>+VLOOKUP(B54,'Consolidate TL'!$B$8:P1125,4,FALSE)</f>
        <v>50000</v>
      </c>
      <c r="M54" s="801"/>
      <c r="N54" s="1369">
        <f>VLOOKUP(B54,'Consolidate TL'!B17:I66,8,FALSE)</f>
        <v>43624.14</v>
      </c>
      <c r="O54" s="597"/>
      <c r="P54" s="1369"/>
      <c r="Q54" s="1369"/>
      <c r="R54" s="1369"/>
      <c r="S54" s="698">
        <f t="shared" si="1"/>
        <v>43624.14</v>
      </c>
      <c r="T54" s="698"/>
      <c r="U54" s="698"/>
      <c r="V54" s="630">
        <f>+VLOOKUP(B54,'Consolidate TL'!$B$3:P519,12,FALSE)</f>
        <v>24.23</v>
      </c>
      <c r="W54" s="699">
        <v>0.01</v>
      </c>
      <c r="X54" s="801">
        <f t="shared" si="3"/>
        <v>436.2414</v>
      </c>
      <c r="Y54" s="1370" t="s">
        <v>939</v>
      </c>
      <c r="Z54" s="1509" t="s">
        <v>1063</v>
      </c>
      <c r="AA54" s="1371">
        <v>65000</v>
      </c>
      <c r="AB54" s="700" t="s">
        <v>67</v>
      </c>
      <c r="AC54" s="700" t="s">
        <v>502</v>
      </c>
      <c r="AD54" s="1370" t="s">
        <v>940</v>
      </c>
      <c r="AE54" s="919" t="s">
        <v>864</v>
      </c>
      <c r="AF54" s="919" t="s">
        <v>941</v>
      </c>
      <c r="AG54" s="1373" t="s">
        <v>504</v>
      </c>
      <c r="AH54" s="704" t="s">
        <v>386</v>
      </c>
      <c r="AI54" s="1127" t="str">
        <f>'Consolidate TL'!P57</f>
        <v>Monthly Amortization amount (USD395)</v>
      </c>
    </row>
    <row r="55" spans="1:35" s="1374" customFormat="1" ht="37.5" customHeight="1" thickBot="1">
      <c r="A55" s="595">
        <v>48</v>
      </c>
      <c r="B55" s="1401" t="s">
        <v>943</v>
      </c>
      <c r="C55" s="1417" t="s">
        <v>503</v>
      </c>
      <c r="D55" s="693" t="s">
        <v>511</v>
      </c>
      <c r="E55" s="694" t="str">
        <f>+VLOOKUP(B55,'Consolidate TL'!$B$17:O307,2,FALSE)</f>
        <v>LD1002700350</v>
      </c>
      <c r="F55" s="1367">
        <f>+VLOOKUP(B55,'Consolidate TL'!$B$17:L306,9,FALSE)</f>
        <v>42459</v>
      </c>
      <c r="G55" s="1367">
        <f>+VLOOKUP(B55,'Consolidate TL'!$B$17:P307,10,FALSE)</f>
        <v>43554</v>
      </c>
      <c r="H55" s="695" t="str">
        <f t="shared" si="4"/>
        <v>36month,0days</v>
      </c>
      <c r="I55" s="696" t="s">
        <v>524</v>
      </c>
      <c r="J55" s="1368">
        <f>++VLOOKUP(B55,'Consolidate TL'!$B$17:L308,3,FALSE)</f>
        <v>0.12</v>
      </c>
      <c r="K55" s="697" t="s">
        <v>394</v>
      </c>
      <c r="L55" s="698">
        <f>+VLOOKUP(B55,'Consolidate TL'!$B$8:P1128,4,FALSE)</f>
        <v>10000</v>
      </c>
      <c r="M55" s="801"/>
      <c r="N55" s="1369"/>
      <c r="O55" s="597">
        <f>+VLOOKUP(B55,'Consolidate TL'!$B$8:$S$525,8,FALSE)</f>
        <v>3986.06</v>
      </c>
      <c r="P55" s="1369"/>
      <c r="Q55" s="1369"/>
      <c r="R55" s="1369"/>
      <c r="S55" s="698">
        <f t="shared" si="1"/>
        <v>3986.06</v>
      </c>
      <c r="T55" s="698"/>
      <c r="U55" s="698"/>
      <c r="V55" s="630">
        <f>+VLOOKUP(B55,'Consolidate TL'!$B$3:P522,12,FALSE)</f>
        <v>3.8</v>
      </c>
      <c r="W55" s="699">
        <v>0.01</v>
      </c>
      <c r="X55" s="801">
        <f t="shared" si="3"/>
        <v>39.860599999999998</v>
      </c>
      <c r="Y55" s="1370" t="s">
        <v>945</v>
      </c>
      <c r="Z55" s="1477" t="s">
        <v>946</v>
      </c>
      <c r="AA55" s="1371">
        <v>56000</v>
      </c>
      <c r="AB55" s="700" t="s">
        <v>67</v>
      </c>
      <c r="AC55" s="700" t="s">
        <v>502</v>
      </c>
      <c r="AD55" s="1370" t="s">
        <v>947</v>
      </c>
      <c r="AE55" s="919" t="s">
        <v>948</v>
      </c>
      <c r="AF55" s="919" t="s">
        <v>949</v>
      </c>
      <c r="AG55" s="1373" t="s">
        <v>504</v>
      </c>
      <c r="AH55" s="704" t="s">
        <v>358</v>
      </c>
      <c r="AI55" s="1127" t="str">
        <f>'Consolidate TL'!P58</f>
        <v>Monthly Amortization amount (USD335)</v>
      </c>
    </row>
    <row r="56" spans="1:35" s="1374" customFormat="1" ht="37.5" customHeight="1" thickBot="1">
      <c r="A56" s="595">
        <v>49</v>
      </c>
      <c r="B56" s="1401" t="s">
        <v>952</v>
      </c>
      <c r="C56" s="1417" t="s">
        <v>503</v>
      </c>
      <c r="D56" s="693" t="s">
        <v>511</v>
      </c>
      <c r="E56" s="694" t="str">
        <f>+VLOOKUP(B56,'Consolidate TL'!$B$17:O308,2,FALSE)</f>
        <v>LD1002200826</v>
      </c>
      <c r="F56" s="1367">
        <f>+VLOOKUP(B56,'Consolidate TL'!$B$17:L307,9,FALSE)</f>
        <v>42459</v>
      </c>
      <c r="G56" s="1367">
        <f>+VLOOKUP(B56,'Consolidate TL'!$B$17:P308,10,FALSE)</f>
        <v>43189</v>
      </c>
      <c r="H56" s="695" t="str">
        <f t="shared" si="4"/>
        <v>24month,0days</v>
      </c>
      <c r="I56" s="696" t="s">
        <v>524</v>
      </c>
      <c r="J56" s="1368">
        <f>++VLOOKUP(B56,'Consolidate TL'!$B$17:L309,3,FALSE)</f>
        <v>0.1</v>
      </c>
      <c r="K56" s="697" t="s">
        <v>394</v>
      </c>
      <c r="L56" s="698">
        <f>+VLOOKUP(B56,'Consolidate TL'!$B$8:P1129,4,FALSE)</f>
        <v>8000</v>
      </c>
      <c r="M56" s="801"/>
      <c r="N56" s="1369"/>
      <c r="O56" s="597">
        <f>+VLOOKUP(B56,'Consolidate TL'!$B$8:$S$525,8,FALSE)</f>
        <v>108.02</v>
      </c>
      <c r="P56" s="1369"/>
      <c r="Q56" s="1369"/>
      <c r="R56" s="1369"/>
      <c r="S56" s="698">
        <f t="shared" si="1"/>
        <v>108.02</v>
      </c>
      <c r="T56" s="698"/>
      <c r="U56" s="698"/>
      <c r="V56" s="630">
        <f>+VLOOKUP(B56,'Consolidate TL'!$B$3:P523,12,FALSE)</f>
        <v>1.29</v>
      </c>
      <c r="W56" s="699">
        <v>0.01</v>
      </c>
      <c r="X56" s="801">
        <f t="shared" si="3"/>
        <v>1.0802</v>
      </c>
      <c r="Y56" s="1370" t="s">
        <v>590</v>
      </c>
      <c r="Z56" s="1477" t="s">
        <v>653</v>
      </c>
      <c r="AA56" s="1371">
        <v>80000</v>
      </c>
      <c r="AB56" s="700" t="s">
        <v>67</v>
      </c>
      <c r="AC56" s="700" t="s">
        <v>502</v>
      </c>
      <c r="AD56" s="1370" t="s">
        <v>591</v>
      </c>
      <c r="AE56" s="919" t="s">
        <v>906</v>
      </c>
      <c r="AF56" s="919" t="s">
        <v>652</v>
      </c>
      <c r="AG56" s="1373" t="s">
        <v>504</v>
      </c>
      <c r="AH56" s="704" t="s">
        <v>386</v>
      </c>
      <c r="AI56" s="1127" t="str">
        <f>'Consolidate TL'!P59</f>
        <v>Monthly Amortization amount (USD380)</v>
      </c>
    </row>
    <row r="57" spans="1:35" s="1374" customFormat="1" ht="37.5" customHeight="1" thickBot="1">
      <c r="A57" s="595">
        <v>50</v>
      </c>
      <c r="B57" s="1401" t="s">
        <v>951</v>
      </c>
      <c r="C57" s="1417" t="s">
        <v>503</v>
      </c>
      <c r="D57" s="693" t="s">
        <v>511</v>
      </c>
      <c r="E57" s="694" t="str">
        <f>+VLOOKUP(B57,'Consolidate TL'!$B$17:O309,2,FALSE)</f>
        <v>LD1002700443</v>
      </c>
      <c r="F57" s="1367">
        <f>+VLOOKUP(B57,'Consolidate TL'!$B$17:L308,9,FALSE)</f>
        <v>42459</v>
      </c>
      <c r="G57" s="1367">
        <f>+VLOOKUP(B57,'Consolidate TL'!$B$17:P309,10,FALSE)</f>
        <v>44285</v>
      </c>
      <c r="H57" s="695" t="str">
        <f t="shared" si="4"/>
        <v>60month,0days</v>
      </c>
      <c r="I57" s="696" t="s">
        <v>524</v>
      </c>
      <c r="J57" s="1368">
        <f>++VLOOKUP(B57,'Consolidate TL'!$B$17:L310,3,FALSE)</f>
        <v>0.105</v>
      </c>
      <c r="K57" s="697" t="s">
        <v>394</v>
      </c>
      <c r="L57" s="698">
        <f>+VLOOKUP(B57,'Consolidate TL'!$B$8:P1130,4,FALSE)</f>
        <v>50000</v>
      </c>
      <c r="M57" s="801"/>
      <c r="N57" s="1369"/>
      <c r="O57" s="597">
        <f>+VLOOKUP(B57,'Consolidate TL'!$B$8:$S$525,8,FALSE)</f>
        <v>33421.97</v>
      </c>
      <c r="P57" s="1369"/>
      <c r="Q57" s="1369"/>
      <c r="R57" s="1369"/>
      <c r="S57" s="698">
        <f t="shared" si="1"/>
        <v>33421.97</v>
      </c>
      <c r="T57" s="698"/>
      <c r="U57" s="698"/>
      <c r="V57" s="630">
        <f>+VLOOKUP(B57,'Consolidate TL'!$B$3:P524,12,FALSE)</f>
        <v>22.16</v>
      </c>
      <c r="W57" s="699">
        <v>0.01</v>
      </c>
      <c r="X57" s="801">
        <f t="shared" si="3"/>
        <v>334.21970000000005</v>
      </c>
      <c r="Y57" s="1370" t="s">
        <v>953</v>
      </c>
      <c r="Z57" s="1494" t="s">
        <v>954</v>
      </c>
      <c r="AA57" s="1371">
        <v>102500</v>
      </c>
      <c r="AB57" s="700" t="s">
        <v>67</v>
      </c>
      <c r="AC57" s="700" t="s">
        <v>502</v>
      </c>
      <c r="AD57" s="1370" t="s">
        <v>955</v>
      </c>
      <c r="AE57" s="919" t="s">
        <v>956</v>
      </c>
      <c r="AF57" s="919" t="s">
        <v>957</v>
      </c>
      <c r="AG57" s="1373" t="s">
        <v>504</v>
      </c>
      <c r="AH57" s="704" t="s">
        <v>310</v>
      </c>
      <c r="AI57" s="1127" t="str">
        <f>'Consolidate TL'!P60</f>
        <v>Monthly Amortization amount (USD1,080)</v>
      </c>
    </row>
    <row r="58" spans="1:35" s="1374" customFormat="1" ht="37.5" customHeight="1" thickBot="1">
      <c r="A58" s="595">
        <v>51</v>
      </c>
      <c r="B58" s="1401" t="s">
        <v>964</v>
      </c>
      <c r="C58" s="1417" t="s">
        <v>503</v>
      </c>
      <c r="D58" s="693" t="s">
        <v>511</v>
      </c>
      <c r="E58" s="694" t="str">
        <f>+VLOOKUP(B58,'Consolidate TL'!$B$17:O311,2,FALSE)</f>
        <v>LD1000600513</v>
      </c>
      <c r="F58" s="1367">
        <f>+VLOOKUP(B58,'Consolidate TL'!$B$17:L310,9,FALSE)</f>
        <v>42465</v>
      </c>
      <c r="G58" s="1367">
        <f>+VLOOKUP(B58,'Consolidate TL'!$B$17:P311,10,FALSE)</f>
        <v>44291</v>
      </c>
      <c r="H58" s="695" t="str">
        <f t="shared" si="4"/>
        <v>60month,0days</v>
      </c>
      <c r="I58" s="696" t="s">
        <v>524</v>
      </c>
      <c r="J58" s="1368">
        <f>++VLOOKUP(B58,'Consolidate TL'!$B$17:L312,3,FALSE)</f>
        <v>0.1</v>
      </c>
      <c r="K58" s="697" t="s">
        <v>394</v>
      </c>
      <c r="L58" s="698">
        <f>+VLOOKUP(B58,'Consolidate TL'!$B$8:P1132,4,FALSE)</f>
        <v>20000</v>
      </c>
      <c r="M58" s="801"/>
      <c r="N58" s="1369"/>
      <c r="O58" s="597">
        <f>+VLOOKUP(B58,'Consolidate TL'!$B$8:$S$525,8,FALSE)</f>
        <v>13726.66</v>
      </c>
      <c r="P58" s="1369"/>
      <c r="Q58" s="1369"/>
      <c r="R58" s="1369"/>
      <c r="S58" s="698">
        <f t="shared" si="1"/>
        <v>13726.66</v>
      </c>
      <c r="T58" s="698"/>
      <c r="U58" s="698"/>
      <c r="V58" s="630">
        <f>+VLOOKUP(B58,'Consolidate TL'!$B$3:P526,12,FALSE)</f>
        <v>116.63</v>
      </c>
      <c r="W58" s="699">
        <v>0.01</v>
      </c>
      <c r="X58" s="801">
        <f t="shared" si="3"/>
        <v>137.26660000000001</v>
      </c>
      <c r="Y58" s="1370" t="s">
        <v>966</v>
      </c>
      <c r="Z58" s="1494" t="s">
        <v>967</v>
      </c>
      <c r="AA58" s="1371">
        <v>45000</v>
      </c>
      <c r="AB58" s="700" t="s">
        <v>67</v>
      </c>
      <c r="AC58" s="700" t="s">
        <v>502</v>
      </c>
      <c r="AD58" s="1370" t="s">
        <v>968</v>
      </c>
      <c r="AE58" s="919" t="s">
        <v>906</v>
      </c>
      <c r="AF58" s="919" t="s">
        <v>969</v>
      </c>
      <c r="AG58" s="1373" t="s">
        <v>504</v>
      </c>
      <c r="AH58" s="1519" t="s">
        <v>374</v>
      </c>
      <c r="AI58" s="1127" t="str">
        <f>'Consolidate TL'!P61</f>
        <v>Monthly Amortization amount (USD430)</v>
      </c>
    </row>
    <row r="59" spans="1:35" s="1374" customFormat="1" ht="37.5" customHeight="1" thickBot="1">
      <c r="A59" s="595">
        <v>53</v>
      </c>
      <c r="B59" s="1401" t="s">
        <v>970</v>
      </c>
      <c r="C59" s="1417" t="s">
        <v>503</v>
      </c>
      <c r="D59" s="693" t="s">
        <v>511</v>
      </c>
      <c r="E59" s="694" t="str">
        <f>+VLOOKUP(B59,'Consolidate TL'!$B$17:O313,2,FALSE)</f>
        <v>LD1002700834</v>
      </c>
      <c r="F59" s="1367">
        <f>+VLOOKUP(B59,'Consolidate TL'!$B$17:L312,9,FALSE)</f>
        <v>42480</v>
      </c>
      <c r="G59" s="1367">
        <f>+VLOOKUP(B59,'Consolidate TL'!$B$17:P313,10,FALSE)</f>
        <v>45402</v>
      </c>
      <c r="H59" s="695" t="str">
        <f t="shared" si="4"/>
        <v>96month,0days</v>
      </c>
      <c r="I59" s="696" t="s">
        <v>524</v>
      </c>
      <c r="J59" s="1368">
        <v>0.12</v>
      </c>
      <c r="K59" s="697" t="s">
        <v>394</v>
      </c>
      <c r="L59" s="698">
        <f>+VLOOKUP(B59,'Consolidate TL'!$B$8:P1134,4,FALSE)</f>
        <v>40000</v>
      </c>
      <c r="M59" s="801"/>
      <c r="N59" s="1369"/>
      <c r="O59" s="597">
        <f>+VLOOKUP(B59,'Consolidate TL'!$B$8:$S$525,8,FALSE)</f>
        <v>33787.129999999997</v>
      </c>
      <c r="P59" s="1369"/>
      <c r="Q59" s="1369"/>
      <c r="R59" s="1369"/>
      <c r="S59" s="698">
        <f t="shared" si="1"/>
        <v>33787.129999999997</v>
      </c>
      <c r="T59" s="698"/>
      <c r="U59" s="698"/>
      <c r="V59" s="630">
        <f>+VLOOKUP(B59,'Consolidate TL'!$B$3:P528,12,FALSE)</f>
        <v>142.44</v>
      </c>
      <c r="W59" s="699">
        <v>0.01</v>
      </c>
      <c r="X59" s="801">
        <f t="shared" si="3"/>
        <v>337.87129999999996</v>
      </c>
      <c r="Y59" s="1370" t="s">
        <v>972</v>
      </c>
      <c r="Z59" s="1510" t="s">
        <v>1064</v>
      </c>
      <c r="AA59" s="1371">
        <v>80000</v>
      </c>
      <c r="AB59" s="700" t="s">
        <v>67</v>
      </c>
      <c r="AC59" s="700" t="s">
        <v>502</v>
      </c>
      <c r="AD59" s="1370" t="s">
        <v>973</v>
      </c>
      <c r="AE59" s="919" t="s">
        <v>934</v>
      </c>
      <c r="AF59" s="919" t="s">
        <v>974</v>
      </c>
      <c r="AG59" s="1373" t="s">
        <v>504</v>
      </c>
      <c r="AH59" s="704" t="s">
        <v>386</v>
      </c>
      <c r="AI59" s="1127" t="str">
        <f>'Consolidate TL'!P62</f>
        <v>Monthly Amortization amount (USD660)</v>
      </c>
    </row>
    <row r="60" spans="1:35" s="1374" customFormat="1" ht="37.5" customHeight="1" thickBot="1">
      <c r="A60" s="595">
        <v>54</v>
      </c>
      <c r="B60" s="1401" t="s">
        <v>975</v>
      </c>
      <c r="C60" s="1417" t="s">
        <v>503</v>
      </c>
      <c r="D60" s="693" t="s">
        <v>511</v>
      </c>
      <c r="E60" s="694" t="str">
        <f>+VLOOKUP(B60,'Consolidate TL'!$B$17:O314,2,FALSE)</f>
        <v>LD1002200908</v>
      </c>
      <c r="F60" s="1367">
        <f>+VLOOKUP(B60,'Consolidate TL'!$B$17:L313,9,FALSE)</f>
        <v>42487</v>
      </c>
      <c r="G60" s="1367">
        <f>+VLOOKUP(B60,'Consolidate TL'!$B$17:P314,10,FALSE)</f>
        <v>44313</v>
      </c>
      <c r="H60" s="695" t="str">
        <f t="shared" si="4"/>
        <v>60month,0days</v>
      </c>
      <c r="I60" s="696" t="s">
        <v>524</v>
      </c>
      <c r="J60" s="1368">
        <f>++VLOOKUP(B60,'Consolidate TL'!$B$17:L315,3,FALSE)</f>
        <v>0.1</v>
      </c>
      <c r="K60" s="697" t="s">
        <v>394</v>
      </c>
      <c r="L60" s="698">
        <f>+VLOOKUP(B60,'Consolidate TL'!$B$8:P1135,4,FALSE)</f>
        <v>100000</v>
      </c>
      <c r="M60" s="801"/>
      <c r="N60" s="1369"/>
      <c r="O60" s="597">
        <f>+VLOOKUP(B60,'Consolidate TL'!$B$8:$S$525,8,FALSE)</f>
        <v>69066.649999999994</v>
      </c>
      <c r="P60" s="1369"/>
      <c r="Q60" s="1369"/>
      <c r="R60" s="1369"/>
      <c r="S60" s="698">
        <f t="shared" si="1"/>
        <v>69066.649999999994</v>
      </c>
      <c r="T60" s="698"/>
      <c r="U60" s="698"/>
      <c r="V60" s="630">
        <f>+VLOOKUP(B60,'Consolidate TL'!$B$3:P529,12,FALSE)</f>
        <v>108.42</v>
      </c>
      <c r="W60" s="699">
        <v>0.01</v>
      </c>
      <c r="X60" s="801">
        <f t="shared" si="3"/>
        <v>690.66649999999993</v>
      </c>
      <c r="Y60" s="1370" t="s">
        <v>977</v>
      </c>
      <c r="Z60" s="1494" t="s">
        <v>978</v>
      </c>
      <c r="AA60" s="1371">
        <v>365568</v>
      </c>
      <c r="AB60" s="700" t="s">
        <v>67</v>
      </c>
      <c r="AC60" s="700" t="s">
        <v>502</v>
      </c>
      <c r="AD60" s="1370" t="s">
        <v>979</v>
      </c>
      <c r="AE60" s="919" t="s">
        <v>980</v>
      </c>
      <c r="AF60" s="919" t="s">
        <v>981</v>
      </c>
      <c r="AG60" s="1373" t="s">
        <v>504</v>
      </c>
      <c r="AH60" s="704" t="s">
        <v>386</v>
      </c>
      <c r="AI60" s="1127" t="str">
        <f>'Consolidate TL'!P63</f>
        <v>Monthly Amortization amount (USD2,132)</v>
      </c>
    </row>
    <row r="61" spans="1:35" s="1374" customFormat="1" ht="37.5" customHeight="1" thickBot="1">
      <c r="A61" s="595">
        <v>55</v>
      </c>
      <c r="B61" s="1401" t="s">
        <v>983</v>
      </c>
      <c r="C61" s="1417" t="s">
        <v>503</v>
      </c>
      <c r="D61" s="693" t="s">
        <v>511</v>
      </c>
      <c r="E61" s="694" t="e">
        <f>+VLOOKUP(B61,'Consolidate TL'!$B$17:O316,2,FALSE)</f>
        <v>#N/A</v>
      </c>
      <c r="F61" s="1367" t="e">
        <f>+VLOOKUP(B61,'Consolidate TL'!$B$17:L315,9,FALSE)</f>
        <v>#N/A</v>
      </c>
      <c r="G61" s="1367" t="e">
        <f>+VLOOKUP(B61,'Consolidate TL'!$B$17:P316,10,FALSE)</f>
        <v>#N/A</v>
      </c>
      <c r="H61" s="695" t="e">
        <f t="shared" si="4"/>
        <v>#N/A</v>
      </c>
      <c r="I61" s="696" t="s">
        <v>524</v>
      </c>
      <c r="J61" s="1368" t="e">
        <f>++VLOOKUP(B61,'Consolidate TL'!$B$17:L317,3,FALSE)</f>
        <v>#N/A</v>
      </c>
      <c r="K61" s="697" t="s">
        <v>394</v>
      </c>
      <c r="L61" s="698" t="e">
        <f>+VLOOKUP(B61,'Consolidate TL'!$B$8:P1137,4,FALSE)</f>
        <v>#N/A</v>
      </c>
      <c r="M61" s="801"/>
      <c r="N61" s="1369"/>
      <c r="O61" s="597" t="e">
        <f>+VLOOKUP(B61,'Consolidate TL'!$B$8:$S$525,8,FALSE)</f>
        <v>#N/A</v>
      </c>
      <c r="P61" s="1369"/>
      <c r="Q61" s="1369"/>
      <c r="R61" s="1369"/>
      <c r="S61" s="698" t="e">
        <f t="shared" si="1"/>
        <v>#N/A</v>
      </c>
      <c r="T61" s="698"/>
      <c r="U61" s="698"/>
      <c r="V61" s="630" t="e">
        <f>+VLOOKUP(B61,'Consolidate TL'!$B$3:P531,12,FALSE)</f>
        <v>#N/A</v>
      </c>
      <c r="W61" s="699">
        <v>0.01</v>
      </c>
      <c r="X61" s="801" t="e">
        <f t="shared" si="3"/>
        <v>#N/A</v>
      </c>
      <c r="Y61" s="1370" t="s">
        <v>986</v>
      </c>
      <c r="Z61" s="1494" t="s">
        <v>987</v>
      </c>
      <c r="AA61" s="1371">
        <v>84900</v>
      </c>
      <c r="AB61" s="700" t="s">
        <v>67</v>
      </c>
      <c r="AC61" s="700" t="s">
        <v>502</v>
      </c>
      <c r="AD61" s="1370" t="s">
        <v>988</v>
      </c>
      <c r="AE61" s="919" t="s">
        <v>990</v>
      </c>
      <c r="AF61" s="919" t="s">
        <v>989</v>
      </c>
      <c r="AG61" s="1373" t="s">
        <v>504</v>
      </c>
      <c r="AH61" s="704" t="s">
        <v>386</v>
      </c>
      <c r="AI61" s="1127" t="e">
        <f>'Consolidate TL'!#REF!</f>
        <v>#REF!</v>
      </c>
    </row>
    <row r="62" spans="1:35" s="1374" customFormat="1" ht="45" customHeight="1" thickBot="1">
      <c r="A62" s="595">
        <v>56</v>
      </c>
      <c r="B62" s="1401" t="s">
        <v>1039</v>
      </c>
      <c r="C62" s="1417" t="s">
        <v>503</v>
      </c>
      <c r="D62" s="693" t="s">
        <v>511</v>
      </c>
      <c r="E62" s="694" t="str">
        <f>+VLOOKUP(B62,'Consolidate TL'!$B$17:O317,2,FALSE)</f>
        <v>LD1002700854</v>
      </c>
      <c r="F62" s="1367">
        <f>+VLOOKUP(B62,'Consolidate TL'!$B$17:L316,9,FALSE)</f>
        <v>42523</v>
      </c>
      <c r="G62" s="1367">
        <f>+VLOOKUP(B62,'Consolidate TL'!$B$17:P317,10,FALSE)</f>
        <v>45079</v>
      </c>
      <c r="H62" s="695" t="str">
        <f t="shared" si="4"/>
        <v>84month,0days</v>
      </c>
      <c r="I62" s="696" t="s">
        <v>524</v>
      </c>
      <c r="J62" s="1368">
        <f>++VLOOKUP(B62,'Consolidate TL'!$B$17:L318,3,FALSE)</f>
        <v>0.12</v>
      </c>
      <c r="K62" s="697" t="s">
        <v>394</v>
      </c>
      <c r="L62" s="698">
        <f>+VLOOKUP(B62,'Consolidate TL'!$B$8:P1138,4,FALSE)</f>
        <v>25000</v>
      </c>
      <c r="M62" s="801"/>
      <c r="N62" s="1369"/>
      <c r="O62" s="597">
        <f>+VLOOKUP(B62,'Consolidate TL'!$B$8:$S$525,8,FALSE)</f>
        <v>20679.509999999998</v>
      </c>
      <c r="P62" s="1369"/>
      <c r="Q62" s="1369"/>
      <c r="R62" s="1369"/>
      <c r="S62" s="698">
        <f t="shared" si="1"/>
        <v>20679.509999999998</v>
      </c>
      <c r="T62" s="698"/>
      <c r="U62" s="698"/>
      <c r="V62" s="630">
        <f>+VLOOKUP(B62,'Consolidate TL'!$B$3:P532,12,FALSE)</f>
        <v>220.61</v>
      </c>
      <c r="W62" s="699">
        <v>0.01</v>
      </c>
      <c r="X62" s="801">
        <f t="shared" si="3"/>
        <v>206.79509999999999</v>
      </c>
      <c r="Y62" s="1370" t="s">
        <v>1041</v>
      </c>
      <c r="Z62" s="1494" t="s">
        <v>1042</v>
      </c>
      <c r="AA62" s="1371">
        <v>56000</v>
      </c>
      <c r="AB62" s="700" t="s">
        <v>67</v>
      </c>
      <c r="AC62" s="700" t="s">
        <v>502</v>
      </c>
      <c r="AD62" s="1370" t="s">
        <v>1043</v>
      </c>
      <c r="AE62" s="919" t="s">
        <v>934</v>
      </c>
      <c r="AF62" s="919" t="s">
        <v>1044</v>
      </c>
      <c r="AG62" s="1373" t="s">
        <v>504</v>
      </c>
      <c r="AH62" s="704" t="s">
        <v>386</v>
      </c>
      <c r="AI62" s="1127" t="str">
        <f>'Consolidate TL'!P64</f>
        <v>Monthly Amortization amount (USD450)</v>
      </c>
    </row>
    <row r="63" spans="1:35" s="1374" customFormat="1" ht="45" customHeight="1" thickBot="1">
      <c r="A63" s="595">
        <v>57</v>
      </c>
      <c r="B63" s="1401" t="s">
        <v>1045</v>
      </c>
      <c r="C63" s="1417" t="s">
        <v>503</v>
      </c>
      <c r="D63" s="693" t="s">
        <v>511</v>
      </c>
      <c r="E63" s="694" t="str">
        <f>+VLOOKUP(B63,'Consolidate TL'!$B$17:O318,2,FALSE)</f>
        <v>LD1002200809</v>
      </c>
      <c r="F63" s="1367">
        <f>+VLOOKUP(B63,'Consolidate TL'!$B$17:L317,9,FALSE)</f>
        <v>42536</v>
      </c>
      <c r="G63" s="1367">
        <f>+VLOOKUP(B63,'Consolidate TL'!$B$17:P318,10,FALSE)</f>
        <v>44362</v>
      </c>
      <c r="H63" s="695" t="str">
        <f t="shared" si="4"/>
        <v>60month,0days</v>
      </c>
      <c r="I63" s="696" t="s">
        <v>524</v>
      </c>
      <c r="J63" s="1368">
        <f>++VLOOKUP(B63,'Consolidate TL'!$B$17:L319,3,FALSE)</f>
        <v>0.09</v>
      </c>
      <c r="K63" s="697" t="s">
        <v>394</v>
      </c>
      <c r="L63" s="698">
        <f>+VLOOKUP(B63,'Consolidate TL'!$B$8:P1139,4,FALSE)</f>
        <v>250000</v>
      </c>
      <c r="M63" s="801"/>
      <c r="N63" s="1369"/>
      <c r="O63" s="597">
        <f>+VLOOKUP(B63,'Consolidate TL'!$B$8:$S$525,8,FALSE)</f>
        <v>178986.3</v>
      </c>
      <c r="P63" s="1369"/>
      <c r="Q63" s="1369"/>
      <c r="R63" s="1369"/>
      <c r="S63" s="698">
        <f t="shared" si="1"/>
        <v>178986.3</v>
      </c>
      <c r="T63" s="698"/>
      <c r="U63" s="698"/>
      <c r="V63" s="630">
        <f>+VLOOKUP(B63,'Consolidate TL'!$B$3:P533,12,FALSE)</f>
        <v>855.89</v>
      </c>
      <c r="W63" s="699">
        <v>0.01</v>
      </c>
      <c r="X63" s="801">
        <f t="shared" si="3"/>
        <v>1789.8629999999998</v>
      </c>
      <c r="Y63" s="1370" t="s">
        <v>1049</v>
      </c>
      <c r="Z63" s="1494" t="s">
        <v>1057</v>
      </c>
      <c r="AA63" s="1371">
        <v>404640</v>
      </c>
      <c r="AB63" s="700" t="s">
        <v>67</v>
      </c>
      <c r="AC63" s="700" t="s">
        <v>502</v>
      </c>
      <c r="AD63" s="1370" t="s">
        <v>1048</v>
      </c>
      <c r="AE63" s="919" t="s">
        <v>864</v>
      </c>
      <c r="AF63" s="919" t="s">
        <v>1050</v>
      </c>
      <c r="AG63" s="1373" t="s">
        <v>504</v>
      </c>
      <c r="AH63" s="704" t="s">
        <v>386</v>
      </c>
      <c r="AI63" s="1127" t="str">
        <f>'Consolidate TL'!P65</f>
        <v>Monthly Amortization amount ( USD5,206)</v>
      </c>
    </row>
    <row r="64" spans="1:35" s="1374" customFormat="1" ht="45" customHeight="1" thickBot="1">
      <c r="A64" s="595">
        <v>58</v>
      </c>
      <c r="B64" s="1401" t="s">
        <v>1051</v>
      </c>
      <c r="C64" s="1417" t="s">
        <v>503</v>
      </c>
      <c r="D64" s="693" t="s">
        <v>511</v>
      </c>
      <c r="E64" s="694" t="str">
        <f>+VLOOKUP(B64,'Consolidate TL'!$B$17:O319,2,FALSE)</f>
        <v>LD1616530585</v>
      </c>
      <c r="F64" s="1367">
        <f>+VLOOKUP(B64,'Consolidate TL'!$B$17:L318,9,FALSE)</f>
        <v>42534</v>
      </c>
      <c r="G64" s="1367">
        <f>+VLOOKUP(B64,'Consolidate TL'!$B$17:P319,10,FALSE)</f>
        <v>46198</v>
      </c>
      <c r="H64" s="695" t="str">
        <f t="shared" si="4"/>
        <v>120month,12days</v>
      </c>
      <c r="I64" s="696" t="s">
        <v>524</v>
      </c>
      <c r="J64" s="1368">
        <f>++VLOOKUP(B64,'Consolidate TL'!$B$17:L320,3,FALSE)</f>
        <v>2.75E-2</v>
      </c>
      <c r="K64" s="697" t="s">
        <v>938</v>
      </c>
      <c r="L64" s="698">
        <f>+VLOOKUP(B64,'Consolidate TL'!$B$8:P1140,4,FALSE)</f>
        <v>30000</v>
      </c>
      <c r="M64" s="801"/>
      <c r="N64" s="1369">
        <f>VLOOKUP(B64,'Consolidate TL'!B22:I207,8,FALSE)</f>
        <v>25147.4</v>
      </c>
      <c r="O64" s="597"/>
      <c r="P64" s="1369"/>
      <c r="Q64" s="1369"/>
      <c r="R64" s="1369"/>
      <c r="S64" s="698">
        <f t="shared" si="1"/>
        <v>25147.4</v>
      </c>
      <c r="T64" s="698"/>
      <c r="U64" s="698"/>
      <c r="V64" s="630">
        <f>+VLOOKUP(B64,'Consolidate TL'!$B$3:P534,12,FALSE)</f>
        <v>14.23</v>
      </c>
      <c r="W64" s="699">
        <v>0.01</v>
      </c>
      <c r="X64" s="801">
        <f t="shared" si="3"/>
        <v>251.47400000000002</v>
      </c>
      <c r="Y64" s="1370" t="s">
        <v>1058</v>
      </c>
      <c r="Z64" s="1494" t="s">
        <v>1059</v>
      </c>
      <c r="AA64" s="1371">
        <v>38080</v>
      </c>
      <c r="AB64" s="700" t="s">
        <v>67</v>
      </c>
      <c r="AC64" s="700" t="s">
        <v>502</v>
      </c>
      <c r="AD64" s="1370" t="s">
        <v>1058</v>
      </c>
      <c r="AE64" s="919" t="s">
        <v>934</v>
      </c>
      <c r="AF64" s="919" t="s">
        <v>1060</v>
      </c>
      <c r="AG64" s="1373" t="s">
        <v>1061</v>
      </c>
      <c r="AH64" s="704" t="s">
        <v>386</v>
      </c>
      <c r="AI64" s="1127" t="str">
        <f>'Consolidate TL'!P66</f>
        <v>Monthly Amortization amount ( USD310)</v>
      </c>
    </row>
    <row r="65" spans="1:35" s="1374" customFormat="1" ht="45" customHeight="1" thickBot="1">
      <c r="A65" s="595">
        <v>59</v>
      </c>
      <c r="B65" s="1401" t="s">
        <v>1069</v>
      </c>
      <c r="C65" s="1417" t="s">
        <v>503</v>
      </c>
      <c r="D65" s="693" t="s">
        <v>511</v>
      </c>
      <c r="E65" s="694" t="str">
        <f>+VLOOKUP(B65,'Consolidate TL'!$B$17:O322,2,FALSE)</f>
        <v>LD1002900235</v>
      </c>
      <c r="F65" s="1367">
        <f>+VLOOKUP(B65,'Consolidate TL'!$B$17:L321,9,FALSE)</f>
        <v>42571</v>
      </c>
      <c r="G65" s="1367">
        <f>+VLOOKUP(B65,'Consolidate TL'!$B$17:P322,10,FALSE)</f>
        <v>46223</v>
      </c>
      <c r="H65" s="695" t="str">
        <f t="shared" si="4"/>
        <v>120month,0days</v>
      </c>
      <c r="I65" s="696" t="s">
        <v>524</v>
      </c>
      <c r="J65" s="1368">
        <f>++VLOOKUP(B65,'Consolidate TL'!$B$17:L323,3,FALSE)</f>
        <v>0.11</v>
      </c>
      <c r="K65" s="697" t="s">
        <v>394</v>
      </c>
      <c r="L65" s="698">
        <f>+VLOOKUP(B65,'Consolidate TL'!$B$8:P1143,4,FALSE)</f>
        <v>31000</v>
      </c>
      <c r="M65" s="801"/>
      <c r="N65" s="1369"/>
      <c r="O65" s="597">
        <f>+VLOOKUP(B65,'Consolidate TL'!$B$8:$S$525,8,FALSE)</f>
        <v>27982.98</v>
      </c>
      <c r="P65" s="1369"/>
      <c r="Q65" s="1369"/>
      <c r="R65" s="1369"/>
      <c r="S65" s="698">
        <f t="shared" ref="S65:S123" si="5">+SUM(M65:R65)</f>
        <v>27982.98</v>
      </c>
      <c r="T65" s="698"/>
      <c r="U65" s="698"/>
      <c r="V65" s="630">
        <f>+VLOOKUP(B65,'Consolidate TL'!$B$3:P536,12,FALSE)</f>
        <v>106.28</v>
      </c>
      <c r="W65" s="699">
        <v>0.01</v>
      </c>
      <c r="X65" s="801">
        <f t="shared" si="3"/>
        <v>279.82979999999998</v>
      </c>
      <c r="Y65" s="1370" t="s">
        <v>1075</v>
      </c>
      <c r="Z65" s="1494" t="s">
        <v>1084</v>
      </c>
      <c r="AA65" s="1371">
        <v>56416</v>
      </c>
      <c r="AB65" s="700" t="s">
        <v>67</v>
      </c>
      <c r="AC65" s="700" t="s">
        <v>502</v>
      </c>
      <c r="AD65" s="1370" t="s">
        <v>1075</v>
      </c>
      <c r="AE65" s="919" t="s">
        <v>723</v>
      </c>
      <c r="AF65" s="919" t="s">
        <v>1085</v>
      </c>
      <c r="AG65" s="1373" t="s">
        <v>1061</v>
      </c>
      <c r="AH65" s="704" t="s">
        <v>386</v>
      </c>
      <c r="AI65" s="1127" t="str">
        <f>'Consolidate TL'!P67</f>
        <v>Monthly Amortization amount ( USD435)</v>
      </c>
    </row>
    <row r="66" spans="1:35" s="1374" customFormat="1" ht="45" customHeight="1" thickBot="1">
      <c r="A66" s="595">
        <v>60</v>
      </c>
      <c r="B66" s="1401" t="s">
        <v>1070</v>
      </c>
      <c r="C66" s="1417" t="s">
        <v>503</v>
      </c>
      <c r="D66" s="693" t="s">
        <v>511</v>
      </c>
      <c r="E66" s="694" t="str">
        <f>+VLOOKUP(B66,'Consolidate TL'!$B$17:O323,2,FALSE)</f>
        <v>LD1002900286</v>
      </c>
      <c r="F66" s="1367">
        <f>+VLOOKUP(B66,'Consolidate TL'!$B$17:L322,9,FALSE)</f>
        <v>42573</v>
      </c>
      <c r="G66" s="1367">
        <f>+VLOOKUP(B66,'Consolidate TL'!$B$17:P323,10,FALSE)</f>
        <v>45495</v>
      </c>
      <c r="H66" s="695" t="str">
        <f t="shared" si="4"/>
        <v>96month,0days</v>
      </c>
      <c r="I66" s="696" t="s">
        <v>524</v>
      </c>
      <c r="J66" s="1368">
        <f>++VLOOKUP(B66,'Consolidate TL'!$B$17:L324,3,FALSE)</f>
        <v>0.105</v>
      </c>
      <c r="K66" s="697" t="s">
        <v>394</v>
      </c>
      <c r="L66" s="698">
        <f>+VLOOKUP(B66,'Consolidate TL'!$B$8:P1144,4,FALSE)</f>
        <v>40000</v>
      </c>
      <c r="M66" s="801"/>
      <c r="N66" s="1369"/>
      <c r="O66" s="597">
        <f>+VLOOKUP(B66,'Consolidate TL'!$B$8:$S$525,8,FALSE)</f>
        <v>34460.22</v>
      </c>
      <c r="P66" s="1369"/>
      <c r="Q66" s="1369"/>
      <c r="R66" s="1369"/>
      <c r="S66" s="698">
        <f t="shared" si="5"/>
        <v>34460.22</v>
      </c>
      <c r="T66" s="698"/>
      <c r="U66" s="698"/>
      <c r="V66" s="630">
        <f>+VLOOKUP(B66,'Consolidate TL'!$B$3:P537,12,FALSE)</f>
        <v>105.88</v>
      </c>
      <c r="W66" s="699">
        <v>0.01</v>
      </c>
      <c r="X66" s="801">
        <f t="shared" si="3"/>
        <v>344.60220000000004</v>
      </c>
      <c r="Y66" s="1370" t="s">
        <v>1076</v>
      </c>
      <c r="Z66" s="1516" t="s">
        <v>1077</v>
      </c>
      <c r="AA66" s="1371">
        <v>69552</v>
      </c>
      <c r="AB66" s="700" t="s">
        <v>67</v>
      </c>
      <c r="AC66" s="700" t="s">
        <v>502</v>
      </c>
      <c r="AD66" s="1370" t="s">
        <v>1078</v>
      </c>
      <c r="AE66" s="919" t="s">
        <v>723</v>
      </c>
      <c r="AF66" s="919" t="s">
        <v>1079</v>
      </c>
      <c r="AG66" s="1373" t="s">
        <v>504</v>
      </c>
      <c r="AH66" s="704" t="s">
        <v>386</v>
      </c>
      <c r="AI66" s="1127" t="str">
        <f>'Consolidate TL'!P68</f>
        <v>Monthly Amortization amount ( USD625)</v>
      </c>
    </row>
    <row r="67" spans="1:35" s="1374" customFormat="1" ht="45" customHeight="1" thickBot="1">
      <c r="A67" s="595">
        <v>61</v>
      </c>
      <c r="B67" s="1400" t="s">
        <v>1082</v>
      </c>
      <c r="C67" s="1480" t="s">
        <v>503</v>
      </c>
      <c r="D67" s="693" t="s">
        <v>511</v>
      </c>
      <c r="E67" s="694" t="str">
        <f>+VLOOKUP(B67,'Consolidate TL'!$B$17:O326,2,FALSE)</f>
        <v>LD1002900390</v>
      </c>
      <c r="F67" s="1367">
        <f>+VLOOKUP(B67,'Consolidate TL'!$B$17:L325,9,FALSE)</f>
        <v>42583</v>
      </c>
      <c r="G67" s="1367">
        <f>+VLOOKUP(B67,'Consolidate TL'!$B$17:P326,10,FALSE)</f>
        <v>45509</v>
      </c>
      <c r="H67" s="695" t="str">
        <f t="shared" si="4"/>
        <v>96month,4days</v>
      </c>
      <c r="I67" s="696" t="s">
        <v>524</v>
      </c>
      <c r="J67" s="1368">
        <f>++VLOOKUP(B67,'Consolidate TL'!$B$17:L327,3,FALSE)</f>
        <v>0.12</v>
      </c>
      <c r="K67" s="697" t="s">
        <v>394</v>
      </c>
      <c r="L67" s="698">
        <f>+VLOOKUP(B67,'Consolidate TL'!$B$8:P1147,4,FALSE)</f>
        <v>30000</v>
      </c>
      <c r="M67" s="801"/>
      <c r="N67" s="1369"/>
      <c r="O67" s="597">
        <f>+VLOOKUP(B67,'Consolidate TL'!$B$8:$S$525,8,FALSE)</f>
        <v>26313.8</v>
      </c>
      <c r="P67" s="1369"/>
      <c r="Q67" s="1369"/>
      <c r="R67" s="1369"/>
      <c r="S67" s="698">
        <f t="shared" si="5"/>
        <v>26313.8</v>
      </c>
      <c r="T67" s="698"/>
      <c r="U67" s="698"/>
      <c r="V67" s="630">
        <f>+VLOOKUP(B67,'Consolidate TL'!$B$3:P540,12,FALSE)</f>
        <v>248.61</v>
      </c>
      <c r="W67" s="699">
        <v>0.01</v>
      </c>
      <c r="X67" s="801">
        <f t="shared" si="3"/>
        <v>263.13799999999998</v>
      </c>
      <c r="Y67" s="1370" t="s">
        <v>1086</v>
      </c>
      <c r="Z67" s="1494" t="s">
        <v>1087</v>
      </c>
      <c r="AA67" s="1371">
        <v>64200</v>
      </c>
      <c r="AB67" s="700" t="s">
        <v>67</v>
      </c>
      <c r="AC67" s="700" t="s">
        <v>502</v>
      </c>
      <c r="AD67" s="1370" t="s">
        <v>1088</v>
      </c>
      <c r="AE67" s="919" t="s">
        <v>723</v>
      </c>
      <c r="AF67" s="919" t="s">
        <v>1089</v>
      </c>
      <c r="AG67" s="1373" t="s">
        <v>504</v>
      </c>
      <c r="AH67" s="704" t="s">
        <v>386</v>
      </c>
      <c r="AI67" s="1127" t="str">
        <f>'Consolidate TL'!P69</f>
        <v>Monthly Amortization amount ( USD495)</v>
      </c>
    </row>
    <row r="68" spans="1:35" s="1374" customFormat="1" ht="45" customHeight="1" thickBot="1">
      <c r="A68" s="595">
        <v>62</v>
      </c>
      <c r="B68" s="1400" t="s">
        <v>1090</v>
      </c>
      <c r="C68" s="1480" t="s">
        <v>503</v>
      </c>
      <c r="D68" s="693" t="s">
        <v>511</v>
      </c>
      <c r="E68" s="694" t="str">
        <f>+VLOOKUP(B68,'Consolidate TL'!$B$17:O327,2,FALSE)</f>
        <v>LD1002700471</v>
      </c>
      <c r="F68" s="1367">
        <f>+VLOOKUP(B68,'Consolidate TL'!$B$17:L326,9,FALSE)</f>
        <v>42587</v>
      </c>
      <c r="G68" s="1367">
        <f>+VLOOKUP(B68,'Consolidate TL'!$B$17:P327,10,FALSE)</f>
        <v>46239</v>
      </c>
      <c r="H68" s="695" t="str">
        <f t="shared" si="4"/>
        <v>120month,0days</v>
      </c>
      <c r="I68" s="696" t="s">
        <v>524</v>
      </c>
      <c r="J68" s="1368">
        <f>++VLOOKUP(B68,'Consolidate TL'!$B$17:L328,3,FALSE)</f>
        <v>0.1</v>
      </c>
      <c r="K68" s="697" t="s">
        <v>394</v>
      </c>
      <c r="L68" s="698">
        <f>+VLOOKUP(B68,'Consolidate TL'!$B$8:P1148,4,FALSE)</f>
        <v>100000</v>
      </c>
      <c r="M68" s="801"/>
      <c r="N68" s="1369"/>
      <c r="O68" s="597">
        <f>+VLOOKUP(B68,'Consolidate TL'!$B$8:$S$525,8,FALSE)</f>
        <v>84773.75</v>
      </c>
      <c r="P68" s="1369"/>
      <c r="Q68" s="1369"/>
      <c r="R68" s="1369"/>
      <c r="S68" s="698">
        <f t="shared" si="5"/>
        <v>84773.75</v>
      </c>
      <c r="T68" s="698"/>
      <c r="U68" s="698"/>
      <c r="V68" s="630">
        <f>+VLOOKUP(B68,'Consolidate TL'!$B$3:P541,12,FALSE)</f>
        <v>689.94</v>
      </c>
      <c r="W68" s="699">
        <v>0.01</v>
      </c>
      <c r="X68" s="801">
        <f t="shared" ref="X68:X97" si="6">+S68*W68</f>
        <v>847.73750000000007</v>
      </c>
      <c r="Y68" s="1370" t="s">
        <v>1093</v>
      </c>
      <c r="Z68" s="1494" t="s">
        <v>1094</v>
      </c>
      <c r="AA68" s="1371">
        <v>311627</v>
      </c>
      <c r="AB68" s="700" t="s">
        <v>67</v>
      </c>
      <c r="AC68" s="700" t="s">
        <v>502</v>
      </c>
      <c r="AD68" s="1370" t="s">
        <v>1095</v>
      </c>
      <c r="AE68" s="919" t="s">
        <v>723</v>
      </c>
      <c r="AF68" s="919" t="s">
        <v>1096</v>
      </c>
      <c r="AG68" s="1373" t="s">
        <v>504</v>
      </c>
      <c r="AH68" s="704" t="s">
        <v>386</v>
      </c>
      <c r="AI68" s="1127" t="str">
        <f>'Consolidate TL'!P70</f>
        <v>Monthly Amortization amount ( USD1,330)</v>
      </c>
    </row>
    <row r="69" spans="1:35" s="1374" customFormat="1" ht="45" customHeight="1" thickBot="1">
      <c r="A69" s="595">
        <v>63</v>
      </c>
      <c r="B69" s="1400" t="s">
        <v>1098</v>
      </c>
      <c r="C69" s="1480" t="s">
        <v>503</v>
      </c>
      <c r="D69" s="693" t="s">
        <v>511</v>
      </c>
      <c r="E69" s="694" t="str">
        <f>+VLOOKUP(B69,'Consolidate TL'!$B$17:O328,2,FALSE)</f>
        <v>LD1001000635</v>
      </c>
      <c r="F69" s="1367">
        <f>+VLOOKUP(B69,'Consolidate TL'!$B$17:L327,9,FALSE)</f>
        <v>42607</v>
      </c>
      <c r="G69" s="1367">
        <f>+VLOOKUP(B69,'Consolidate TL'!$B$17:P328,10,FALSE)</f>
        <v>46624</v>
      </c>
      <c r="H69" s="695" t="str">
        <f t="shared" si="4"/>
        <v>132month,0days</v>
      </c>
      <c r="I69" s="696" t="s">
        <v>524</v>
      </c>
      <c r="J69" s="1368">
        <f>++VLOOKUP(B69,'Consolidate TL'!$B$17:L329,3,FALSE)</f>
        <v>4.2500000000000003E-2</v>
      </c>
      <c r="K69" s="697" t="s">
        <v>938</v>
      </c>
      <c r="L69" s="698">
        <f>+VLOOKUP(B69,'Consolidate TL'!$B$8:P1149,4,FALSE)</f>
        <v>25000</v>
      </c>
      <c r="M69" s="801"/>
      <c r="N69" s="1369"/>
      <c r="O69" s="597">
        <f>+VLOOKUP(B69,'Consolidate TL'!$B$8:$S$525,8,FALSE)</f>
        <v>22453.67</v>
      </c>
      <c r="P69" s="1369"/>
      <c r="Q69" s="1369"/>
      <c r="R69" s="1369"/>
      <c r="S69" s="698">
        <f t="shared" si="5"/>
        <v>22453.67</v>
      </c>
      <c r="T69" s="698"/>
      <c r="U69" s="698"/>
      <c r="V69" s="630">
        <f>+VLOOKUP(B69,'Consolidate TL'!$B$3:P542,12,FALSE)</f>
        <v>38.32</v>
      </c>
      <c r="W69" s="699">
        <v>0.01</v>
      </c>
      <c r="X69" s="801">
        <f t="shared" si="6"/>
        <v>224.5367</v>
      </c>
      <c r="Y69" s="1370" t="s">
        <v>1101</v>
      </c>
      <c r="Z69" s="1494" t="s">
        <v>1102</v>
      </c>
      <c r="AA69" s="1371">
        <v>90240</v>
      </c>
      <c r="AB69" s="700" t="s">
        <v>67</v>
      </c>
      <c r="AC69" s="700" t="s">
        <v>502</v>
      </c>
      <c r="AD69" s="1370" t="s">
        <v>1101</v>
      </c>
      <c r="AE69" s="919" t="s">
        <v>1103</v>
      </c>
      <c r="AF69" s="919" t="s">
        <v>1104</v>
      </c>
      <c r="AG69" s="1373" t="s">
        <v>504</v>
      </c>
      <c r="AH69" s="704" t="s">
        <v>386</v>
      </c>
      <c r="AI69" s="1127" t="str">
        <f>'Consolidate TL'!P71</f>
        <v>Monthly Amortization amount ( USD250)</v>
      </c>
    </row>
    <row r="70" spans="1:35" s="1374" customFormat="1" ht="45" customHeight="1" thickBot="1">
      <c r="A70" s="595">
        <v>64</v>
      </c>
      <c r="B70" s="1400" t="s">
        <v>1105</v>
      </c>
      <c r="C70" s="1480" t="s">
        <v>503</v>
      </c>
      <c r="D70" s="693" t="s">
        <v>511</v>
      </c>
      <c r="E70" s="694" t="str">
        <f>+VLOOKUP(B70,'Consolidate TL'!$B$17:O329,2,FALSE)</f>
        <v>LD1622352943</v>
      </c>
      <c r="F70" s="1367">
        <f>+VLOOKUP(B70,'Consolidate TL'!$B$17:L328,9,FALSE)</f>
        <v>42592</v>
      </c>
      <c r="G70" s="1367">
        <f>+VLOOKUP(B70,'Consolidate TL'!$B$17:P329,10,FALSE)</f>
        <v>44426</v>
      </c>
      <c r="H70" s="695" t="str">
        <f t="shared" si="4"/>
        <v>60month,8days</v>
      </c>
      <c r="I70" s="696" t="s">
        <v>524</v>
      </c>
      <c r="J70" s="1368">
        <f>++VLOOKUP(B70,'Consolidate TL'!$B$17:L330,3,FALSE)</f>
        <v>9.5000000000000001E-2</v>
      </c>
      <c r="K70" s="697" t="s">
        <v>394</v>
      </c>
      <c r="L70" s="698">
        <f>+VLOOKUP(B70,'Consolidate TL'!$B$8:P1150,4,FALSE)</f>
        <v>150000</v>
      </c>
      <c r="M70" s="801"/>
      <c r="N70" s="1369"/>
      <c r="O70" s="597">
        <f>+VLOOKUP(B70,'Consolidate TL'!$B$8:$S$525,8,FALSE)</f>
        <v>111924.17</v>
      </c>
      <c r="P70" s="1369"/>
      <c r="Q70" s="1369"/>
      <c r="R70" s="1369"/>
      <c r="S70" s="698">
        <f t="shared" si="5"/>
        <v>111924.17</v>
      </c>
      <c r="T70" s="698"/>
      <c r="U70" s="698"/>
      <c r="V70" s="630">
        <f>+VLOOKUP(B70,'Consolidate TL'!$B$3:P543,12,FALSE)</f>
        <v>462.95</v>
      </c>
      <c r="W70" s="699">
        <v>0.01</v>
      </c>
      <c r="X70" s="801">
        <f t="shared" si="6"/>
        <v>1119.2417</v>
      </c>
      <c r="Y70" s="1370" t="s">
        <v>1108</v>
      </c>
      <c r="Z70" s="1494">
        <v>4341</v>
      </c>
      <c r="AA70" s="1371">
        <v>282638.40000000002</v>
      </c>
      <c r="AB70" s="700" t="s">
        <v>67</v>
      </c>
      <c r="AC70" s="700" t="s">
        <v>502</v>
      </c>
      <c r="AD70" s="1370" t="s">
        <v>1108</v>
      </c>
      <c r="AE70" s="919" t="s">
        <v>1109</v>
      </c>
      <c r="AF70" s="919" t="s">
        <v>1110</v>
      </c>
      <c r="AG70" s="1373" t="s">
        <v>504</v>
      </c>
      <c r="AH70" s="704" t="s">
        <v>374</v>
      </c>
      <c r="AI70" s="1127" t="str">
        <f>'Consolidate TL'!P72</f>
        <v>Monthly Amortization amount ( USD3200)</v>
      </c>
    </row>
    <row r="71" spans="1:35" s="1374" customFormat="1" ht="45" customHeight="1" thickBot="1">
      <c r="A71" s="595">
        <v>65</v>
      </c>
      <c r="B71" s="1400" t="s">
        <v>1113</v>
      </c>
      <c r="C71" s="1480" t="s">
        <v>503</v>
      </c>
      <c r="D71" s="693" t="s">
        <v>511</v>
      </c>
      <c r="E71" s="694" t="str">
        <f>+VLOOKUP(B71,'Consolidate TL'!$B$17:O331,2,FALSE)</f>
        <v>LD1625790130</v>
      </c>
      <c r="F71" s="1367">
        <f>+VLOOKUP(B71,'Consolidate TL'!$B$17:L330,9,FALSE)</f>
        <v>42626</v>
      </c>
      <c r="G71" s="1367">
        <f>+VLOOKUP(B71,'Consolidate TL'!$B$17:P331,10,FALSE)</f>
        <v>45182</v>
      </c>
      <c r="H71" s="695" t="str">
        <f t="shared" si="4"/>
        <v>84month,0days</v>
      </c>
      <c r="I71" s="696" t="s">
        <v>524</v>
      </c>
      <c r="J71" s="1368">
        <f>++VLOOKUP(B71,'Consolidate TL'!$B$17:L332,3,FALSE)</f>
        <v>0.1</v>
      </c>
      <c r="K71" s="697" t="s">
        <v>394</v>
      </c>
      <c r="L71" s="698">
        <f>+VLOOKUP(B71,'Consolidate TL'!$B$8:P1152,4,FALSE)</f>
        <v>37000</v>
      </c>
      <c r="M71" s="801"/>
      <c r="N71" s="1369"/>
      <c r="O71" s="597">
        <f>+VLOOKUP(B71,'Consolidate TL'!$B$8:$S$525,8,FALSE)</f>
        <v>31346.14</v>
      </c>
      <c r="P71" s="1369"/>
      <c r="Q71" s="1369"/>
      <c r="R71" s="1369"/>
      <c r="S71" s="698">
        <f t="shared" si="5"/>
        <v>31346.14</v>
      </c>
      <c r="T71" s="698"/>
      <c r="U71" s="698"/>
      <c r="V71" s="630">
        <f>+VLOOKUP(B71,'Consolidate TL'!$B$3:P545,12,FALSE)</f>
        <v>176.29</v>
      </c>
      <c r="W71" s="699">
        <v>0.01</v>
      </c>
      <c r="X71" s="801">
        <f t="shared" si="6"/>
        <v>313.46140000000003</v>
      </c>
      <c r="Y71" s="1370" t="s">
        <v>1147</v>
      </c>
      <c r="Z71" s="1573" t="s">
        <v>1148</v>
      </c>
      <c r="AA71" s="1371">
        <v>62328</v>
      </c>
      <c r="AB71" s="700" t="s">
        <v>67</v>
      </c>
      <c r="AC71" s="700" t="s">
        <v>703</v>
      </c>
      <c r="AD71" s="1370" t="s">
        <v>1147</v>
      </c>
      <c r="AE71" s="919" t="s">
        <v>934</v>
      </c>
      <c r="AF71" s="919" t="s">
        <v>1149</v>
      </c>
      <c r="AG71" s="1373" t="s">
        <v>504</v>
      </c>
      <c r="AH71" s="704" t="s">
        <v>386</v>
      </c>
      <c r="AI71" s="1127" t="str">
        <f>'Consolidate TL'!P73</f>
        <v>Monthly Amortization amount ( USD500.19)</v>
      </c>
    </row>
    <row r="72" spans="1:35" s="1374" customFormat="1" ht="45" customHeight="1" thickBot="1">
      <c r="A72" s="595">
        <v>66</v>
      </c>
      <c r="B72" s="1400" t="s">
        <v>1116</v>
      </c>
      <c r="C72" s="1480" t="s">
        <v>503</v>
      </c>
      <c r="D72" s="693" t="s">
        <v>511</v>
      </c>
      <c r="E72" s="694" t="e">
        <f>+VLOOKUP(B72,'Consolidate TL'!$B$17:O332,2,FALSE)</f>
        <v>#N/A</v>
      </c>
      <c r="F72" s="1367" t="e">
        <f>+VLOOKUP(B72,'Consolidate TL'!$B$17:L331,9,FALSE)</f>
        <v>#N/A</v>
      </c>
      <c r="G72" s="1367" t="e">
        <f>+VLOOKUP(B72,'Consolidate TL'!$B$17:P332,10,FALSE)</f>
        <v>#N/A</v>
      </c>
      <c r="H72" s="695" t="e">
        <f t="shared" si="4"/>
        <v>#N/A</v>
      </c>
      <c r="I72" s="696" t="s">
        <v>524</v>
      </c>
      <c r="J72" s="1368" t="e">
        <f>++VLOOKUP(B72,'Consolidate TL'!$B$17:L333,3,FALSE)</f>
        <v>#N/A</v>
      </c>
      <c r="K72" s="697" t="s">
        <v>394</v>
      </c>
      <c r="L72" s="698" t="e">
        <f>+VLOOKUP(B72,'Consolidate TL'!$B$8:P1153,4,FALSE)</f>
        <v>#N/A</v>
      </c>
      <c r="M72" s="801"/>
      <c r="N72" s="1369"/>
      <c r="O72" s="597" t="e">
        <f>+VLOOKUP(B72,'Consolidate TL'!$B$8:$S$525,8,FALSE)</f>
        <v>#N/A</v>
      </c>
      <c r="P72" s="1369"/>
      <c r="Q72" s="1369"/>
      <c r="R72" s="1369"/>
      <c r="S72" s="698" t="e">
        <f t="shared" si="5"/>
        <v>#N/A</v>
      </c>
      <c r="T72" s="698"/>
      <c r="U72" s="698"/>
      <c r="V72" s="630" t="e">
        <f>+VLOOKUP(B72,'Consolidate TL'!$B$3:P546,12,FALSE)</f>
        <v>#N/A</v>
      </c>
      <c r="W72" s="699">
        <v>0.01</v>
      </c>
      <c r="X72" s="801" t="e">
        <f t="shared" si="6"/>
        <v>#N/A</v>
      </c>
      <c r="Y72" s="1571" t="s">
        <v>1117</v>
      </c>
      <c r="Z72" s="1574" t="s">
        <v>1249</v>
      </c>
      <c r="AA72" s="1572">
        <v>141480</v>
      </c>
      <c r="AB72" s="700" t="s">
        <v>67</v>
      </c>
      <c r="AC72" s="700" t="s">
        <v>703</v>
      </c>
      <c r="AD72" s="1370" t="s">
        <v>1118</v>
      </c>
      <c r="AE72" s="919" t="s">
        <v>1119</v>
      </c>
      <c r="AF72" s="919" t="s">
        <v>1120</v>
      </c>
      <c r="AG72" s="1373" t="s">
        <v>504</v>
      </c>
      <c r="AH72" s="704" t="s">
        <v>386</v>
      </c>
      <c r="AI72" s="1127" t="e">
        <f>'Consolidate TL'!#REF!</f>
        <v>#REF!</v>
      </c>
    </row>
    <row r="73" spans="1:35" s="1374" customFormat="1" ht="45" customHeight="1" thickBot="1">
      <c r="A73" s="595">
        <v>67</v>
      </c>
      <c r="B73" s="1400" t="s">
        <v>1121</v>
      </c>
      <c r="C73" s="1480" t="s">
        <v>503</v>
      </c>
      <c r="D73" s="693" t="s">
        <v>511</v>
      </c>
      <c r="E73" s="694" t="str">
        <f>+VLOOKUP(B73,'Consolidate TL'!$B$17:O333,2,FALSE)</f>
        <v>LD1625109001</v>
      </c>
      <c r="F73" s="1367">
        <f>+VLOOKUP(B73,'Consolidate TL'!$B$17:L332,9,FALSE)</f>
        <v>42620</v>
      </c>
      <c r="G73" s="1367">
        <f>+VLOOKUP(B73,'Consolidate TL'!$B$17:P333,10,FALSE)</f>
        <v>44811</v>
      </c>
      <c r="H73" s="695" t="str">
        <f t="shared" si="4"/>
        <v>72month,0days</v>
      </c>
      <c r="I73" s="696" t="s">
        <v>524</v>
      </c>
      <c r="J73" s="1368">
        <f>++VLOOKUP(B73,'Consolidate TL'!$B$17:L334,3,FALSE)</f>
        <v>0.11</v>
      </c>
      <c r="K73" s="697" t="s">
        <v>394</v>
      </c>
      <c r="L73" s="698">
        <f>+VLOOKUP(B73,'Consolidate TL'!$B$8:P1154,4,FALSE)</f>
        <v>32000</v>
      </c>
      <c r="M73" s="801"/>
      <c r="N73" s="1369"/>
      <c r="O73" s="597">
        <f>+VLOOKUP(B73,'Consolidate TL'!$B$8:$S$525,8,FALSE)</f>
        <v>26249.18</v>
      </c>
      <c r="P73" s="1369"/>
      <c r="Q73" s="1369"/>
      <c r="R73" s="1369"/>
      <c r="S73" s="698">
        <f t="shared" si="5"/>
        <v>26249.18</v>
      </c>
      <c r="T73" s="698"/>
      <c r="U73" s="698"/>
      <c r="V73" s="630">
        <f>+VLOOKUP(B73,'Consolidate TL'!$B$3:P547,12,FALSE)</f>
        <v>216.74</v>
      </c>
      <c r="W73" s="699">
        <v>0.01</v>
      </c>
      <c r="X73" s="801">
        <f t="shared" si="6"/>
        <v>262.49180000000001</v>
      </c>
      <c r="Y73" s="1370" t="s">
        <v>1124</v>
      </c>
      <c r="Z73" s="1529" t="s">
        <v>1125</v>
      </c>
      <c r="AA73" s="1371">
        <v>490975</v>
      </c>
      <c r="AB73" s="700" t="s">
        <v>67</v>
      </c>
      <c r="AC73" s="700" t="s">
        <v>703</v>
      </c>
      <c r="AD73" s="1370" t="s">
        <v>1126</v>
      </c>
      <c r="AE73" s="919" t="s">
        <v>1128</v>
      </c>
      <c r="AF73" s="919" t="s">
        <v>1127</v>
      </c>
      <c r="AG73" s="1373" t="s">
        <v>504</v>
      </c>
      <c r="AH73" s="704" t="s">
        <v>374</v>
      </c>
      <c r="AI73" s="1127" t="str">
        <f>'Consolidate TL'!P74</f>
        <v>Monthly Amortization amount ( USD611.58)</v>
      </c>
    </row>
    <row r="74" spans="1:35" s="1374" customFormat="1" ht="45" customHeight="1" thickBot="1">
      <c r="A74" s="595">
        <v>68</v>
      </c>
      <c r="B74" s="1400" t="s">
        <v>1129</v>
      </c>
      <c r="C74" s="1480" t="s">
        <v>503</v>
      </c>
      <c r="D74" s="693" t="s">
        <v>511</v>
      </c>
      <c r="E74" s="694" t="str">
        <f>+VLOOKUP(B74,'Consolidate TL'!$B$17:O334,2,FALSE)</f>
        <v>LD1625162422</v>
      </c>
      <c r="F74" s="1367">
        <f>+VLOOKUP(B74,'Consolidate TL'!$B$17:L333,9,FALSE)</f>
        <v>42620</v>
      </c>
      <c r="G74" s="1367">
        <f>+VLOOKUP(B74,'Consolidate TL'!$B$17:P334,10,FALSE)</f>
        <v>46272</v>
      </c>
      <c r="H74" s="695" t="str">
        <f t="shared" si="4"/>
        <v>120month,0days</v>
      </c>
      <c r="I74" s="696" t="s">
        <v>524</v>
      </c>
      <c r="J74" s="1368">
        <f>++VLOOKUP(B74,'Consolidate TL'!$B$17:L335,3,FALSE)</f>
        <v>9.5000000000000001E-2</v>
      </c>
      <c r="K74" s="697" t="s">
        <v>394</v>
      </c>
      <c r="L74" s="698">
        <f>+VLOOKUP(B74,'Consolidate TL'!$B$8:P1155,4,FALSE)</f>
        <v>100000</v>
      </c>
      <c r="M74" s="801"/>
      <c r="N74" s="1369"/>
      <c r="O74" s="597">
        <f>+VLOOKUP(B74,'Consolidate TL'!$B$8:$S$525,8,FALSE)</f>
        <v>90976.41</v>
      </c>
      <c r="P74" s="1369"/>
      <c r="Q74" s="1369"/>
      <c r="R74" s="1369"/>
      <c r="S74" s="698">
        <f t="shared" si="5"/>
        <v>90976.41</v>
      </c>
      <c r="T74" s="698"/>
      <c r="U74" s="698"/>
      <c r="V74" s="630">
        <f>+VLOOKUP(B74,'Consolidate TL'!$B$3:P548,12,FALSE)</f>
        <v>621.94000000000005</v>
      </c>
      <c r="W74" s="699">
        <v>0.01</v>
      </c>
      <c r="X74" s="801">
        <f t="shared" si="6"/>
        <v>909.7641000000001</v>
      </c>
      <c r="Y74" s="1370" t="s">
        <v>1132</v>
      </c>
      <c r="Z74" s="1494" t="s">
        <v>1133</v>
      </c>
      <c r="AA74" s="1371">
        <v>171360.8</v>
      </c>
      <c r="AB74" s="700" t="s">
        <v>67</v>
      </c>
      <c r="AC74" s="700" t="s">
        <v>502</v>
      </c>
      <c r="AD74" s="1370" t="s">
        <v>1132</v>
      </c>
      <c r="AE74" s="919" t="s">
        <v>1119</v>
      </c>
      <c r="AF74" s="919" t="s">
        <v>1134</v>
      </c>
      <c r="AG74" s="1373" t="s">
        <v>504</v>
      </c>
      <c r="AH74" s="704" t="s">
        <v>386</v>
      </c>
      <c r="AI74" s="1127" t="str">
        <f>'Consolidate TL'!P75</f>
        <v>Monthly Amortization amount ( USD1,301.30)</v>
      </c>
    </row>
    <row r="75" spans="1:35" s="1374" customFormat="1" ht="45" customHeight="1" thickBot="1">
      <c r="A75" s="595">
        <v>69</v>
      </c>
      <c r="B75" s="1400" t="s">
        <v>1135</v>
      </c>
      <c r="C75" s="1480" t="s">
        <v>503</v>
      </c>
      <c r="D75" s="693" t="s">
        <v>511</v>
      </c>
      <c r="E75" s="694" t="str">
        <f>+VLOOKUP(B75,'Consolidate TL'!$B$17:O335,2,FALSE)</f>
        <v>LD1003000077</v>
      </c>
      <c r="F75" s="1367">
        <f>+VLOOKUP(B75,'Consolidate TL'!$B$17:L334,9,FALSE)</f>
        <v>42625</v>
      </c>
      <c r="G75" s="1367">
        <f>+VLOOKUP(B75,'Consolidate TL'!$B$17:P335,10,FALSE)</f>
        <v>46277</v>
      </c>
      <c r="H75" s="695" t="str">
        <f t="shared" si="4"/>
        <v>120month,0days</v>
      </c>
      <c r="I75" s="696" t="s">
        <v>524</v>
      </c>
      <c r="J75" s="1368">
        <f>++VLOOKUP(B75,'Consolidate TL'!$B$17:L336,3,FALSE)</f>
        <v>9.5000000000000001E-2</v>
      </c>
      <c r="K75" s="697" t="s">
        <v>394</v>
      </c>
      <c r="L75" s="698">
        <f>+VLOOKUP(B75,'Consolidate TL'!$B$8:P1156,4,FALSE)</f>
        <v>50000</v>
      </c>
      <c r="M75" s="801"/>
      <c r="N75" s="1369"/>
      <c r="O75" s="597">
        <f>+VLOOKUP(B75,'Consolidate TL'!$B$8:$S$525,8,FALSE)</f>
        <v>45488.2</v>
      </c>
      <c r="P75" s="1369"/>
      <c r="Q75" s="1369"/>
      <c r="R75" s="1369"/>
      <c r="S75" s="698">
        <f t="shared" si="5"/>
        <v>45488.2</v>
      </c>
      <c r="T75" s="698"/>
      <c r="U75" s="698"/>
      <c r="V75" s="630">
        <f>+VLOOKUP(B75,'Consolidate TL'!$B$3:P549,12,FALSE)</f>
        <v>248.78</v>
      </c>
      <c r="W75" s="699">
        <v>0.01</v>
      </c>
      <c r="X75" s="801">
        <f t="shared" si="6"/>
        <v>454.88200000000001</v>
      </c>
      <c r="Y75" s="1370" t="s">
        <v>1138</v>
      </c>
      <c r="Z75" s="1494" t="s">
        <v>1250</v>
      </c>
      <c r="AA75" s="1371">
        <v>83706</v>
      </c>
      <c r="AB75" s="700" t="s">
        <v>67</v>
      </c>
      <c r="AC75" s="700" t="s">
        <v>502</v>
      </c>
      <c r="AD75" s="1370" t="s">
        <v>1138</v>
      </c>
      <c r="AE75" s="919" t="s">
        <v>1119</v>
      </c>
      <c r="AF75" s="919" t="s">
        <v>1139</v>
      </c>
      <c r="AG75" s="1373" t="s">
        <v>504</v>
      </c>
      <c r="AH75" s="704" t="s">
        <v>386</v>
      </c>
      <c r="AI75" s="1127" t="str">
        <f>'Consolidate TL'!P76</f>
        <v>Monthly Amortization amount ( USD650.65)</v>
      </c>
    </row>
    <row r="76" spans="1:35" s="1374" customFormat="1" ht="45" customHeight="1" thickBot="1">
      <c r="A76" s="595">
        <v>70</v>
      </c>
      <c r="B76" s="1400" t="s">
        <v>1140</v>
      </c>
      <c r="C76" s="1480" t="s">
        <v>503</v>
      </c>
      <c r="D76" s="693" t="s">
        <v>511</v>
      </c>
      <c r="E76" s="694" t="str">
        <f>+VLOOKUP(B76,'Consolidate TL'!$B$17:O337,2,FALSE)</f>
        <v>LD1003000329</v>
      </c>
      <c r="F76" s="1367">
        <f>+VLOOKUP(B76,'Consolidate TL'!$B$17:L336,9,FALSE)</f>
        <v>42640</v>
      </c>
      <c r="G76" s="1367">
        <f>+VLOOKUP(B76,'Consolidate TL'!$B$17:P337,10,FALSE)</f>
        <v>46292</v>
      </c>
      <c r="H76" s="695" t="str">
        <f t="shared" si="4"/>
        <v>120month,0days</v>
      </c>
      <c r="I76" s="696" t="s">
        <v>524</v>
      </c>
      <c r="J76" s="1368">
        <f>++VLOOKUP(B76,'Consolidate TL'!$B$17:L338,3,FALSE)</f>
        <v>0.105</v>
      </c>
      <c r="K76" s="697" t="s">
        <v>394</v>
      </c>
      <c r="L76" s="698">
        <f>+VLOOKUP(B76,'Consolidate TL'!$B$8:P1158,4,FALSE)</f>
        <v>32000</v>
      </c>
      <c r="M76" s="801"/>
      <c r="N76" s="1369"/>
      <c r="O76" s="597">
        <f>+VLOOKUP(B76,'Consolidate TL'!$B$8:$S$525,8,FALSE)</f>
        <v>29257.75</v>
      </c>
      <c r="P76" s="1369"/>
      <c r="Q76" s="1369"/>
      <c r="R76" s="1369"/>
      <c r="S76" s="698">
        <f t="shared" si="5"/>
        <v>29257.75</v>
      </c>
      <c r="T76" s="698"/>
      <c r="U76" s="698"/>
      <c r="V76" s="630">
        <f>+VLOOKUP(B76,'Consolidate TL'!$B$3:P551,12,FALSE)</f>
        <v>44.13</v>
      </c>
      <c r="W76" s="699">
        <v>0.01</v>
      </c>
      <c r="X76" s="801">
        <f t="shared" si="6"/>
        <v>292.57749999999999</v>
      </c>
      <c r="Y76" s="1370" t="s">
        <v>1143</v>
      </c>
      <c r="Z76" s="1520" t="s">
        <v>1146</v>
      </c>
      <c r="AA76" s="1371">
        <v>57120</v>
      </c>
      <c r="AB76" s="700" t="s">
        <v>67</v>
      </c>
      <c r="AC76" s="700" t="s">
        <v>502</v>
      </c>
      <c r="AD76" s="1370" t="s">
        <v>1144</v>
      </c>
      <c r="AE76" s="919" t="s">
        <v>1119</v>
      </c>
      <c r="AF76" s="919" t="s">
        <v>1145</v>
      </c>
      <c r="AG76" s="1373" t="s">
        <v>504</v>
      </c>
      <c r="AH76" s="704" t="s">
        <v>386</v>
      </c>
      <c r="AI76" s="1127" t="str">
        <f>'Consolidate TL'!P77</f>
        <v>Monthly Amortization amount ( USD434.44)</v>
      </c>
    </row>
    <row r="77" spans="1:35" s="1374" customFormat="1" ht="45" customHeight="1" thickBot="1">
      <c r="A77" s="595">
        <v>71</v>
      </c>
      <c r="B77" s="1400" t="s">
        <v>1150</v>
      </c>
      <c r="C77" s="1480" t="s">
        <v>503</v>
      </c>
      <c r="D77" s="693" t="s">
        <v>511</v>
      </c>
      <c r="E77" s="694" t="e">
        <f>+VLOOKUP(B77,'Consolidate TL'!$B$17:O338,2,FALSE)</f>
        <v>#N/A</v>
      </c>
      <c r="F77" s="1367" t="e">
        <f>+VLOOKUP(B77,'Consolidate TL'!$B$17:L337,9,FALSE)</f>
        <v>#N/A</v>
      </c>
      <c r="G77" s="1367" t="e">
        <f>+VLOOKUP(B77,'Consolidate TL'!$B$17:P338,10,FALSE)</f>
        <v>#N/A</v>
      </c>
      <c r="H77" s="695" t="e">
        <f t="shared" si="4"/>
        <v>#N/A</v>
      </c>
      <c r="I77" s="696" t="s">
        <v>524</v>
      </c>
      <c r="J77" s="1368" t="e">
        <f>++VLOOKUP(B77,'Consolidate TL'!$B$17:L339,3,FALSE)</f>
        <v>#N/A</v>
      </c>
      <c r="K77" s="697" t="s">
        <v>394</v>
      </c>
      <c r="L77" s="698" t="e">
        <f>+VLOOKUP(B77,'Consolidate TL'!$B$8:P1159,4,FALSE)</f>
        <v>#N/A</v>
      </c>
      <c r="M77" s="801"/>
      <c r="N77" s="1369"/>
      <c r="O77" s="597" t="e">
        <f>+VLOOKUP(B77,'Consolidate TL'!$B$8:$S$525,8,FALSE)</f>
        <v>#N/A</v>
      </c>
      <c r="P77" s="1369"/>
      <c r="Q77" s="1369"/>
      <c r="R77" s="1369"/>
      <c r="S77" s="698" t="e">
        <f t="shared" si="5"/>
        <v>#N/A</v>
      </c>
      <c r="T77" s="698"/>
      <c r="U77" s="698"/>
      <c r="V77" s="630" t="e">
        <f>+VLOOKUP(B77,'Consolidate TL'!$B$3:P552,12,FALSE)</f>
        <v>#N/A</v>
      </c>
      <c r="W77" s="699">
        <v>0.01</v>
      </c>
      <c r="X77" s="801" t="e">
        <f t="shared" si="6"/>
        <v>#N/A</v>
      </c>
      <c r="Y77" s="1370" t="s">
        <v>1151</v>
      </c>
      <c r="Z77" s="1520" t="s">
        <v>1152</v>
      </c>
      <c r="AA77" s="1371">
        <v>53000</v>
      </c>
      <c r="AB77" s="700" t="s">
        <v>67</v>
      </c>
      <c r="AC77" s="700" t="s">
        <v>703</v>
      </c>
      <c r="AD77" s="1370" t="s">
        <v>1151</v>
      </c>
      <c r="AE77" s="919"/>
      <c r="AF77" s="919" t="s">
        <v>1153</v>
      </c>
      <c r="AG77" s="1373" t="s">
        <v>504</v>
      </c>
      <c r="AH77" s="704" t="s">
        <v>386</v>
      </c>
      <c r="AI77" s="1127" t="e">
        <f>'Consolidate TL'!#REF!</f>
        <v>#REF!</v>
      </c>
    </row>
    <row r="78" spans="1:35" s="1374" customFormat="1" ht="45" customHeight="1" thickBot="1">
      <c r="A78" s="595">
        <v>72</v>
      </c>
      <c r="B78" s="1400" t="s">
        <v>1154</v>
      </c>
      <c r="C78" s="1480" t="s">
        <v>503</v>
      </c>
      <c r="D78" s="693" t="s">
        <v>511</v>
      </c>
      <c r="E78" s="694" t="str">
        <f>+VLOOKUP(B78,'Consolidate TL'!$B$17:O339,2,FALSE)</f>
        <v>LD1001100106</v>
      </c>
      <c r="F78" s="1367">
        <f>+VLOOKUP(B78,'Consolidate TL'!$B$17:L338,9,FALSE)</f>
        <v>42638</v>
      </c>
      <c r="G78" s="1367">
        <f>+VLOOKUP(B78,'Consolidate TL'!$B$17:P339,10,FALSE)</f>
        <v>48847</v>
      </c>
      <c r="H78" s="695" t="str">
        <f t="shared" si="4"/>
        <v>204month,0days</v>
      </c>
      <c r="I78" s="696" t="s">
        <v>524</v>
      </c>
      <c r="J78" s="1368">
        <f>++VLOOKUP(B78,'Consolidate TL'!$B$17:L340,3,FALSE)</f>
        <v>2.75E-2</v>
      </c>
      <c r="K78" s="697" t="s">
        <v>938</v>
      </c>
      <c r="L78" s="698">
        <f>+VLOOKUP(B78,'Consolidate TL'!$B$8:P1160,4,FALSE)</f>
        <v>40000</v>
      </c>
      <c r="M78" s="801"/>
      <c r="N78" s="1369">
        <f>VLOOKUP(B78,'Consolidate TL'!B32:I224,8,FALSE)</f>
        <v>37273.21</v>
      </c>
      <c r="O78" s="597"/>
      <c r="P78" s="1369"/>
      <c r="Q78" s="1369"/>
      <c r="R78" s="1369"/>
      <c r="S78" s="698">
        <f t="shared" si="5"/>
        <v>37273.21</v>
      </c>
      <c r="T78" s="698"/>
      <c r="U78" s="698"/>
      <c r="V78" s="630">
        <f>+VLOOKUP(B78,'Consolidate TL'!$B$3:P553,12,FALSE)</f>
        <v>20.43</v>
      </c>
      <c r="W78" s="699">
        <v>0.01</v>
      </c>
      <c r="X78" s="801">
        <f t="shared" si="6"/>
        <v>372.7321</v>
      </c>
      <c r="Y78" s="1370" t="s">
        <v>1159</v>
      </c>
      <c r="Z78" s="1520" t="s">
        <v>1160</v>
      </c>
      <c r="AA78" s="1371">
        <v>51390</v>
      </c>
      <c r="AB78" s="700" t="s">
        <v>67</v>
      </c>
      <c r="AC78" s="700" t="s">
        <v>502</v>
      </c>
      <c r="AD78" s="1370" t="s">
        <v>1159</v>
      </c>
      <c r="AE78" s="919" t="s">
        <v>723</v>
      </c>
      <c r="AF78" s="919" t="s">
        <v>1060</v>
      </c>
      <c r="AG78" s="1373" t="s">
        <v>1061</v>
      </c>
      <c r="AH78" s="704" t="s">
        <v>386</v>
      </c>
      <c r="AI78" s="1127" t="str">
        <f>'Consolidate TL'!P78</f>
        <v>Monthly Amortization amount ( USD250)</v>
      </c>
    </row>
    <row r="79" spans="1:35" s="1374" customFormat="1" ht="45" customHeight="1" thickBot="1">
      <c r="A79" s="595">
        <v>73</v>
      </c>
      <c r="B79" s="1400" t="s">
        <v>1156</v>
      </c>
      <c r="C79" s="1480" t="s">
        <v>503</v>
      </c>
      <c r="D79" s="693" t="s">
        <v>511</v>
      </c>
      <c r="E79" s="694" t="str">
        <f>+VLOOKUP(B79,'Consolidate TL'!$B$17:O340,2,FALSE)</f>
        <v>LD1003000069</v>
      </c>
      <c r="F79" s="1367">
        <f>+VLOOKUP(B79,'Consolidate TL'!$B$17:L339,9,FALSE)</f>
        <v>42625</v>
      </c>
      <c r="G79" s="1367">
        <f>+VLOOKUP(B79,'Consolidate TL'!$B$17:P340,10,FALSE)</f>
        <v>44451</v>
      </c>
      <c r="H79" s="695" t="str">
        <f t="shared" si="4"/>
        <v>60month,0days</v>
      </c>
      <c r="I79" s="696" t="s">
        <v>524</v>
      </c>
      <c r="J79" s="1368">
        <f>++VLOOKUP(B79,'Consolidate TL'!$B$17:L341,3,FALSE)</f>
        <v>0.1</v>
      </c>
      <c r="K79" s="697" t="s">
        <v>394</v>
      </c>
      <c r="L79" s="698">
        <f>+VLOOKUP(B79,'Consolidate TL'!$B$8:P1161,4,FALSE)</f>
        <v>40000</v>
      </c>
      <c r="M79" s="801"/>
      <c r="N79" s="1369"/>
      <c r="O79" s="597">
        <f>+VLOOKUP(B79,'Consolidate TL'!$B$8:$S$525,8,FALSE)</f>
        <v>30641.1</v>
      </c>
      <c r="P79" s="1369"/>
      <c r="Q79" s="1369"/>
      <c r="R79" s="1369"/>
      <c r="S79" s="698">
        <f t="shared" si="5"/>
        <v>30641.1</v>
      </c>
      <c r="T79" s="698"/>
      <c r="U79" s="698"/>
      <c r="V79" s="630">
        <f>+VLOOKUP(B79,'Consolidate TL'!$B$3:P554,12,FALSE)</f>
        <v>189.37</v>
      </c>
      <c r="W79" s="699">
        <v>0.01</v>
      </c>
      <c r="X79" s="801">
        <f t="shared" si="6"/>
        <v>306.411</v>
      </c>
      <c r="Y79" s="1370" t="s">
        <v>1161</v>
      </c>
      <c r="Z79" s="1520" t="s">
        <v>1162</v>
      </c>
      <c r="AA79" s="1371">
        <v>131856</v>
      </c>
      <c r="AB79" s="700" t="s">
        <v>67</v>
      </c>
      <c r="AC79" s="700" t="s">
        <v>502</v>
      </c>
      <c r="AD79" s="1370" t="s">
        <v>1161</v>
      </c>
      <c r="AE79" s="919" t="s">
        <v>723</v>
      </c>
      <c r="AF79" s="919" t="s">
        <v>1163</v>
      </c>
      <c r="AG79" s="1373" t="s">
        <v>504</v>
      </c>
      <c r="AH79" s="704" t="s">
        <v>386</v>
      </c>
      <c r="AI79" s="1127" t="str">
        <f>'Consolidate TL'!P79</f>
        <v>Monthly Amortization amount ( USD852.57)</v>
      </c>
    </row>
    <row r="80" spans="1:35" s="1374" customFormat="1" ht="45" customHeight="1" thickBot="1">
      <c r="A80" s="595">
        <v>74</v>
      </c>
      <c r="B80" s="1557" t="s">
        <v>1164</v>
      </c>
      <c r="C80" s="1480" t="s">
        <v>503</v>
      </c>
      <c r="D80" s="693" t="s">
        <v>511</v>
      </c>
      <c r="E80" s="694" t="str">
        <f>+VLOOKUP(B80,'Consolidate TL'!$B$17:O342,2,FALSE)</f>
        <v>LD1002600862</v>
      </c>
      <c r="F80" s="1367">
        <f>+VLOOKUP(B80,'Consolidate TL'!$B$17:L341,9,FALSE)</f>
        <v>42445</v>
      </c>
      <c r="G80" s="1367">
        <f>+VLOOKUP(B80,'Consolidate TL'!$B$17:P342,10,FALSE)</f>
        <v>45367</v>
      </c>
      <c r="H80" s="695" t="str">
        <f t="shared" si="4"/>
        <v>96month,0days</v>
      </c>
      <c r="I80" s="696" t="s">
        <v>524</v>
      </c>
      <c r="J80" s="1368">
        <f>++VLOOKUP(B80,'Consolidate TL'!$B$17:L343,3,FALSE)</f>
        <v>0.12</v>
      </c>
      <c r="K80" s="697" t="s">
        <v>394</v>
      </c>
      <c r="L80" s="698">
        <f>+VLOOKUP(B80,'Consolidate TL'!$B$8:P1163,4,FALSE)</f>
        <v>40000</v>
      </c>
      <c r="M80" s="801"/>
      <c r="N80" s="1369"/>
      <c r="O80" s="597">
        <f>+VLOOKUP(B80,'Consolidate TL'!$B$8:$S$525,8,FALSE)</f>
        <v>33631.26</v>
      </c>
      <c r="P80" s="1369"/>
      <c r="Q80" s="1369"/>
      <c r="R80" s="1369"/>
      <c r="S80" s="698">
        <f t="shared" si="5"/>
        <v>33631.26</v>
      </c>
      <c r="T80" s="698"/>
      <c r="U80" s="698"/>
      <c r="V80" s="630">
        <f>+VLOOKUP(B80,'Consolidate TL'!$B$3:P556,12,FALSE)</f>
        <v>188.95</v>
      </c>
      <c r="W80" s="699">
        <v>0.01</v>
      </c>
      <c r="X80" s="801">
        <f t="shared" si="6"/>
        <v>336.31260000000003</v>
      </c>
      <c r="Y80" s="1370" t="s">
        <v>1193</v>
      </c>
      <c r="Z80" s="1520" t="s">
        <v>1204</v>
      </c>
      <c r="AA80" s="1371">
        <v>80000</v>
      </c>
      <c r="AB80" s="700" t="s">
        <v>67</v>
      </c>
      <c r="AC80" s="700" t="s">
        <v>502</v>
      </c>
      <c r="AD80" s="701" t="s">
        <v>1213</v>
      </c>
      <c r="AE80" s="702" t="s">
        <v>1222</v>
      </c>
      <c r="AF80" s="701" t="s">
        <v>1223</v>
      </c>
      <c r="AG80" s="1373" t="s">
        <v>504</v>
      </c>
      <c r="AH80" s="704" t="s">
        <v>374</v>
      </c>
      <c r="AI80" s="1127" t="str">
        <f>'Consolidate TL'!P80</f>
        <v>Monthly amortization of USD 654.09 to be paid every month until the facility is fully settled.</v>
      </c>
    </row>
    <row r="81" spans="1:35" s="1374" customFormat="1" ht="45" customHeight="1" thickBot="1">
      <c r="A81" s="595">
        <v>77</v>
      </c>
      <c r="B81" s="1559" t="s">
        <v>1165</v>
      </c>
      <c r="C81" s="1480" t="s">
        <v>503</v>
      </c>
      <c r="D81" s="693" t="s">
        <v>511</v>
      </c>
      <c r="E81" s="694" t="str">
        <f>+VLOOKUP(B81,'Consolidate TL'!$B$17:O352,2,FALSE)</f>
        <v>LD1526200213</v>
      </c>
      <c r="F81" s="1367">
        <f>+VLOOKUP(B81,'Consolidate TL'!$B$17:L351,9,FALSE)</f>
        <v>41894</v>
      </c>
      <c r="G81" s="1367">
        <f>+VLOOKUP(B81,'Consolidate TL'!$B$17:P352,10,FALSE)</f>
        <v>44451</v>
      </c>
      <c r="H81" s="695" t="str">
        <f t="shared" si="4"/>
        <v>84month,0days</v>
      </c>
      <c r="I81" s="696" t="s">
        <v>524</v>
      </c>
      <c r="J81" s="1368">
        <f>++VLOOKUP(B81,'Consolidate TL'!$B$17:L353,3,FALSE)</f>
        <v>0.1</v>
      </c>
      <c r="K81" s="697" t="s">
        <v>394</v>
      </c>
      <c r="L81" s="698">
        <f>+VLOOKUP(B81,'Consolidate TL'!$B$8:P1173,4,FALSE)</f>
        <v>65000</v>
      </c>
      <c r="M81" s="801"/>
      <c r="N81" s="1369"/>
      <c r="O81" s="597">
        <f>+VLOOKUP(B81,'Consolidate TL'!$B$8:$S$525,8,FALSE)</f>
        <v>38851.129999999997</v>
      </c>
      <c r="P81" s="1369"/>
      <c r="Q81" s="1369"/>
      <c r="R81" s="1369"/>
      <c r="S81" s="698">
        <f t="shared" si="5"/>
        <v>38851.129999999997</v>
      </c>
      <c r="T81" s="698"/>
      <c r="U81" s="698"/>
      <c r="V81" s="630">
        <f>+VLOOKUP(B81,'Consolidate TL'!$B$3:P566,12,FALSE)</f>
        <v>240.11</v>
      </c>
      <c r="W81" s="699">
        <v>0.01</v>
      </c>
      <c r="X81" s="801">
        <f t="shared" si="6"/>
        <v>388.51130000000001</v>
      </c>
      <c r="Y81" s="1370" t="s">
        <v>1194</v>
      </c>
      <c r="Z81" s="1520" t="s">
        <v>1205</v>
      </c>
      <c r="AA81" s="1371">
        <v>178800</v>
      </c>
      <c r="AB81" s="700" t="s">
        <v>67</v>
      </c>
      <c r="AC81" s="700" t="s">
        <v>502</v>
      </c>
      <c r="AD81" s="701" t="s">
        <v>1214</v>
      </c>
      <c r="AE81" s="702" t="s">
        <v>1224</v>
      </c>
      <c r="AF81" s="701" t="s">
        <v>1225</v>
      </c>
      <c r="AG81" s="1373" t="s">
        <v>504</v>
      </c>
      <c r="AH81" s="704" t="s">
        <v>326</v>
      </c>
      <c r="AI81" s="1127" t="str">
        <f>'Consolidate TL'!P81</f>
        <v>Monthly amortization installment of USD 1,080.00 to be paid every month until the facility is fully settled.</v>
      </c>
    </row>
    <row r="82" spans="1:35" s="1374" customFormat="1" ht="45" customHeight="1" thickBot="1">
      <c r="A82" s="595">
        <v>78</v>
      </c>
      <c r="B82" s="1558" t="s">
        <v>1166</v>
      </c>
      <c r="C82" s="1480" t="s">
        <v>503</v>
      </c>
      <c r="D82" s="693" t="s">
        <v>511</v>
      </c>
      <c r="E82" s="694" t="str">
        <f>+VLOOKUP(B82,'Consolidate TL'!$B$17:O353,2,FALSE)</f>
        <v>LD1000900920</v>
      </c>
      <c r="F82" s="1367">
        <f>+VLOOKUP(B82,'Consolidate TL'!$B$17:L352,9,FALSE)</f>
        <v>42384</v>
      </c>
      <c r="G82" s="1367">
        <f>+VLOOKUP(B82,'Consolidate TL'!$B$17:P353,10,FALSE)</f>
        <v>43845</v>
      </c>
      <c r="H82" s="695" t="str">
        <f t="shared" si="4"/>
        <v>48month,0days</v>
      </c>
      <c r="I82" s="696" t="s">
        <v>524</v>
      </c>
      <c r="J82" s="1368">
        <f>++VLOOKUP(B82,'Consolidate TL'!$B$17:L354,3,FALSE)</f>
        <v>0.1</v>
      </c>
      <c r="K82" s="697" t="s">
        <v>394</v>
      </c>
      <c r="L82" s="698">
        <f>+VLOOKUP(B82,'Consolidate TL'!$B$8:P1174,4,FALSE)</f>
        <v>20000</v>
      </c>
      <c r="M82" s="801"/>
      <c r="N82" s="1369"/>
      <c r="O82" s="597">
        <f>+VLOOKUP(B82,'Consolidate TL'!$B$8:$S$525,8,FALSE)</f>
        <v>51945.279999999999</v>
      </c>
      <c r="P82" s="1369"/>
      <c r="Q82" s="1369"/>
      <c r="R82" s="1369"/>
      <c r="S82" s="698">
        <f t="shared" si="5"/>
        <v>51945.279999999999</v>
      </c>
      <c r="T82" s="698"/>
      <c r="U82" s="698"/>
      <c r="V82" s="630">
        <f>+VLOOKUP(B82,'Consolidate TL'!$B$3:P567,12,FALSE)</f>
        <v>61.54</v>
      </c>
      <c r="W82" s="699">
        <v>0.01</v>
      </c>
      <c r="X82" s="801">
        <f t="shared" si="6"/>
        <v>519.45280000000002</v>
      </c>
      <c r="Y82" s="1370" t="s">
        <v>1195</v>
      </c>
      <c r="Z82" s="1520"/>
      <c r="AA82" s="1371"/>
      <c r="AB82" s="700" t="s">
        <v>67</v>
      </c>
      <c r="AC82" s="700" t="s">
        <v>502</v>
      </c>
      <c r="AD82" s="701" t="s">
        <v>1214</v>
      </c>
      <c r="AE82" s="702" t="s">
        <v>744</v>
      </c>
      <c r="AF82" s="701" t="s">
        <v>1225</v>
      </c>
      <c r="AG82" s="1373" t="s">
        <v>504</v>
      </c>
      <c r="AH82" s="704" t="s">
        <v>326</v>
      </c>
      <c r="AI82" s="1127" t="str">
        <f>'Consolidate TL'!P82</f>
        <v>(Amortization $ 508.61)</v>
      </c>
    </row>
    <row r="83" spans="1:35" s="1374" customFormat="1" ht="45" customHeight="1" thickBot="1">
      <c r="A83" s="595">
        <v>79</v>
      </c>
      <c r="B83" s="1560" t="s">
        <v>1167</v>
      </c>
      <c r="C83" s="1480" t="s">
        <v>503</v>
      </c>
      <c r="D83" s="693" t="s">
        <v>511</v>
      </c>
      <c r="E83" s="694" t="str">
        <f>+VLOOKUP(B83,'Consolidate TL'!$B$17:O355,2,FALSE)</f>
        <v>LD1526200243</v>
      </c>
      <c r="F83" s="1367">
        <f>+VLOOKUP(B83,'Consolidate TL'!$B$17:L354,9,FALSE)</f>
        <v>42119</v>
      </c>
      <c r="G83" s="1367">
        <f>+VLOOKUP(B83,'Consolidate TL'!$B$17:P355,10,FALSE)</f>
        <v>43215</v>
      </c>
      <c r="H83" s="695" t="str">
        <f t="shared" si="4"/>
        <v>36month,0days</v>
      </c>
      <c r="I83" s="696" t="s">
        <v>524</v>
      </c>
      <c r="J83" s="1368">
        <f>++VLOOKUP(B83,'Consolidate TL'!$B$17:L356,3,FALSE)</f>
        <v>0.1</v>
      </c>
      <c r="K83" s="697" t="s">
        <v>394</v>
      </c>
      <c r="L83" s="698">
        <f>+VLOOKUP(B83,'Consolidate TL'!$B$8:P1176,4,FALSE)</f>
        <v>6000</v>
      </c>
      <c r="M83" s="801"/>
      <c r="N83" s="1369"/>
      <c r="O83" s="597">
        <f>+VLOOKUP(B83,'Consolidate TL'!$B$8:$S$525,8,FALSE)</f>
        <v>382.28</v>
      </c>
      <c r="P83" s="1369"/>
      <c r="Q83" s="1369"/>
      <c r="R83" s="1369"/>
      <c r="S83" s="698">
        <f t="shared" si="5"/>
        <v>382.28</v>
      </c>
      <c r="T83" s="698"/>
      <c r="U83" s="698"/>
      <c r="V83" s="630">
        <f>+VLOOKUP(B83,'Consolidate TL'!$B$3:P568,12,FALSE)</f>
        <v>2.9</v>
      </c>
      <c r="W83" s="699">
        <v>0.01</v>
      </c>
      <c r="X83" s="801">
        <f t="shared" si="6"/>
        <v>3.8228</v>
      </c>
      <c r="Y83" s="1370" t="s">
        <v>1196</v>
      </c>
      <c r="Z83" s="1520"/>
      <c r="AA83" s="1371"/>
      <c r="AB83" s="700" t="s">
        <v>67</v>
      </c>
      <c r="AC83" s="700" t="s">
        <v>502</v>
      </c>
      <c r="AD83" s="1523" t="s">
        <v>1215</v>
      </c>
      <c r="AE83" s="702" t="s">
        <v>744</v>
      </c>
      <c r="AF83" s="702" t="s">
        <v>1227</v>
      </c>
      <c r="AG83" s="1373" t="s">
        <v>504</v>
      </c>
      <c r="AH83" s="704" t="s">
        <v>374</v>
      </c>
      <c r="AI83" s="1127" t="str">
        <f>'Consolidate TL'!P83</f>
        <v>Monthly Amortization of USD1,220.00 until the facility is fully settled.</v>
      </c>
    </row>
    <row r="84" spans="1:35" s="1374" customFormat="1" ht="45" customHeight="1" thickBot="1">
      <c r="A84" s="595">
        <v>80</v>
      </c>
      <c r="B84" s="1479" t="s">
        <v>1448</v>
      </c>
      <c r="C84" s="1480" t="s">
        <v>503</v>
      </c>
      <c r="D84" s="693" t="s">
        <v>511</v>
      </c>
      <c r="E84" s="694" t="str">
        <f>+VLOOKUP(B84,'Consolidate TL'!$B$17:O356,2,FALSE)</f>
        <v>LD1000900051</v>
      </c>
      <c r="F84" s="1367">
        <f>+VLOOKUP(B84,'Consolidate TL'!$B$17:L355,9,FALSE)</f>
        <v>42303</v>
      </c>
      <c r="G84" s="1367">
        <f>+VLOOKUP(B84,'Consolidate TL'!$B$17:P356,10,FALSE)</f>
        <v>45319</v>
      </c>
      <c r="H84" s="695" t="str">
        <f t="shared" si="4"/>
        <v>99month,2days</v>
      </c>
      <c r="I84" s="696" t="s">
        <v>524</v>
      </c>
      <c r="J84" s="1368">
        <f>++VLOOKUP(B84,'Consolidate TL'!$B$17:L357,3,FALSE)</f>
        <v>0.1</v>
      </c>
      <c r="K84" s="697" t="s">
        <v>394</v>
      </c>
      <c r="L84" s="698">
        <f>+VLOOKUP(B84,'Consolidate TL'!$B$8:P1177,4,FALSE)</f>
        <v>36000</v>
      </c>
      <c r="M84" s="801"/>
      <c r="N84" s="1369"/>
      <c r="O84" s="597">
        <f>+VLOOKUP(B84,'Consolidate TL'!$B$8:$S$525,8,FALSE)</f>
        <v>25404.27</v>
      </c>
      <c r="P84" s="1369"/>
      <c r="Q84" s="1369"/>
      <c r="R84" s="1369"/>
      <c r="S84" s="698">
        <f t="shared" si="5"/>
        <v>25404.27</v>
      </c>
      <c r="T84" s="698"/>
      <c r="U84" s="698"/>
      <c r="V84" s="755">
        <v>29.91</v>
      </c>
      <c r="W84" s="699">
        <v>0.01</v>
      </c>
      <c r="X84" s="801">
        <f t="shared" si="6"/>
        <v>254.0427</v>
      </c>
      <c r="Y84" s="1370" t="s">
        <v>1450</v>
      </c>
      <c r="Z84" s="1520" t="s">
        <v>1449</v>
      </c>
      <c r="AA84" s="1371">
        <v>53000</v>
      </c>
      <c r="AB84" s="700" t="s">
        <v>67</v>
      </c>
      <c r="AC84" s="700" t="s">
        <v>502</v>
      </c>
      <c r="AD84" s="1523" t="s">
        <v>1215</v>
      </c>
      <c r="AE84" s="702" t="s">
        <v>744</v>
      </c>
      <c r="AF84" s="702" t="s">
        <v>1227</v>
      </c>
      <c r="AG84" s="1373" t="s">
        <v>504</v>
      </c>
      <c r="AH84" s="704" t="s">
        <v>374</v>
      </c>
      <c r="AI84" s="1127" t="str">
        <f>'Consolidate TL'!P84</f>
        <v>Monthly Amortization of USD477.16 until the facility is fully settled.</v>
      </c>
    </row>
    <row r="85" spans="1:35" s="1374" customFormat="1" ht="45" customHeight="1" thickBot="1">
      <c r="A85" s="595">
        <v>81</v>
      </c>
      <c r="B85" s="1556" t="s">
        <v>1168</v>
      </c>
      <c r="C85" s="1480" t="s">
        <v>503</v>
      </c>
      <c r="D85" s="693" t="s">
        <v>511</v>
      </c>
      <c r="E85" s="694" t="str">
        <f>+VLOOKUP(B85,'Consolidate TL'!$B$17:O362,2,FALSE)</f>
        <v>LD1526200204</v>
      </c>
      <c r="F85" s="1367">
        <f>+VLOOKUP(B85,'Consolidate TL'!$B$17:L361,9,FALSE)</f>
        <v>42098</v>
      </c>
      <c r="G85" s="1367">
        <f>+VLOOKUP(B85,'Consolidate TL'!$B$17:P362,10,FALSE)</f>
        <v>44290</v>
      </c>
      <c r="H85" s="695" t="str">
        <f t="shared" ref="H85:H131" si="7">(YEAR(G85)-YEAR(F85)-IF(OR(MONTH(G85)&lt;MONTH(F85),AND(MONTH(G85)=MONTH(F85),DAY(G85)&lt;DAY(F85))),1,0))*12+(MONTH(G85)-MONTH(F85)+IF(AND(MONTH(G85)&lt;=MONTH(F85),DAY(G85)&lt;DAY(F85)),11,IF(AND(MONTH(G85)&lt;MONTH(F85),DAY(G85)&gt;=DAY(F85)),12,IF(AND(MONTH(G85)&gt;MONTH(F85),DAY(G85)&lt;DAY(F85)),-1))))&amp;"month,"&amp;G85-DATE(YEAR(G85),MONTH(G85)-IF(DAY(G85)&lt;DAY(F85),1,0),DAY(F85))&amp;"days"</f>
        <v>72month,0days</v>
      </c>
      <c r="I85" s="696" t="s">
        <v>524</v>
      </c>
      <c r="J85" s="1368">
        <f>++VLOOKUP(B85,'Consolidate TL'!$B$17:L363,3,FALSE)</f>
        <v>0.11</v>
      </c>
      <c r="K85" s="697" t="s">
        <v>394</v>
      </c>
      <c r="L85" s="698">
        <f>+VLOOKUP(B85,'Consolidate TL'!$B$8:P1183,4,FALSE)</f>
        <v>30000</v>
      </c>
      <c r="M85" s="801"/>
      <c r="N85" s="1369"/>
      <c r="O85" s="597">
        <f>+VLOOKUP(B85,'Consolidate TL'!$B$8:$S$525,8,FALSE)</f>
        <v>18199.34</v>
      </c>
      <c r="P85" s="1369"/>
      <c r="Q85" s="1369"/>
      <c r="R85" s="1369"/>
      <c r="S85" s="698">
        <f t="shared" si="5"/>
        <v>18199.34</v>
      </c>
      <c r="T85" s="698"/>
      <c r="U85" s="698"/>
      <c r="V85" s="630">
        <f>+VLOOKUP(B85,'Consolidate TL'!$B$3:P574,12,FALSE)</f>
        <v>175.81</v>
      </c>
      <c r="W85" s="699">
        <v>0.01</v>
      </c>
      <c r="X85" s="801">
        <f t="shared" si="6"/>
        <v>181.99340000000001</v>
      </c>
      <c r="Y85" s="1370" t="s">
        <v>1197</v>
      </c>
      <c r="Z85" s="1520" t="s">
        <v>1206</v>
      </c>
      <c r="AA85" s="1371">
        <v>60000</v>
      </c>
      <c r="AB85" s="700" t="s">
        <v>67</v>
      </c>
      <c r="AC85" s="700" t="s">
        <v>502</v>
      </c>
      <c r="AD85" s="701" t="s">
        <v>1216</v>
      </c>
      <c r="AE85" s="1524" t="s">
        <v>1228</v>
      </c>
      <c r="AF85" s="1524" t="s">
        <v>1229</v>
      </c>
      <c r="AG85" s="1373"/>
      <c r="AH85" s="704" t="s">
        <v>374</v>
      </c>
      <c r="AI85" s="1127" t="str">
        <f>'Consolidate TL'!P85</f>
        <v>Monthly Amortization of USD670.00 until the facility is fully settled.</v>
      </c>
    </row>
    <row r="86" spans="1:35" s="1374" customFormat="1" ht="45" customHeight="1" thickBot="1">
      <c r="A86" s="595">
        <v>82</v>
      </c>
      <c r="B86" s="1559" t="s">
        <v>1169</v>
      </c>
      <c r="C86" s="1480" t="s">
        <v>503</v>
      </c>
      <c r="D86" s="693" t="s">
        <v>511</v>
      </c>
      <c r="E86" s="694" t="str">
        <f>+VLOOKUP(B86,'Consolidate TL'!$B$17:O364,2,FALSE)</f>
        <v>LD1526200281</v>
      </c>
      <c r="F86" s="1367">
        <f>+VLOOKUP(B86,'Consolidate TL'!$B$17:L363,9,FALSE)</f>
        <v>41942</v>
      </c>
      <c r="G86" s="1367">
        <f>+VLOOKUP(B86,'Consolidate TL'!$B$17:P364,10,FALSE)</f>
        <v>43768</v>
      </c>
      <c r="H86" s="695" t="str">
        <f t="shared" si="7"/>
        <v>60month,0days</v>
      </c>
      <c r="I86" s="696" t="s">
        <v>524</v>
      </c>
      <c r="J86" s="1368">
        <f>++VLOOKUP(B86,'Consolidate TL'!$B$17:L365,3,FALSE)</f>
        <v>0.11</v>
      </c>
      <c r="K86" s="697" t="s">
        <v>394</v>
      </c>
      <c r="L86" s="698">
        <f>+VLOOKUP(B86,'Consolidate TL'!$B$8:P1185,4,FALSE)</f>
        <v>150000</v>
      </c>
      <c r="M86" s="801"/>
      <c r="N86" s="1369"/>
      <c r="O86" s="597">
        <f>+VLOOKUP(B86,'Consolidate TL'!$B$8:$S$525,8,FALSE)</f>
        <v>61015.88</v>
      </c>
      <c r="P86" s="1369"/>
      <c r="Q86" s="1369"/>
      <c r="R86" s="1369"/>
      <c r="S86" s="698">
        <f t="shared" si="5"/>
        <v>61015.88</v>
      </c>
      <c r="T86" s="698"/>
      <c r="U86" s="698"/>
      <c r="V86" s="630">
        <f>+VLOOKUP(B86,'Consolidate TL'!$B$3:P576,12,FALSE)</f>
        <v>47.2</v>
      </c>
      <c r="W86" s="699">
        <v>0.01</v>
      </c>
      <c r="X86" s="801">
        <f t="shared" si="6"/>
        <v>610.15880000000004</v>
      </c>
      <c r="Y86" s="1370" t="s">
        <v>1198</v>
      </c>
      <c r="Z86" s="1520" t="s">
        <v>1207</v>
      </c>
      <c r="AA86" s="1371">
        <v>251394</v>
      </c>
      <c r="AB86" s="700" t="s">
        <v>67</v>
      </c>
      <c r="AC86" s="700" t="s">
        <v>502</v>
      </c>
      <c r="AD86" s="701" t="s">
        <v>1217</v>
      </c>
      <c r="AE86" s="702" t="s">
        <v>1230</v>
      </c>
      <c r="AF86" s="701" t="s">
        <v>1231</v>
      </c>
      <c r="AG86" s="1373" t="s">
        <v>504</v>
      </c>
      <c r="AH86" s="704" t="s">
        <v>270</v>
      </c>
      <c r="AI86" s="1127" t="str">
        <f>'Consolidate TL'!P86</f>
        <v>Monthly Amortization installment of USD3,262.00to be paid until the facility is fully settled.</v>
      </c>
    </row>
    <row r="87" spans="1:35" s="1374" customFormat="1" ht="45" customHeight="1" thickBot="1">
      <c r="A87" s="595">
        <v>83</v>
      </c>
      <c r="B87" s="1556" t="s">
        <v>1170</v>
      </c>
      <c r="C87" s="1480" t="s">
        <v>503</v>
      </c>
      <c r="D87" s="693" t="s">
        <v>511</v>
      </c>
      <c r="E87" s="694" t="str">
        <f>+VLOOKUP(B87,'Consolidate TL'!$B$17:O368,2,FALSE)</f>
        <v>LD1526200182</v>
      </c>
      <c r="F87" s="1367">
        <f>+VLOOKUP(B87,'Consolidate TL'!$B$17:L367,9,FALSE)</f>
        <v>42087</v>
      </c>
      <c r="G87" s="1367">
        <f>+VLOOKUP(B87,'Consolidate TL'!$B$17:P368,10,FALSE)</f>
        <v>45740</v>
      </c>
      <c r="H87" s="695" t="str">
        <f t="shared" si="7"/>
        <v>120month,0days</v>
      </c>
      <c r="I87" s="696" t="s">
        <v>524</v>
      </c>
      <c r="J87" s="1368">
        <f>++VLOOKUP(B87,'Consolidate TL'!$B$17:L369,3,FALSE)</f>
        <v>0.09</v>
      </c>
      <c r="K87" s="697" t="s">
        <v>394</v>
      </c>
      <c r="L87" s="698">
        <f>+VLOOKUP(B87,'Consolidate TL'!$B$8:P1189,4,FALSE)</f>
        <v>60000</v>
      </c>
      <c r="M87" s="801"/>
      <c r="N87" s="1369"/>
      <c r="O87" s="597">
        <f>+VLOOKUP(B87,'Consolidate TL'!$B$8:$S$525,8,FALSE)</f>
        <v>47569.49</v>
      </c>
      <c r="P87" s="1369"/>
      <c r="Q87" s="1369"/>
      <c r="R87" s="1369"/>
      <c r="S87" s="698">
        <f t="shared" si="5"/>
        <v>47569.49</v>
      </c>
      <c r="T87" s="698"/>
      <c r="U87" s="698"/>
      <c r="V87" s="630">
        <f>+VLOOKUP(B87,'Consolidate TL'!$B$3:P580,12,FALSE)</f>
        <v>99.78</v>
      </c>
      <c r="W87" s="699">
        <v>0.01</v>
      </c>
      <c r="X87" s="801">
        <f t="shared" si="6"/>
        <v>475.69489999999996</v>
      </c>
      <c r="Y87" s="1370" t="s">
        <v>1199</v>
      </c>
      <c r="Z87" s="1520" t="s">
        <v>1208</v>
      </c>
      <c r="AA87" s="1371">
        <v>148800</v>
      </c>
      <c r="AB87" s="700" t="s">
        <v>67</v>
      </c>
      <c r="AC87" s="700" t="s">
        <v>502</v>
      </c>
      <c r="AD87" s="701" t="s">
        <v>1218</v>
      </c>
      <c r="AE87" s="1524" t="s">
        <v>580</v>
      </c>
      <c r="AF87" s="1525" t="s">
        <v>1232</v>
      </c>
      <c r="AG87" s="1373" t="s">
        <v>504</v>
      </c>
      <c r="AH87" s="704" t="s">
        <v>374</v>
      </c>
      <c r="AI87" s="1127" t="str">
        <f>'Consolidate TL'!P87</f>
        <v>Monthly Amortization of USD940.00 until the facility is fully settled.</v>
      </c>
    </row>
    <row r="88" spans="1:35" s="1374" customFormat="1" ht="45" customHeight="1" thickBot="1">
      <c r="A88" s="595">
        <v>84</v>
      </c>
      <c r="B88" s="1558" t="s">
        <v>1171</v>
      </c>
      <c r="C88" s="1480" t="s">
        <v>503</v>
      </c>
      <c r="D88" s="693" t="s">
        <v>511</v>
      </c>
      <c r="E88" s="694" t="e">
        <f>+VLOOKUP(B88,'Consolidate TL'!$B$17:O371,2,FALSE)</f>
        <v>#N/A</v>
      </c>
      <c r="F88" s="1367" t="e">
        <f>+VLOOKUP(B88,'Consolidate TL'!$B$17:L370,9,FALSE)</f>
        <v>#N/A</v>
      </c>
      <c r="G88" s="1367" t="e">
        <f>+VLOOKUP(B88,'Consolidate TL'!$B$17:P371,10,FALSE)</f>
        <v>#N/A</v>
      </c>
      <c r="H88" s="695" t="e">
        <f t="shared" si="7"/>
        <v>#N/A</v>
      </c>
      <c r="I88" s="696" t="s">
        <v>524</v>
      </c>
      <c r="J88" s="1368" t="e">
        <f>++VLOOKUP(B88,'Consolidate TL'!$B$17:L372,3,FALSE)</f>
        <v>#N/A</v>
      </c>
      <c r="K88" s="697" t="s">
        <v>394</v>
      </c>
      <c r="L88" s="698" t="e">
        <f>+VLOOKUP(B88,'Consolidate TL'!$B$8:P1192,4,FALSE)</f>
        <v>#N/A</v>
      </c>
      <c r="M88" s="801"/>
      <c r="N88" s="1369"/>
      <c r="O88" s="597" t="e">
        <f>+VLOOKUP(B88,'Consolidate TL'!$B$8:$S$525,8,FALSE)</f>
        <v>#N/A</v>
      </c>
      <c r="P88" s="1369"/>
      <c r="Q88" s="1369"/>
      <c r="R88" s="1369"/>
      <c r="S88" s="698" t="e">
        <f t="shared" si="5"/>
        <v>#N/A</v>
      </c>
      <c r="T88" s="698"/>
      <c r="U88" s="698"/>
      <c r="V88" s="630" t="e">
        <f>+VLOOKUP(B88,'Consolidate TL'!$B$3:P583,12,FALSE)</f>
        <v>#N/A</v>
      </c>
      <c r="W88" s="699">
        <v>0.01</v>
      </c>
      <c r="X88" s="801" t="e">
        <f t="shared" si="6"/>
        <v>#N/A</v>
      </c>
      <c r="Y88" s="1370" t="s">
        <v>1200</v>
      </c>
      <c r="Z88" s="1520" t="s">
        <v>1209</v>
      </c>
      <c r="AA88" s="1371">
        <f>39400+27783</f>
        <v>67183</v>
      </c>
      <c r="AB88" s="700" t="s">
        <v>67</v>
      </c>
      <c r="AC88" s="700"/>
      <c r="AD88" s="701" t="s">
        <v>1219</v>
      </c>
      <c r="AE88" s="702" t="s">
        <v>1233</v>
      </c>
      <c r="AF88" s="701" t="s">
        <v>1234</v>
      </c>
      <c r="AG88" s="1373" t="s">
        <v>504</v>
      </c>
      <c r="AH88" s="704" t="s">
        <v>374</v>
      </c>
      <c r="AI88" s="1127" t="e">
        <f>'Consolidate TL'!#REF!</f>
        <v>#REF!</v>
      </c>
    </row>
    <row r="89" spans="1:35" s="1374" customFormat="1" ht="45" customHeight="1" thickBot="1">
      <c r="A89" s="595">
        <v>85</v>
      </c>
      <c r="B89" s="1557" t="s">
        <v>1172</v>
      </c>
      <c r="C89" s="1480" t="s">
        <v>503</v>
      </c>
      <c r="D89" s="693" t="s">
        <v>511</v>
      </c>
      <c r="E89" s="694" t="str">
        <f>+VLOOKUP(B89,'Consolidate TL'!$B$17:O372,2,FALSE)</f>
        <v>LD1001000093</v>
      </c>
      <c r="F89" s="1367">
        <f>+VLOOKUP(B89,'Consolidate TL'!$B$17:L371,9,FALSE)</f>
        <v>42342</v>
      </c>
      <c r="G89" s="1367">
        <f>+VLOOKUP(B89,'Consolidate TL'!$B$17:P372,10,FALSE)</f>
        <v>43438</v>
      </c>
      <c r="H89" s="695" t="str">
        <f t="shared" si="7"/>
        <v>36month,0days</v>
      </c>
      <c r="I89" s="696" t="s">
        <v>524</v>
      </c>
      <c r="J89" s="1368">
        <f>++VLOOKUP(B89,'Consolidate TL'!$B$17:L373,3,FALSE)</f>
        <v>0.1</v>
      </c>
      <c r="K89" s="697" t="s">
        <v>394</v>
      </c>
      <c r="L89" s="698">
        <f>+VLOOKUP(B89,'Consolidate TL'!$B$8:P1193,4,FALSE)</f>
        <v>200000</v>
      </c>
      <c r="M89" s="801"/>
      <c r="N89" s="1369"/>
      <c r="O89" s="597">
        <f>+VLOOKUP(B89,'Consolidate TL'!$B$8:$S$525,8,FALSE)</f>
        <v>61481.86</v>
      </c>
      <c r="P89" s="1369"/>
      <c r="Q89" s="1369"/>
      <c r="R89" s="1369"/>
      <c r="S89" s="698">
        <f t="shared" si="5"/>
        <v>61481.86</v>
      </c>
      <c r="T89" s="698"/>
      <c r="U89" s="698"/>
      <c r="V89" s="630">
        <f>+VLOOKUP(B89,'Consolidate TL'!$B$3:P584,12,FALSE)</f>
        <v>709.58</v>
      </c>
      <c r="W89" s="699">
        <v>0.01</v>
      </c>
      <c r="X89" s="801">
        <f t="shared" si="6"/>
        <v>614.81860000000006</v>
      </c>
      <c r="Y89" s="1370" t="s">
        <v>1201</v>
      </c>
      <c r="Z89" s="1520" t="s">
        <v>1210</v>
      </c>
      <c r="AA89" s="1371">
        <v>301320</v>
      </c>
      <c r="AB89" s="700" t="s">
        <v>67</v>
      </c>
      <c r="AC89" s="700" t="s">
        <v>502</v>
      </c>
      <c r="AD89" s="701" t="s">
        <v>1220</v>
      </c>
      <c r="AE89" s="702" t="s">
        <v>580</v>
      </c>
      <c r="AF89" s="701" t="s">
        <v>1235</v>
      </c>
      <c r="AG89" s="1373" t="s">
        <v>504</v>
      </c>
      <c r="AH89" s="704" t="s">
        <v>326</v>
      </c>
      <c r="AI89" s="1127" t="str">
        <f>'Consolidate TL'!P88</f>
        <v>Monthly amortization of USD 343.49 to be paid every month until the facility is fully settled.</v>
      </c>
    </row>
    <row r="90" spans="1:35" s="1374" customFormat="1" ht="45" customHeight="1" thickBot="1">
      <c r="A90" s="595">
        <v>86</v>
      </c>
      <c r="B90" s="1557" t="s">
        <v>1173</v>
      </c>
      <c r="C90" s="1480" t="s">
        <v>503</v>
      </c>
      <c r="D90" s="693" t="s">
        <v>511</v>
      </c>
      <c r="E90" s="694" t="str">
        <f>+VLOOKUP(B90,'Consolidate TL'!$B$17:O375,2,FALSE)</f>
        <v>LD1002400921</v>
      </c>
      <c r="F90" s="1367">
        <f>+VLOOKUP(B90,'Consolidate TL'!$B$17:L374,9,FALSE)</f>
        <v>42342</v>
      </c>
      <c r="G90" s="1367">
        <f>+VLOOKUP(B90,'Consolidate TL'!$B$17:P375,10,FALSE)</f>
        <v>43803</v>
      </c>
      <c r="H90" s="695" t="str">
        <f t="shared" si="7"/>
        <v>48month,0days</v>
      </c>
      <c r="I90" s="696" t="s">
        <v>524</v>
      </c>
      <c r="J90" s="1368">
        <f>++VLOOKUP(B90,'Consolidate TL'!$B$17:L376,3,FALSE)</f>
        <v>0.12</v>
      </c>
      <c r="K90" s="697" t="s">
        <v>394</v>
      </c>
      <c r="L90" s="698">
        <f>+VLOOKUP(B90,'Consolidate TL'!$B$8:P1196,4,FALSE)</f>
        <v>13000</v>
      </c>
      <c r="M90" s="801"/>
      <c r="N90" s="1369"/>
      <c r="O90" s="597">
        <f>+VLOOKUP(B90,'Consolidate TL'!$B$8:$S$525,8,FALSE)</f>
        <v>6746.04</v>
      </c>
      <c r="P90" s="1369"/>
      <c r="Q90" s="1369"/>
      <c r="R90" s="1369"/>
      <c r="S90" s="698">
        <f t="shared" si="5"/>
        <v>6746.04</v>
      </c>
      <c r="T90" s="698"/>
      <c r="U90" s="698"/>
      <c r="V90" s="630">
        <f>+VLOOKUP(B90,'Consolidate TL'!$B$3:P587,12,FALSE)</f>
        <v>77.8</v>
      </c>
      <c r="W90" s="699">
        <v>0.01</v>
      </c>
      <c r="X90" s="801">
        <f t="shared" si="6"/>
        <v>67.460400000000007</v>
      </c>
      <c r="Y90" s="1370" t="s">
        <v>1202</v>
      </c>
      <c r="Z90" s="1520" t="s">
        <v>1211</v>
      </c>
      <c r="AA90" s="1371">
        <v>30000</v>
      </c>
      <c r="AB90" s="700" t="s">
        <v>67</v>
      </c>
      <c r="AC90" s="700" t="s">
        <v>502</v>
      </c>
      <c r="AD90" s="701" t="s">
        <v>1221</v>
      </c>
      <c r="AE90" s="702" t="s">
        <v>580</v>
      </c>
      <c r="AF90" s="701" t="s">
        <v>1236</v>
      </c>
      <c r="AG90" s="1373" t="s">
        <v>504</v>
      </c>
      <c r="AH90" s="704" t="s">
        <v>374</v>
      </c>
      <c r="AI90" s="1127" t="str">
        <f>'Consolidate TL'!P89</f>
        <v>Monthly amortization of USD 343.49 to be paid every month until the facility is fully settled.</v>
      </c>
    </row>
    <row r="91" spans="1:35" s="1374" customFormat="1" ht="45" customHeight="1" thickBot="1">
      <c r="A91" s="595">
        <v>87</v>
      </c>
      <c r="B91" s="1561" t="s">
        <v>1241</v>
      </c>
      <c r="C91" s="1480" t="s">
        <v>503</v>
      </c>
      <c r="D91" s="693" t="s">
        <v>511</v>
      </c>
      <c r="E91" s="694" t="str">
        <f>+VLOOKUP(B91,'Consolidate TL'!$B$17:O379,2,FALSE)</f>
        <v>LD1526200352</v>
      </c>
      <c r="F91" s="1367">
        <f>+VLOOKUP(B91,'Consolidate TL'!$B$17:L378,9,FALSE)</f>
        <v>41978</v>
      </c>
      <c r="G91" s="1367">
        <f>+VLOOKUP(B91,'Consolidate TL'!$B$17:P379,10,FALSE)</f>
        <v>43804</v>
      </c>
      <c r="H91" s="695" t="str">
        <f t="shared" si="7"/>
        <v>60month,0days</v>
      </c>
      <c r="I91" s="696" t="s">
        <v>524</v>
      </c>
      <c r="J91" s="1368">
        <f>++VLOOKUP(B91,'Consolidate TL'!$B$17:L380,3,FALSE)</f>
        <v>0.12</v>
      </c>
      <c r="K91" s="697" t="s">
        <v>394</v>
      </c>
      <c r="L91" s="698">
        <f>+VLOOKUP(B91,'Consolidate TL'!$B$8:P1200,4,FALSE)</f>
        <v>20000</v>
      </c>
      <c r="M91" s="801"/>
      <c r="N91" s="1369"/>
      <c r="O91" s="597">
        <f>+VLOOKUP(B91,'Consolidate TL'!$B$8:$S$525,8,FALSE)</f>
        <v>7308</v>
      </c>
      <c r="P91" s="1369"/>
      <c r="Q91" s="1369"/>
      <c r="R91" s="1369"/>
      <c r="S91" s="698">
        <f t="shared" si="5"/>
        <v>7308</v>
      </c>
      <c r="T91" s="698"/>
      <c r="U91" s="698"/>
      <c r="V91" s="630">
        <f>+VLOOKUP(B91,'Consolidate TL'!$B$3:P591,12,FALSE)</f>
        <v>71.39</v>
      </c>
      <c r="W91" s="699">
        <v>0.01</v>
      </c>
      <c r="X91" s="801">
        <f t="shared" si="6"/>
        <v>73.08</v>
      </c>
      <c r="Y91" s="1370" t="s">
        <v>1203</v>
      </c>
      <c r="Z91" s="1520" t="s">
        <v>1212</v>
      </c>
      <c r="AA91" s="1371">
        <v>40000</v>
      </c>
      <c r="AB91" s="700" t="s">
        <v>67</v>
      </c>
      <c r="AC91" s="700" t="s">
        <v>502</v>
      </c>
      <c r="AD91" s="701" t="s">
        <v>1203</v>
      </c>
      <c r="AE91" s="702" t="s">
        <v>1226</v>
      </c>
      <c r="AF91" s="757" t="s">
        <v>1237</v>
      </c>
      <c r="AG91" s="1373" t="s">
        <v>504</v>
      </c>
      <c r="AH91" s="704" t="s">
        <v>326</v>
      </c>
      <c r="AI91" s="1127" t="str">
        <f>'Consolidate TL'!P90</f>
        <v>Monthly Amortization installment of USD334.00 to be paid until the facility is fully settled.</v>
      </c>
    </row>
    <row r="92" spans="1:35" s="1374" customFormat="1" ht="45" customHeight="1" thickBot="1">
      <c r="A92" s="595">
        <v>88</v>
      </c>
      <c r="B92" s="1561" t="s">
        <v>1243</v>
      </c>
      <c r="C92" s="1480" t="s">
        <v>503</v>
      </c>
      <c r="D92" s="693" t="s">
        <v>511</v>
      </c>
      <c r="E92" s="694" t="str">
        <f>+VLOOKUP(B92,'Consolidate TL'!$B$17:O380,2,FALSE)</f>
        <v>LD1003000458</v>
      </c>
      <c r="F92" s="1367">
        <f>+VLOOKUP(B92,'Consolidate TL'!$B$17:L379,9,FALSE)</f>
        <v>42648</v>
      </c>
      <c r="G92" s="1367">
        <f>+VLOOKUP(B92,'Consolidate TL'!$B$17:P380,10,FALSE)</f>
        <v>46300</v>
      </c>
      <c r="H92" s="695" t="str">
        <f t="shared" si="7"/>
        <v>120month,0days</v>
      </c>
      <c r="I92" s="696" t="s">
        <v>524</v>
      </c>
      <c r="J92" s="1368">
        <f>++VLOOKUP(B92,'Consolidate TL'!$B$17:L381,3,FALSE)</f>
        <v>0.1</v>
      </c>
      <c r="K92" s="697" t="s">
        <v>394</v>
      </c>
      <c r="L92" s="698">
        <f>+VLOOKUP(B92,'Consolidate TL'!$B$8:P1201,4,FALSE)</f>
        <v>30000</v>
      </c>
      <c r="M92" s="801"/>
      <c r="N92" s="1369"/>
      <c r="O92" s="597">
        <f>+VLOOKUP(B92,'Consolidate TL'!$B$8:$S$525,8,FALSE)</f>
        <v>27529.58</v>
      </c>
      <c r="P92" s="1369"/>
      <c r="Q92" s="1369"/>
      <c r="R92" s="1369"/>
      <c r="S92" s="698">
        <f t="shared" si="5"/>
        <v>27529.58</v>
      </c>
      <c r="T92" s="698"/>
      <c r="U92" s="698"/>
      <c r="V92" s="630">
        <f>+VLOOKUP(B92,'Consolidate TL'!$B$3:P592,12,FALSE)</f>
        <v>213.65</v>
      </c>
      <c r="W92" s="699">
        <v>0.01</v>
      </c>
      <c r="X92" s="801">
        <f t="shared" si="6"/>
        <v>275.29580000000004</v>
      </c>
      <c r="Y92" s="1370" t="s">
        <v>1251</v>
      </c>
      <c r="Z92" s="1520" t="s">
        <v>1252</v>
      </c>
      <c r="AA92" s="1371">
        <v>50000</v>
      </c>
      <c r="AB92" s="700" t="s">
        <v>67</v>
      </c>
      <c r="AC92" s="700" t="s">
        <v>502</v>
      </c>
      <c r="AD92" s="701" t="s">
        <v>1251</v>
      </c>
      <c r="AE92" s="702" t="s">
        <v>723</v>
      </c>
      <c r="AF92" s="757" t="s">
        <v>1253</v>
      </c>
      <c r="AG92" s="1373" t="s">
        <v>504</v>
      </c>
      <c r="AH92" s="704" t="s">
        <v>386</v>
      </c>
      <c r="AI92" s="1127" t="str">
        <f>'Consolidate TL'!P91</f>
        <v>Monthly Amortization installment of USD398.81 to be paid until the facility is fully settled.</v>
      </c>
    </row>
    <row r="93" spans="1:35" s="1374" customFormat="1" ht="45" customHeight="1" thickBot="1">
      <c r="A93" s="595">
        <v>89</v>
      </c>
      <c r="B93" s="1561" t="s">
        <v>1246</v>
      </c>
      <c r="C93" s="1480" t="s">
        <v>503</v>
      </c>
      <c r="D93" s="693" t="s">
        <v>511</v>
      </c>
      <c r="E93" s="694" t="str">
        <f>+VLOOKUP(B93,'Consolidate TL'!$B$17:O381,2,FALSE)</f>
        <v>LD1003000475</v>
      </c>
      <c r="F93" s="1367">
        <f>+VLOOKUP(B93,'Consolidate TL'!$B$17:L380,9,FALSE)</f>
        <v>42655</v>
      </c>
      <c r="G93" s="1367">
        <f>+VLOOKUP(B93,'Consolidate TL'!$B$17:P381,10,FALSE)</f>
        <v>46307</v>
      </c>
      <c r="H93" s="695" t="str">
        <f t="shared" si="7"/>
        <v>120month,0days</v>
      </c>
      <c r="I93" s="696" t="s">
        <v>524</v>
      </c>
      <c r="J93" s="1368">
        <f>++VLOOKUP(B93,'Consolidate TL'!$B$17:L382,3,FALSE)</f>
        <v>0.1</v>
      </c>
      <c r="K93" s="697" t="s">
        <v>394</v>
      </c>
      <c r="L93" s="698">
        <f>+VLOOKUP(B93,'Consolidate TL'!$B$8:P1202,4,FALSE)</f>
        <v>40000</v>
      </c>
      <c r="M93" s="801"/>
      <c r="N93" s="1369"/>
      <c r="O93" s="597">
        <f>+VLOOKUP(B93,'Consolidate TL'!$B$8:$S$525,8,FALSE)</f>
        <v>36708.269999999997</v>
      </c>
      <c r="P93" s="1369"/>
      <c r="Q93" s="1369"/>
      <c r="R93" s="1369"/>
      <c r="S93" s="698">
        <f t="shared" si="5"/>
        <v>36708.269999999997</v>
      </c>
      <c r="T93" s="698"/>
      <c r="U93" s="698"/>
      <c r="V93" s="630">
        <f>+VLOOKUP(B93,'Consolidate TL'!$B$3:P593,12,FALSE)</f>
        <v>211.03</v>
      </c>
      <c r="W93" s="699">
        <v>0.01</v>
      </c>
      <c r="X93" s="801">
        <f t="shared" si="6"/>
        <v>367.08269999999999</v>
      </c>
      <c r="Y93" s="1370" t="s">
        <v>1254</v>
      </c>
      <c r="Z93" s="1520" t="s">
        <v>1255</v>
      </c>
      <c r="AA93" s="1371">
        <v>70180</v>
      </c>
      <c r="AB93" s="700" t="s">
        <v>67</v>
      </c>
      <c r="AC93" s="700" t="s">
        <v>502</v>
      </c>
      <c r="AD93" s="1370" t="s">
        <v>1256</v>
      </c>
      <c r="AE93" s="702" t="s">
        <v>723</v>
      </c>
      <c r="AF93" s="757" t="s">
        <v>1257</v>
      </c>
      <c r="AG93" s="1373" t="s">
        <v>504</v>
      </c>
      <c r="AH93" s="704" t="s">
        <v>386</v>
      </c>
      <c r="AI93" s="1127" t="str">
        <f>'Consolidate TL'!P92</f>
        <v>Monthly Amortization installment of USD531.78 to be paid until the facility is fully settled.</v>
      </c>
    </row>
    <row r="94" spans="1:35" s="1374" customFormat="1" ht="45" customHeight="1" thickBot="1">
      <c r="A94" s="595">
        <v>90</v>
      </c>
      <c r="B94" s="1561" t="s">
        <v>1258</v>
      </c>
      <c r="C94" s="1480" t="s">
        <v>503</v>
      </c>
      <c r="D94" s="693" t="s">
        <v>511</v>
      </c>
      <c r="E94" s="694" t="str">
        <f>+VLOOKUP(B94,'Consolidate TL'!$B$17:O382,2,FALSE)</f>
        <v>LD1003000257</v>
      </c>
      <c r="F94" s="1367">
        <f>+VLOOKUP(B94,'Consolidate TL'!$B$17:L381,9,FALSE)</f>
        <v>42661</v>
      </c>
      <c r="G94" s="1367">
        <f>+VLOOKUP(B94,'Consolidate TL'!$B$17:P382,10,FALSE)</f>
        <v>46313</v>
      </c>
      <c r="H94" s="695" t="str">
        <f t="shared" si="7"/>
        <v>120month,0days</v>
      </c>
      <c r="I94" s="696" t="s">
        <v>524</v>
      </c>
      <c r="J94" s="1368">
        <f>++VLOOKUP(B94,'Consolidate TL'!$B$17:L383,3,FALSE)</f>
        <v>0.08</v>
      </c>
      <c r="K94" s="697" t="s">
        <v>394</v>
      </c>
      <c r="L94" s="698">
        <f>+VLOOKUP(B94,'Consolidate TL'!$B$8:P1203,4,FALSE)</f>
        <v>50000</v>
      </c>
      <c r="M94" s="801"/>
      <c r="N94" s="1369"/>
      <c r="O94" s="597">
        <f>+VLOOKUP(B94,'Consolidate TL'!$B$8:$S$525,8,FALSE)</f>
        <v>45438.71</v>
      </c>
      <c r="P94" s="1369"/>
      <c r="Q94" s="1369"/>
      <c r="R94" s="1369"/>
      <c r="S94" s="698">
        <f t="shared" si="5"/>
        <v>45438.71</v>
      </c>
      <c r="T94" s="698"/>
      <c r="U94" s="698"/>
      <c r="V94" s="630">
        <f>+VLOOKUP(B94,'Consolidate TL'!$B$3:P594,12,FALSE)</f>
        <v>146.83000000000001</v>
      </c>
      <c r="W94" s="699">
        <v>0.01</v>
      </c>
      <c r="X94" s="801">
        <f t="shared" si="6"/>
        <v>454.38709999999998</v>
      </c>
      <c r="Y94" s="1370" t="s">
        <v>1261</v>
      </c>
      <c r="Z94" s="1520" t="s">
        <v>1262</v>
      </c>
      <c r="AA94" s="1371">
        <v>84280</v>
      </c>
      <c r="AB94" s="700" t="s">
        <v>67</v>
      </c>
      <c r="AC94" s="700" t="s">
        <v>502</v>
      </c>
      <c r="AD94" s="701" t="s">
        <v>1261</v>
      </c>
      <c r="AE94" s="702" t="s">
        <v>723</v>
      </c>
      <c r="AF94" s="757" t="s">
        <v>1263</v>
      </c>
      <c r="AG94" s="1373" t="s">
        <v>504</v>
      </c>
      <c r="AH94" s="704" t="s">
        <v>386</v>
      </c>
      <c r="AI94" s="1127" t="str">
        <f>'Consolidate TL'!P93</f>
        <v>Monthly Amortization installment of USD609.68 to be paid until the facility is fully settled.</v>
      </c>
    </row>
    <row r="95" spans="1:35" s="1374" customFormat="1" ht="45" customHeight="1" thickBot="1">
      <c r="A95" s="595">
        <v>91</v>
      </c>
      <c r="B95" s="1561" t="s">
        <v>1264</v>
      </c>
      <c r="C95" s="1480" t="s">
        <v>503</v>
      </c>
      <c r="D95" s="693" t="s">
        <v>511</v>
      </c>
      <c r="E95" s="694" t="str">
        <f>+VLOOKUP(B95,'Consolidate TL'!$B$17:O383,2,FALSE)</f>
        <v>LD1003000416</v>
      </c>
      <c r="F95" s="1367">
        <f>+VLOOKUP(B95,'Consolidate TL'!$B$17:L382,9,FALSE)</f>
        <v>42655</v>
      </c>
      <c r="G95" s="1367">
        <f>+VLOOKUP(B95,'Consolidate TL'!$B$17:P383,10,FALSE)</f>
        <v>44116</v>
      </c>
      <c r="H95" s="695" t="str">
        <f t="shared" si="7"/>
        <v>48month,0days</v>
      </c>
      <c r="I95" s="696" t="s">
        <v>753</v>
      </c>
      <c r="J95" s="1368">
        <f>++VLOOKUP(B95,'Consolidate TL'!$B$17:L384,3,FALSE)</f>
        <v>0.1</v>
      </c>
      <c r="K95" s="697" t="s">
        <v>394</v>
      </c>
      <c r="L95" s="698">
        <f>+VLOOKUP(B95,'Consolidate TL'!$B$8:P1204,4,FALSE)</f>
        <v>43000</v>
      </c>
      <c r="M95" s="801"/>
      <c r="N95" s="1369"/>
      <c r="O95" s="597">
        <f>+VLOOKUP(B95,'Consolidate TL'!$B$8:$S$525,8,FALSE)</f>
        <v>28666.720000000001</v>
      </c>
      <c r="P95" s="1369"/>
      <c r="Q95" s="1369"/>
      <c r="R95" s="1369"/>
      <c r="S95" s="698">
        <f t="shared" si="5"/>
        <v>28666.720000000001</v>
      </c>
      <c r="T95" s="698"/>
      <c r="U95" s="698"/>
      <c r="V95" s="630">
        <f>+VLOOKUP(B95,'Consolidate TL'!$B$3:P595,12,FALSE)</f>
        <v>189.12</v>
      </c>
      <c r="W95" s="699">
        <v>0.01</v>
      </c>
      <c r="X95" s="801">
        <f t="shared" si="6"/>
        <v>286.66720000000004</v>
      </c>
      <c r="Y95" s="1370" t="s">
        <v>1282</v>
      </c>
      <c r="Z95" s="1520" t="s">
        <v>1281</v>
      </c>
      <c r="AA95" s="1371">
        <v>77449</v>
      </c>
      <c r="AB95" s="700" t="s">
        <v>67</v>
      </c>
      <c r="AC95" s="700" t="s">
        <v>502</v>
      </c>
      <c r="AD95" s="701" t="s">
        <v>1267</v>
      </c>
      <c r="AE95" s="702" t="s">
        <v>934</v>
      </c>
      <c r="AF95" s="757" t="s">
        <v>1268</v>
      </c>
      <c r="AG95" s="1373" t="s">
        <v>504</v>
      </c>
      <c r="AH95" s="704" t="s">
        <v>386</v>
      </c>
      <c r="AI95" s="1127" t="str">
        <f>'Consolidate TL'!P94</f>
        <v>Monthly principle installment.</v>
      </c>
    </row>
    <row r="96" spans="1:35" s="1374" customFormat="1" ht="45" customHeight="1" thickBot="1">
      <c r="A96" s="595">
        <v>92</v>
      </c>
      <c r="B96" s="1561" t="s">
        <v>1269</v>
      </c>
      <c r="C96" s="1480" t="s">
        <v>503</v>
      </c>
      <c r="D96" s="693" t="s">
        <v>511</v>
      </c>
      <c r="E96" s="694" t="str">
        <f>+VLOOKUP(B96,'Consolidate TL'!$B$17:O384,2,FALSE)</f>
        <v>LD1003000701</v>
      </c>
      <c r="F96" s="1367">
        <f>+VLOOKUP(B96,'Consolidate TL'!$B$17:L383,9,FALSE)</f>
        <v>42664</v>
      </c>
      <c r="G96" s="1367">
        <f>+VLOOKUP(B96,'Consolidate TL'!$B$17:P384,10,FALSE)</f>
        <v>46316</v>
      </c>
      <c r="H96" s="695" t="str">
        <f t="shared" si="7"/>
        <v>120month,0days</v>
      </c>
      <c r="I96" s="696" t="s">
        <v>524</v>
      </c>
      <c r="J96" s="1368">
        <f>++VLOOKUP(B96,'Consolidate TL'!$B$17:L385,3,FALSE)</f>
        <v>9.5000000000000001E-2</v>
      </c>
      <c r="K96" s="697" t="s">
        <v>394</v>
      </c>
      <c r="L96" s="698">
        <f>+VLOOKUP(B96,'Consolidate TL'!$B$8:P1205,4,FALSE)</f>
        <v>50000</v>
      </c>
      <c r="M96" s="801"/>
      <c r="N96" s="1369"/>
      <c r="O96" s="597">
        <f>+VLOOKUP(B96,'Consolidate TL'!$B$8:$S$525,8,FALSE)</f>
        <v>45776.69</v>
      </c>
      <c r="P96" s="1369"/>
      <c r="Q96" s="1369"/>
      <c r="R96" s="1369"/>
      <c r="S96" s="698">
        <f t="shared" si="5"/>
        <v>45776.69</v>
      </c>
      <c r="T96" s="698"/>
      <c r="U96" s="698"/>
      <c r="V96" s="630">
        <f>+VLOOKUP(B96,'Consolidate TL'!$B$3:P596,12,FALSE)</f>
        <v>137.63</v>
      </c>
      <c r="W96" s="699">
        <v>0.01</v>
      </c>
      <c r="X96" s="801">
        <f t="shared" si="6"/>
        <v>457.76690000000002</v>
      </c>
      <c r="Y96" s="1370" t="s">
        <v>1283</v>
      </c>
      <c r="Z96" s="1520" t="s">
        <v>1280</v>
      </c>
      <c r="AA96" s="1371">
        <v>83840</v>
      </c>
      <c r="AB96" s="700" t="s">
        <v>67</v>
      </c>
      <c r="AC96" s="700" t="s">
        <v>502</v>
      </c>
      <c r="AD96" s="701" t="s">
        <v>1272</v>
      </c>
      <c r="AE96" s="702" t="s">
        <v>934</v>
      </c>
      <c r="AF96" s="757" t="s">
        <v>1273</v>
      </c>
      <c r="AG96" s="1373" t="s">
        <v>504</v>
      </c>
      <c r="AH96" s="704" t="s">
        <v>386</v>
      </c>
      <c r="AI96" s="1127" t="str">
        <f>'Consolidate TL'!P95</f>
        <v>Monthly Amortization installment of USD650.72 to be paid until the facility is fully settled.</v>
      </c>
    </row>
    <row r="97" spans="1:35" s="1374" customFormat="1" ht="45" customHeight="1" thickBot="1">
      <c r="A97" s="595">
        <v>93</v>
      </c>
      <c r="B97" s="1400" t="s">
        <v>1274</v>
      </c>
      <c r="C97" s="1480" t="s">
        <v>503</v>
      </c>
      <c r="D97" s="693" t="s">
        <v>511</v>
      </c>
      <c r="E97" s="694" t="str">
        <f>+VLOOKUP(B97,'Consolidate TL'!$B$17:O385,2,FALSE)</f>
        <v>LD1630502487</v>
      </c>
      <c r="F97" s="1367">
        <f>+VLOOKUP(B97,'Consolidate TL'!$B$17:L384,9,FALSE)</f>
        <v>42674</v>
      </c>
      <c r="G97" s="1367">
        <f>+VLOOKUP(B97,'Consolidate TL'!$B$17:P385,10,FALSE)</f>
        <v>46326</v>
      </c>
      <c r="H97" s="695" t="str">
        <f t="shared" si="7"/>
        <v>120month,0days</v>
      </c>
      <c r="I97" s="696" t="s">
        <v>524</v>
      </c>
      <c r="J97" s="1368">
        <f>++VLOOKUP(B97,'Consolidate TL'!$B$17:L386,3,FALSE)</f>
        <v>9.5000000000000001E-2</v>
      </c>
      <c r="K97" s="697" t="s">
        <v>394</v>
      </c>
      <c r="L97" s="698">
        <f>+VLOOKUP(B97,'Consolidate TL'!$B$8:P1206,4,FALSE)</f>
        <v>25000</v>
      </c>
      <c r="M97" s="801"/>
      <c r="N97" s="1369"/>
      <c r="O97" s="597">
        <f>+VLOOKUP(B97,'Consolidate TL'!$B$8:$S$525,8,FALSE)</f>
        <v>22870.22</v>
      </c>
      <c r="P97" s="1369"/>
      <c r="Q97" s="1369"/>
      <c r="R97" s="1369"/>
      <c r="S97" s="698">
        <f t="shared" si="5"/>
        <v>22870.22</v>
      </c>
      <c r="T97" s="698"/>
      <c r="U97" s="698"/>
      <c r="V97" s="630">
        <f>+VLOOKUP(B97,'Consolidate TL'!$B$3:P597,12,FALSE)</f>
        <v>6.26</v>
      </c>
      <c r="W97" s="699">
        <v>0.01</v>
      </c>
      <c r="X97" s="801">
        <f t="shared" si="6"/>
        <v>228.7022</v>
      </c>
      <c r="Y97" s="1370" t="s">
        <v>1284</v>
      </c>
      <c r="Z97" s="1520" t="s">
        <v>1279</v>
      </c>
      <c r="AA97" s="1371">
        <v>57320</v>
      </c>
      <c r="AB97" s="700" t="s">
        <v>67</v>
      </c>
      <c r="AC97" s="700" t="s">
        <v>502</v>
      </c>
      <c r="AD97" s="1370" t="s">
        <v>1277</v>
      </c>
      <c r="AE97" s="702" t="s">
        <v>934</v>
      </c>
      <c r="AF97" s="757" t="s">
        <v>1278</v>
      </c>
      <c r="AG97" s="1373" t="s">
        <v>504</v>
      </c>
      <c r="AH97" s="704" t="s">
        <v>386</v>
      </c>
      <c r="AI97" s="1127" t="str">
        <f>'Consolidate TL'!P96</f>
        <v>Monthly Amortization installment of USD325.31 to be paid until the facility is fully settled.</v>
      </c>
    </row>
    <row r="98" spans="1:35" s="1374" customFormat="1" ht="45" customHeight="1" thickBot="1">
      <c r="A98" s="595">
        <v>94</v>
      </c>
      <c r="B98" s="1400" t="s">
        <v>1285</v>
      </c>
      <c r="C98" s="1480" t="s">
        <v>503</v>
      </c>
      <c r="D98" s="693" t="s">
        <v>511</v>
      </c>
      <c r="E98" s="694" t="str">
        <f>+VLOOKUP(B98,'Consolidate TL'!$B$17:O386,2,FALSE)</f>
        <v>LD1003000379</v>
      </c>
      <c r="F98" s="1367">
        <f>+VLOOKUP(B98,'Consolidate TL'!$B$17:L385,9,FALSE)</f>
        <v>42650</v>
      </c>
      <c r="G98" s="1367">
        <f>+VLOOKUP(B98,'Consolidate TL'!$B$17:P386,10,FALSE)</f>
        <v>46667</v>
      </c>
      <c r="H98" s="695" t="str">
        <f t="shared" si="7"/>
        <v>132month,0days</v>
      </c>
      <c r="I98" s="696" t="s">
        <v>524</v>
      </c>
      <c r="J98" s="1368">
        <f>++VLOOKUP(B98,'Consolidate TL'!$B$17:L387,3,FALSE)</f>
        <v>0.1</v>
      </c>
      <c r="K98" s="697" t="s">
        <v>394</v>
      </c>
      <c r="L98" s="698">
        <f>+VLOOKUP(B98,'Consolidate TL'!$B$8:P1207,4,FALSE)</f>
        <v>32000</v>
      </c>
      <c r="M98" s="801"/>
      <c r="N98" s="1369"/>
      <c r="O98" s="597">
        <f>+VLOOKUP(B98,'Consolidate TL'!$B$8:$S$525,8,FALSE)</f>
        <v>29745.09</v>
      </c>
      <c r="P98" s="1369"/>
      <c r="Q98" s="1369"/>
      <c r="R98" s="1369"/>
      <c r="S98" s="698">
        <f t="shared" si="5"/>
        <v>29745.09</v>
      </c>
      <c r="T98" s="698"/>
      <c r="U98" s="698"/>
      <c r="V98" s="630">
        <f>+VLOOKUP(B98,'Consolidate TL'!$B$3:P598,12,FALSE)</f>
        <v>212.63</v>
      </c>
      <c r="W98" s="699">
        <v>0.01</v>
      </c>
      <c r="X98" s="801">
        <f t="shared" ref="X98:X129" si="8">+S98*W98</f>
        <v>297.45089999999999</v>
      </c>
      <c r="Y98" s="1370" t="s">
        <v>1287</v>
      </c>
      <c r="Z98" s="1520" t="s">
        <v>1288</v>
      </c>
      <c r="AA98" s="1371">
        <v>55680</v>
      </c>
      <c r="AB98" s="700" t="s">
        <v>67</v>
      </c>
      <c r="AC98" s="700" t="s">
        <v>502</v>
      </c>
      <c r="AD98" s="1370" t="s">
        <v>1287</v>
      </c>
      <c r="AE98" s="702" t="s">
        <v>934</v>
      </c>
      <c r="AF98" s="757" t="s">
        <v>1289</v>
      </c>
      <c r="AG98" s="1373" t="s">
        <v>504</v>
      </c>
      <c r="AH98" s="704" t="s">
        <v>386</v>
      </c>
      <c r="AI98" s="1127" t="str">
        <f>'Consolidate TL'!P97</f>
        <v>Monthly Amortization installment of USD390 to be paid until the facility is fully settled.</v>
      </c>
    </row>
    <row r="99" spans="1:35" s="1374" customFormat="1" ht="45" customHeight="1" thickBot="1">
      <c r="A99" s="595">
        <v>95</v>
      </c>
      <c r="B99" s="1400" t="s">
        <v>1291</v>
      </c>
      <c r="C99" s="1480" t="s">
        <v>503</v>
      </c>
      <c r="D99" s="693" t="s">
        <v>511</v>
      </c>
      <c r="E99" s="694" t="e">
        <f>+VLOOKUP(B99,'Consolidate TL'!$B$17:O387,2,FALSE)</f>
        <v>#N/A</v>
      </c>
      <c r="F99" s="1367" t="e">
        <f>+VLOOKUP(B99,'Consolidate TL'!$B$17:L386,9,FALSE)</f>
        <v>#N/A</v>
      </c>
      <c r="G99" s="1367" t="e">
        <f>+VLOOKUP(B99,'Consolidate TL'!$B$17:P387,10,FALSE)</f>
        <v>#N/A</v>
      </c>
      <c r="H99" s="695" t="e">
        <f t="shared" si="7"/>
        <v>#N/A</v>
      </c>
      <c r="I99" s="696" t="s">
        <v>753</v>
      </c>
      <c r="J99" s="1368" t="e">
        <f>++VLOOKUP(B99,'Consolidate TL'!$B$17:L388,3,FALSE)</f>
        <v>#N/A</v>
      </c>
      <c r="K99" s="697" t="s">
        <v>394</v>
      </c>
      <c r="L99" s="698" t="e">
        <f>+VLOOKUP(B99,'Consolidate TL'!$B$8:P1208,4,FALSE)</f>
        <v>#N/A</v>
      </c>
      <c r="M99" s="801"/>
      <c r="N99" s="1369"/>
      <c r="O99" s="597" t="e">
        <f>+VLOOKUP(B99,'Consolidate TL'!$B$8:$S$525,8,FALSE)</f>
        <v>#N/A</v>
      </c>
      <c r="P99" s="1369"/>
      <c r="Q99" s="1369"/>
      <c r="R99" s="1369"/>
      <c r="S99" s="698" t="e">
        <f t="shared" si="5"/>
        <v>#N/A</v>
      </c>
      <c r="T99" s="698"/>
      <c r="U99" s="698"/>
      <c r="V99" s="630" t="e">
        <f>+VLOOKUP(B99,'Consolidate TL'!$B$3:P599,12,FALSE)</f>
        <v>#N/A</v>
      </c>
      <c r="W99" s="699">
        <v>0.01</v>
      </c>
      <c r="X99" s="801" t="e">
        <f t="shared" si="8"/>
        <v>#N/A</v>
      </c>
      <c r="Y99" s="1370" t="s">
        <v>1292</v>
      </c>
      <c r="Z99" s="1520" t="s">
        <v>1293</v>
      </c>
      <c r="AA99" s="1371">
        <v>37380</v>
      </c>
      <c r="AB99" s="700" t="s">
        <v>67</v>
      </c>
      <c r="AC99" s="700" t="s">
        <v>502</v>
      </c>
      <c r="AD99" s="1370" t="s">
        <v>1292</v>
      </c>
      <c r="AE99" s="702" t="s">
        <v>934</v>
      </c>
      <c r="AF99" s="757" t="s">
        <v>1294</v>
      </c>
      <c r="AG99" s="1373" t="s">
        <v>504</v>
      </c>
      <c r="AH99" s="704" t="s">
        <v>386</v>
      </c>
      <c r="AI99" s="1127" t="e">
        <f>'Consolidate TL'!#REF!</f>
        <v>#REF!</v>
      </c>
    </row>
    <row r="100" spans="1:35" s="1374" customFormat="1" ht="45" customHeight="1" thickBot="1">
      <c r="A100" s="595">
        <v>96</v>
      </c>
      <c r="B100" s="1400" t="s">
        <v>1295</v>
      </c>
      <c r="C100" s="1480" t="s">
        <v>503</v>
      </c>
      <c r="D100" s="693" t="s">
        <v>511</v>
      </c>
      <c r="E100" s="694" t="str">
        <f>+VLOOKUP(B100,'Consolidate TL'!$B$17:O388,2,FALSE)</f>
        <v>LD1003000931</v>
      </c>
      <c r="F100" s="1367">
        <f>+VLOOKUP(B100,'Consolidate TL'!$B$17:L387,9,FALSE)</f>
        <v>42674</v>
      </c>
      <c r="G100" s="1367">
        <f>+VLOOKUP(B100,'Consolidate TL'!$B$17:P388,10,FALSE)</f>
        <v>46326</v>
      </c>
      <c r="H100" s="695" t="str">
        <f t="shared" si="7"/>
        <v>120month,0days</v>
      </c>
      <c r="I100" s="696" t="s">
        <v>524</v>
      </c>
      <c r="J100" s="1368">
        <f>++VLOOKUP(B100,'Consolidate TL'!$B$17:L389,3,FALSE)</f>
        <v>9.5000000000000001E-2</v>
      </c>
      <c r="K100" s="697" t="s">
        <v>394</v>
      </c>
      <c r="L100" s="698">
        <f>+VLOOKUP(B100,'Consolidate TL'!$B$8:P1209,4,FALSE)</f>
        <v>39000</v>
      </c>
      <c r="M100" s="801"/>
      <c r="N100" s="1369"/>
      <c r="O100" s="597">
        <f>+VLOOKUP(B100,'Consolidate TL'!$B$8:$S$525,8,FALSE)</f>
        <v>35677.46</v>
      </c>
      <c r="P100" s="1369"/>
      <c r="Q100" s="1369"/>
      <c r="R100" s="1369"/>
      <c r="S100" s="698">
        <f t="shared" si="5"/>
        <v>35677.46</v>
      </c>
      <c r="T100" s="698"/>
      <c r="U100" s="698"/>
      <c r="V100" s="630">
        <f>+VLOOKUP(B100,'Consolidate TL'!$B$3:P600,12,FALSE)</f>
        <v>9.76</v>
      </c>
      <c r="W100" s="699">
        <v>0.01</v>
      </c>
      <c r="X100" s="801">
        <f t="shared" si="8"/>
        <v>356.77460000000002</v>
      </c>
      <c r="Y100" s="1370" t="s">
        <v>1299</v>
      </c>
      <c r="Z100" s="1520" t="s">
        <v>1300</v>
      </c>
      <c r="AA100" s="1371">
        <v>65682</v>
      </c>
      <c r="AB100" s="700" t="s">
        <v>67</v>
      </c>
      <c r="AC100" s="700" t="s">
        <v>502</v>
      </c>
      <c r="AD100" s="1370" t="s">
        <v>1298</v>
      </c>
      <c r="AE100" s="702" t="s">
        <v>934</v>
      </c>
      <c r="AF100" s="757" t="s">
        <v>1301</v>
      </c>
      <c r="AG100" s="1373" t="s">
        <v>504</v>
      </c>
      <c r="AH100" s="704" t="s">
        <v>386</v>
      </c>
      <c r="AI100" s="1127" t="str">
        <f>'Consolidate TL'!P98</f>
        <v>Monthly Amortization installment of USD507.49 to be paid until the facility is fully settled.</v>
      </c>
    </row>
    <row r="101" spans="1:35" s="1374" customFormat="1" ht="45" customHeight="1" thickBot="1">
      <c r="A101" s="595">
        <v>97</v>
      </c>
      <c r="B101" s="1400" t="s">
        <v>1302</v>
      </c>
      <c r="C101" s="1480" t="s">
        <v>503</v>
      </c>
      <c r="D101" s="693" t="s">
        <v>511</v>
      </c>
      <c r="E101" s="694" t="str">
        <f>+VLOOKUP(B101,'Consolidate TL'!$B$17:O389,2,FALSE)</f>
        <v>LD1629961470</v>
      </c>
      <c r="F101" s="1367">
        <f>+VLOOKUP(B101,'Consolidate TL'!$B$17:L388,9,FALSE)</f>
        <v>42668</v>
      </c>
      <c r="G101" s="1367">
        <f>+VLOOKUP(B101,'Consolidate TL'!$B$17:P389,10,FALSE)</f>
        <v>46320</v>
      </c>
      <c r="H101" s="695" t="str">
        <f t="shared" si="7"/>
        <v>120month,0days</v>
      </c>
      <c r="I101" s="696" t="s">
        <v>524</v>
      </c>
      <c r="J101" s="1368">
        <f>++VLOOKUP(B101,'Consolidate TL'!$B$17:L390,3,FALSE)</f>
        <v>0.12</v>
      </c>
      <c r="K101" s="697" t="s">
        <v>394</v>
      </c>
      <c r="L101" s="698">
        <f>+VLOOKUP(B101,'Consolidate TL'!$B$8:P1210,4,FALSE)</f>
        <v>60000</v>
      </c>
      <c r="M101" s="801"/>
      <c r="N101" s="1369"/>
      <c r="O101" s="597">
        <f>+VLOOKUP(B101,'Consolidate TL'!$B$8:$S$525,8,FALSE)</f>
        <v>55559.77</v>
      </c>
      <c r="P101" s="1369"/>
      <c r="Q101" s="1369"/>
      <c r="R101" s="1369"/>
      <c r="S101" s="698">
        <f t="shared" si="5"/>
        <v>55559.77</v>
      </c>
      <c r="T101" s="698"/>
      <c r="U101" s="698"/>
      <c r="V101" s="630">
        <f>+VLOOKUP(B101,'Consolidate TL'!$B$3:P601,12,FALSE)</f>
        <v>133.68</v>
      </c>
      <c r="W101" s="699">
        <v>0.01</v>
      </c>
      <c r="X101" s="801">
        <f t="shared" si="8"/>
        <v>555.59770000000003</v>
      </c>
      <c r="Y101" s="1370" t="s">
        <v>1311</v>
      </c>
      <c r="Z101" s="1520" t="s">
        <v>1312</v>
      </c>
      <c r="AA101" s="1371">
        <v>122802</v>
      </c>
      <c r="AB101" s="700" t="s">
        <v>67</v>
      </c>
      <c r="AC101" s="700" t="s">
        <v>502</v>
      </c>
      <c r="AD101" s="1370" t="s">
        <v>1313</v>
      </c>
      <c r="AE101" s="702" t="s">
        <v>934</v>
      </c>
      <c r="AF101" s="757" t="s">
        <v>1314</v>
      </c>
      <c r="AG101" s="1373" t="s">
        <v>504</v>
      </c>
      <c r="AH101" s="704" t="s">
        <v>386</v>
      </c>
      <c r="AI101" s="1127" t="str">
        <f>'Consolidate TL'!P99</f>
        <v>Monthly Amortization installment of USD866.80 to be paid until the facility is fully settled.</v>
      </c>
    </row>
    <row r="102" spans="1:35" s="1374" customFormat="1" ht="54.75" customHeight="1" thickBot="1">
      <c r="A102" s="595">
        <v>98</v>
      </c>
      <c r="B102" s="1400" t="s">
        <v>1306</v>
      </c>
      <c r="C102" s="1480" t="s">
        <v>503</v>
      </c>
      <c r="D102" s="693" t="s">
        <v>511</v>
      </c>
      <c r="E102" s="694" t="str">
        <f>+VLOOKUP(B102,'Consolidate TL'!$B$17:O390,2,FALSE)</f>
        <v>LD1630027402</v>
      </c>
      <c r="F102" s="1367">
        <f>+VLOOKUP(B102,'Consolidate TL'!$B$17:L389,9,FALSE)</f>
        <v>42669</v>
      </c>
      <c r="G102" s="1367">
        <f>+VLOOKUP(B102,'Consolidate TL'!$B$17:P390,10,FALSE)</f>
        <v>44495</v>
      </c>
      <c r="H102" s="695" t="str">
        <f t="shared" si="7"/>
        <v>60month,0days</v>
      </c>
      <c r="I102" s="696" t="s">
        <v>524</v>
      </c>
      <c r="J102" s="1368">
        <f>++VLOOKUP(B102,'Consolidate TL'!$B$17:L391,3,FALSE)</f>
        <v>0.1</v>
      </c>
      <c r="K102" s="697" t="s">
        <v>394</v>
      </c>
      <c r="L102" s="698">
        <f>+VLOOKUP(B102,'Consolidate TL'!$B$8:P1211,4,FALSE)</f>
        <v>40000</v>
      </c>
      <c r="M102" s="801"/>
      <c r="N102" s="1369"/>
      <c r="O102" s="597">
        <f>+VLOOKUP(B102,'Consolidate TL'!$B$8:$S$525,8,FALSE)</f>
        <v>31233.69</v>
      </c>
      <c r="P102" s="1369"/>
      <c r="Q102" s="1369"/>
      <c r="R102" s="1369"/>
      <c r="S102" s="698">
        <f t="shared" si="5"/>
        <v>31233.69</v>
      </c>
      <c r="T102" s="698"/>
      <c r="U102" s="698"/>
      <c r="V102" s="630">
        <f>+VLOOKUP(B102,'Consolidate TL'!$B$3:P602,12,FALSE)</f>
        <v>57.75</v>
      </c>
      <c r="W102" s="699">
        <v>0.01</v>
      </c>
      <c r="X102" s="801">
        <f t="shared" si="8"/>
        <v>312.33690000000001</v>
      </c>
      <c r="Y102" s="1370" t="s">
        <v>1315</v>
      </c>
      <c r="Z102" s="1520" t="s">
        <v>1317</v>
      </c>
      <c r="AA102" s="1371">
        <v>284412</v>
      </c>
      <c r="AB102" s="700" t="s">
        <v>67</v>
      </c>
      <c r="AC102" s="700" t="s">
        <v>502</v>
      </c>
      <c r="AD102" s="1370" t="s">
        <v>1318</v>
      </c>
      <c r="AE102" s="702" t="s">
        <v>934</v>
      </c>
      <c r="AF102" s="757" t="s">
        <v>1319</v>
      </c>
      <c r="AG102" s="1373" t="s">
        <v>504</v>
      </c>
      <c r="AH102" s="704" t="s">
        <v>214</v>
      </c>
      <c r="AI102" s="1127" t="str">
        <f>'Consolidate TL'!P100</f>
        <v>Monthly Amortization installment of USD 852.67 to be paid until the facility is fully settled.</v>
      </c>
    </row>
    <row r="103" spans="1:35" s="1374" customFormat="1" ht="45" customHeight="1" thickBot="1">
      <c r="A103" s="595">
        <v>99</v>
      </c>
      <c r="B103" s="1400" t="s">
        <v>1305</v>
      </c>
      <c r="C103" s="1480" t="s">
        <v>503</v>
      </c>
      <c r="D103" s="693" t="s">
        <v>511</v>
      </c>
      <c r="E103" s="694" t="str">
        <f>+VLOOKUP(B103,'Consolidate TL'!$B$17:O391,2,FALSE)</f>
        <v>LD1630016024</v>
      </c>
      <c r="F103" s="1367">
        <f>+VLOOKUP(B103,'Consolidate TL'!$B$17:L390,9,FALSE)</f>
        <v>42669</v>
      </c>
      <c r="G103" s="1367">
        <f>+VLOOKUP(B103,'Consolidate TL'!$B$17:P391,10,FALSE)</f>
        <v>46321</v>
      </c>
      <c r="H103" s="695" t="str">
        <f t="shared" si="7"/>
        <v>120month,0days</v>
      </c>
      <c r="I103" s="696" t="s">
        <v>524</v>
      </c>
      <c r="J103" s="1368">
        <f>++VLOOKUP(B103,'Consolidate TL'!$B$17:L392,3,FALSE)</f>
        <v>0.1</v>
      </c>
      <c r="K103" s="697" t="s">
        <v>394</v>
      </c>
      <c r="L103" s="698">
        <f>+VLOOKUP(B103,'Consolidate TL'!$B$8:P1212,4,FALSE)</f>
        <v>81000</v>
      </c>
      <c r="M103" s="801"/>
      <c r="N103" s="1369"/>
      <c r="O103" s="597">
        <f>+VLOOKUP(B103,'Consolidate TL'!$B$8:$S$525,8,FALSE)</f>
        <v>74334.16</v>
      </c>
      <c r="P103" s="1369"/>
      <c r="Q103" s="1369"/>
      <c r="R103" s="1369"/>
      <c r="S103" s="698">
        <f t="shared" si="5"/>
        <v>74334.16</v>
      </c>
      <c r="T103" s="698"/>
      <c r="U103" s="698"/>
      <c r="V103" s="630">
        <f>+VLOOKUP(B103,'Consolidate TL'!$B$3:P603,12,FALSE)</f>
        <v>128.19999999999999</v>
      </c>
      <c r="W103" s="699">
        <v>0.01</v>
      </c>
      <c r="X103" s="801">
        <f t="shared" si="8"/>
        <v>743.34160000000008</v>
      </c>
      <c r="Y103" s="1370" t="s">
        <v>1315</v>
      </c>
      <c r="Z103" s="1520" t="s">
        <v>1316</v>
      </c>
      <c r="AA103" s="1371">
        <v>284412</v>
      </c>
      <c r="AB103" s="700" t="s">
        <v>67</v>
      </c>
      <c r="AC103" s="700" t="s">
        <v>502</v>
      </c>
      <c r="AD103" s="1370" t="s">
        <v>1318</v>
      </c>
      <c r="AE103" s="702" t="s">
        <v>934</v>
      </c>
      <c r="AF103" s="757" t="s">
        <v>1319</v>
      </c>
      <c r="AG103" s="1373" t="s">
        <v>504</v>
      </c>
      <c r="AH103" s="704" t="s">
        <v>214</v>
      </c>
      <c r="AI103" s="1127" t="str">
        <f>'Consolidate TL'!P101</f>
        <v>Monthly Amortization installment of USD 1,076.86 to be paid until the facility is fully settled.</v>
      </c>
    </row>
    <row r="104" spans="1:35" s="1374" customFormat="1" ht="45" customHeight="1" thickBot="1">
      <c r="A104" s="595">
        <v>100</v>
      </c>
      <c r="B104" s="1400" t="s">
        <v>1321</v>
      </c>
      <c r="C104" s="1480" t="s">
        <v>503</v>
      </c>
      <c r="D104" s="693" t="s">
        <v>511</v>
      </c>
      <c r="E104" s="694" t="str">
        <f>+VLOOKUP(B104,'Consolidate TL'!$B$17:O392,2,FALSE)</f>
        <v>LD1630016025</v>
      </c>
      <c r="F104" s="1367">
        <f>+VLOOKUP(B104,'Consolidate TL'!$B$17:L391,9,FALSE)</f>
        <v>42682</v>
      </c>
      <c r="G104" s="1367">
        <f>+VLOOKUP(B104,'Consolidate TL'!$B$17:P392,10,FALSE)</f>
        <v>46334</v>
      </c>
      <c r="H104" s="695" t="str">
        <f t="shared" si="7"/>
        <v>120month,0days</v>
      </c>
      <c r="I104" s="696" t="s">
        <v>753</v>
      </c>
      <c r="J104" s="1368">
        <f>++VLOOKUP(B104,'Consolidate TL'!$B$17:L393,3,FALSE)</f>
        <v>0.08</v>
      </c>
      <c r="K104" s="697" t="s">
        <v>394</v>
      </c>
      <c r="L104" s="698">
        <f>+VLOOKUP(B104,'Consolidate TL'!$B$8:P1213,4,FALSE)</f>
        <v>40000</v>
      </c>
      <c r="M104" s="801"/>
      <c r="N104" s="1369"/>
      <c r="O104" s="597">
        <f>+VLOOKUP(B104,'Consolidate TL'!$B$8:$S$525,8,FALSE)</f>
        <v>35000.050000000003</v>
      </c>
      <c r="P104" s="1369"/>
      <c r="Q104" s="1369"/>
      <c r="R104" s="1369"/>
      <c r="S104" s="698">
        <f t="shared" si="5"/>
        <v>35000.050000000003</v>
      </c>
      <c r="T104" s="698"/>
      <c r="U104" s="698"/>
      <c r="V104" s="630">
        <f>+VLOOKUP(B104,'Consolidate TL'!$B$3:P604,12,FALSE)</f>
        <v>197.33</v>
      </c>
      <c r="W104" s="699">
        <v>0.01</v>
      </c>
      <c r="X104" s="801">
        <f t="shared" si="8"/>
        <v>350.00050000000005</v>
      </c>
      <c r="Y104" s="1370" t="s">
        <v>1323</v>
      </c>
      <c r="Z104" s="1520" t="s">
        <v>1324</v>
      </c>
      <c r="AA104" s="1371">
        <v>84280</v>
      </c>
      <c r="AB104" s="700" t="s">
        <v>67</v>
      </c>
      <c r="AC104" s="700" t="s">
        <v>502</v>
      </c>
      <c r="AD104" s="1370" t="s">
        <v>1323</v>
      </c>
      <c r="AE104" s="702" t="s">
        <v>723</v>
      </c>
      <c r="AF104" s="757" t="s">
        <v>1325</v>
      </c>
      <c r="AG104" s="1373" t="s">
        <v>504</v>
      </c>
      <c r="AH104" s="704" t="s">
        <v>386</v>
      </c>
      <c r="AI104" s="1127" t="str">
        <f>'Consolidate TL'!P102</f>
        <v>Monthly Principel Installment.</v>
      </c>
    </row>
    <row r="105" spans="1:35" s="1374" customFormat="1" ht="45" customHeight="1" thickBot="1">
      <c r="A105" s="595">
        <v>101</v>
      </c>
      <c r="B105" s="1400" t="s">
        <v>1326</v>
      </c>
      <c r="C105" s="1480" t="s">
        <v>503</v>
      </c>
      <c r="D105" s="693" t="s">
        <v>511</v>
      </c>
      <c r="E105" s="694" t="str">
        <f>+VLOOKUP(B105,'Consolidate TL'!$B$17:O393,2,FALSE)</f>
        <v>LD1630016026</v>
      </c>
      <c r="F105" s="1367">
        <f>+VLOOKUP(B105,'Consolidate TL'!$B$17:L392,9,FALSE)</f>
        <v>42696</v>
      </c>
      <c r="G105" s="1367">
        <f>+VLOOKUP(B105,'Consolidate TL'!$B$17:P393,10,FALSE)</f>
        <v>46348</v>
      </c>
      <c r="H105" s="695" t="str">
        <f t="shared" si="7"/>
        <v>120month,0days</v>
      </c>
      <c r="I105" s="696" t="s">
        <v>524</v>
      </c>
      <c r="J105" s="1368">
        <f>++VLOOKUP(B105,'Consolidate TL'!$B$17:L394,3,FALSE)</f>
        <v>0.08</v>
      </c>
      <c r="K105" s="697" t="s">
        <v>394</v>
      </c>
      <c r="L105" s="698">
        <f>+VLOOKUP(B105,'Consolidate TL'!$B$8:P1214,4,FALSE)</f>
        <v>115000</v>
      </c>
      <c r="M105" s="801"/>
      <c r="N105" s="1369"/>
      <c r="O105" s="597">
        <f>+VLOOKUP(B105,'Consolidate TL'!$B$8:$S$525,8,FALSE)</f>
        <v>105186.92</v>
      </c>
      <c r="P105" s="1369"/>
      <c r="Q105" s="1369"/>
      <c r="R105" s="1369"/>
      <c r="S105" s="698">
        <f t="shared" si="5"/>
        <v>105186.92</v>
      </c>
      <c r="T105" s="698"/>
      <c r="U105" s="698"/>
      <c r="V105" s="630">
        <f>+VLOOKUP(B105,'Consolidate TL'!$B$3:P605,12,FALSE)</f>
        <v>242.67</v>
      </c>
      <c r="W105" s="699">
        <v>0.01</v>
      </c>
      <c r="X105" s="801">
        <f t="shared" si="8"/>
        <v>1051.8692000000001</v>
      </c>
      <c r="Y105" s="1370" t="s">
        <v>1332</v>
      </c>
      <c r="Z105" s="1520" t="s">
        <v>1333</v>
      </c>
      <c r="AA105" s="1371">
        <v>195743</v>
      </c>
      <c r="AB105" s="700" t="s">
        <v>67</v>
      </c>
      <c r="AC105" s="700" t="s">
        <v>502</v>
      </c>
      <c r="AD105" s="1370" t="s">
        <v>1334</v>
      </c>
      <c r="AE105" s="702" t="s">
        <v>723</v>
      </c>
      <c r="AF105" s="757" t="s">
        <v>1268</v>
      </c>
      <c r="AG105" s="1373" t="s">
        <v>504</v>
      </c>
      <c r="AH105" s="704" t="s">
        <v>386</v>
      </c>
      <c r="AI105" s="1127" t="s">
        <v>1330</v>
      </c>
    </row>
    <row r="106" spans="1:35" s="1374" customFormat="1" ht="45" customHeight="1" thickBot="1">
      <c r="A106" s="595">
        <v>102</v>
      </c>
      <c r="B106" s="1400" t="s">
        <v>1327</v>
      </c>
      <c r="C106" s="1480" t="s">
        <v>503</v>
      </c>
      <c r="D106" s="693" t="s">
        <v>511</v>
      </c>
      <c r="E106" s="694" t="str">
        <f>+VLOOKUP(B106,'Consolidate TL'!$B$17:O394,2,FALSE)</f>
        <v>LD1630016027</v>
      </c>
      <c r="F106" s="1367">
        <f>+VLOOKUP(B106,'Consolidate TL'!$B$17:L393,9,FALSE)</f>
        <v>42698</v>
      </c>
      <c r="G106" s="1367">
        <f>+VLOOKUP(B106,'Consolidate TL'!$B$17:P394,10,FALSE)</f>
        <v>45985</v>
      </c>
      <c r="H106" s="695" t="str">
        <f t="shared" si="7"/>
        <v>108month,0days</v>
      </c>
      <c r="I106" s="696" t="s">
        <v>524</v>
      </c>
      <c r="J106" s="1368">
        <f>++VLOOKUP(B106,'Consolidate TL'!$B$17:L395,3,FALSE)</f>
        <v>0.1</v>
      </c>
      <c r="K106" s="697" t="s">
        <v>394</v>
      </c>
      <c r="L106" s="698">
        <f>+VLOOKUP(B106,'Consolidate TL'!$B$8:P1215,4,FALSE)</f>
        <v>20000</v>
      </c>
      <c r="M106" s="801"/>
      <c r="N106" s="1369"/>
      <c r="O106" s="597">
        <f>+VLOOKUP(B106,'Consolidate TL'!$B$8:$S$525,8,FALSE)</f>
        <v>18186.68</v>
      </c>
      <c r="P106" s="1369"/>
      <c r="Q106" s="1369"/>
      <c r="R106" s="1369"/>
      <c r="S106" s="698">
        <f t="shared" si="5"/>
        <v>18186.68</v>
      </c>
      <c r="T106" s="698"/>
      <c r="U106" s="698"/>
      <c r="V106" s="630">
        <f>+VLOOKUP(B106,'Consolidate TL'!$B$3:P606,12,FALSE)</f>
        <v>42.07</v>
      </c>
      <c r="W106" s="699">
        <v>0.01</v>
      </c>
      <c r="X106" s="801">
        <f t="shared" si="8"/>
        <v>181.86680000000001</v>
      </c>
      <c r="Y106" s="1370" t="s">
        <v>1335</v>
      </c>
      <c r="Z106" s="1520" t="s">
        <v>1336</v>
      </c>
      <c r="AA106" s="1371">
        <v>49760</v>
      </c>
      <c r="AB106" s="700" t="s">
        <v>67</v>
      </c>
      <c r="AC106" s="700" t="s">
        <v>502</v>
      </c>
      <c r="AD106" s="1370" t="s">
        <v>1337</v>
      </c>
      <c r="AE106" s="702" t="s">
        <v>1338</v>
      </c>
      <c r="AF106" s="757" t="s">
        <v>1366</v>
      </c>
      <c r="AG106" s="1373" t="s">
        <v>504</v>
      </c>
      <c r="AH106" s="704" t="s">
        <v>386</v>
      </c>
      <c r="AI106" s="1127" t="s">
        <v>1331</v>
      </c>
    </row>
    <row r="107" spans="1:35" s="1374" customFormat="1" ht="45" customHeight="1" thickBot="1">
      <c r="A107" s="595">
        <v>103</v>
      </c>
      <c r="B107" s="1400" t="s">
        <v>1328</v>
      </c>
      <c r="C107" s="1480" t="s">
        <v>503</v>
      </c>
      <c r="D107" s="693" t="s">
        <v>511</v>
      </c>
      <c r="E107" s="694" t="e">
        <f>+VLOOKUP(B107,'Consolidate TL'!$B$17:O396,2,FALSE)</f>
        <v>#N/A</v>
      </c>
      <c r="F107" s="1367" t="e">
        <f>+VLOOKUP(B107,'Consolidate TL'!$B$17:L395,9,FALSE)</f>
        <v>#N/A</v>
      </c>
      <c r="G107" s="1367" t="e">
        <f>+VLOOKUP(B107,'Consolidate TL'!$B$17:P396,10,FALSE)</f>
        <v>#N/A</v>
      </c>
      <c r="H107" s="695" t="e">
        <f t="shared" si="7"/>
        <v>#N/A</v>
      </c>
      <c r="I107" s="696" t="s">
        <v>524</v>
      </c>
      <c r="J107" s="1368" t="e">
        <f>++VLOOKUP(B107,'Consolidate TL'!$B$17:L397,3,FALSE)</f>
        <v>#N/A</v>
      </c>
      <c r="K107" s="697" t="s">
        <v>394</v>
      </c>
      <c r="L107" s="698" t="e">
        <f>+VLOOKUP(B107,'Consolidate TL'!$B$8:P1217,4,FALSE)</f>
        <v>#N/A</v>
      </c>
      <c r="M107" s="801"/>
      <c r="N107" s="1369"/>
      <c r="O107" s="597" t="e">
        <f>+VLOOKUP(B107,'Consolidate TL'!$B$8:$S$525,8,FALSE)</f>
        <v>#N/A</v>
      </c>
      <c r="P107" s="1369"/>
      <c r="Q107" s="1369"/>
      <c r="R107" s="1369"/>
      <c r="S107" s="698" t="e">
        <f t="shared" si="5"/>
        <v>#N/A</v>
      </c>
      <c r="T107" s="698"/>
      <c r="U107" s="698"/>
      <c r="V107" s="630" t="e">
        <f>+VLOOKUP(B107,'Consolidate TL'!$B$3:P608,12,FALSE)</f>
        <v>#N/A</v>
      </c>
      <c r="W107" s="699">
        <v>0.01</v>
      </c>
      <c r="X107" s="801" t="e">
        <f t="shared" si="8"/>
        <v>#N/A</v>
      </c>
      <c r="Y107" s="1370" t="s">
        <v>1344</v>
      </c>
      <c r="Z107" s="1520" t="s">
        <v>1343</v>
      </c>
      <c r="AA107" s="1371">
        <v>105900</v>
      </c>
      <c r="AB107" s="700" t="s">
        <v>67</v>
      </c>
      <c r="AC107" s="700" t="s">
        <v>502</v>
      </c>
      <c r="AD107" s="1370" t="s">
        <v>1344</v>
      </c>
      <c r="AE107" s="702" t="s">
        <v>1345</v>
      </c>
      <c r="AF107" s="757" t="s">
        <v>1346</v>
      </c>
      <c r="AG107" s="1373" t="s">
        <v>504</v>
      </c>
      <c r="AH107" s="704" t="s">
        <v>386</v>
      </c>
      <c r="AI107" s="1127" t="s">
        <v>1329</v>
      </c>
    </row>
    <row r="108" spans="1:35" s="1374" customFormat="1" ht="45" customHeight="1" thickBot="1">
      <c r="A108" s="595">
        <v>104</v>
      </c>
      <c r="B108" s="1400" t="s">
        <v>1339</v>
      </c>
      <c r="C108" s="1480" t="s">
        <v>503</v>
      </c>
      <c r="D108" s="693" t="s">
        <v>511</v>
      </c>
      <c r="E108" s="694" t="str">
        <f>+VLOOKUP(B108,'Consolidate TL'!$B$17:O397,2,FALSE)</f>
        <v>LD1630016030</v>
      </c>
      <c r="F108" s="1367">
        <f>+VLOOKUP(B108,'Consolidate TL'!$B$17:L396,9,FALSE)</f>
        <v>42703</v>
      </c>
      <c r="G108" s="1367">
        <f>+VLOOKUP(B108,'Consolidate TL'!$B$17:P397,10,FALSE)</f>
        <v>46355</v>
      </c>
      <c r="H108" s="695" t="str">
        <f t="shared" si="7"/>
        <v>120month,0days</v>
      </c>
      <c r="I108" s="696" t="s">
        <v>524</v>
      </c>
      <c r="J108" s="1368">
        <f>++VLOOKUP(B108,'Consolidate TL'!$B$17:L398,3,FALSE)</f>
        <v>0.1</v>
      </c>
      <c r="K108" s="697" t="s">
        <v>394</v>
      </c>
      <c r="L108" s="698">
        <f>+VLOOKUP(B108,'Consolidate TL'!$B$8:P1218,4,FALSE)</f>
        <v>50000</v>
      </c>
      <c r="M108" s="801"/>
      <c r="N108" s="1369"/>
      <c r="O108" s="597">
        <f>+VLOOKUP(B108,'Consolidate TL'!$B$8:$S$525,8,FALSE)</f>
        <v>46139.8</v>
      </c>
      <c r="P108" s="1369"/>
      <c r="Q108" s="1369"/>
      <c r="R108" s="1369"/>
      <c r="S108" s="698">
        <f t="shared" si="5"/>
        <v>46139.8</v>
      </c>
      <c r="T108" s="698"/>
      <c r="U108" s="698"/>
      <c r="V108" s="630">
        <f>+VLOOKUP(B108,'Consolidate TL'!$B$3:P609,12,FALSE)</f>
        <v>39.78</v>
      </c>
      <c r="W108" s="699">
        <v>0.01</v>
      </c>
      <c r="X108" s="801">
        <f t="shared" si="8"/>
        <v>461.39800000000002</v>
      </c>
      <c r="Y108" s="1370" t="s">
        <v>1347</v>
      </c>
      <c r="Z108" s="1520" t="s">
        <v>1348</v>
      </c>
      <c r="AA108" s="1371">
        <v>103063.6</v>
      </c>
      <c r="AB108" s="700" t="s">
        <v>67</v>
      </c>
      <c r="AC108" s="700" t="s">
        <v>502</v>
      </c>
      <c r="AD108" s="1370" t="s">
        <v>1347</v>
      </c>
      <c r="AE108" s="702" t="s">
        <v>864</v>
      </c>
      <c r="AF108" s="757" t="s">
        <v>1349</v>
      </c>
      <c r="AG108" s="1373" t="s">
        <v>504</v>
      </c>
      <c r="AH108" s="704" t="s">
        <v>386</v>
      </c>
      <c r="AI108" s="1127" t="s">
        <v>1329</v>
      </c>
    </row>
    <row r="109" spans="1:35" s="1374" customFormat="1" ht="45" customHeight="1" thickBot="1">
      <c r="A109" s="595">
        <v>105</v>
      </c>
      <c r="B109" s="1400" t="s">
        <v>1340</v>
      </c>
      <c r="C109" s="1480" t="s">
        <v>503</v>
      </c>
      <c r="D109" s="693" t="s">
        <v>511</v>
      </c>
      <c r="E109" s="694" t="str">
        <f>+VLOOKUP(B109,'Consolidate TL'!$B$17:O398,2,FALSE)</f>
        <v>LD1630016031</v>
      </c>
      <c r="F109" s="1367">
        <f>+VLOOKUP(B109,'Consolidate TL'!$B$17:L397,9,FALSE)</f>
        <v>42703</v>
      </c>
      <c r="G109" s="1367">
        <f>+VLOOKUP(B109,'Consolidate TL'!$B$17:P398,10,FALSE)</f>
        <v>46361</v>
      </c>
      <c r="H109" s="695" t="str">
        <f t="shared" si="7"/>
        <v>120month,6days</v>
      </c>
      <c r="I109" s="696" t="s">
        <v>524</v>
      </c>
      <c r="J109" s="1368">
        <f>++VLOOKUP(B109,'Consolidate TL'!$B$17:L399,3,FALSE)</f>
        <v>0.08</v>
      </c>
      <c r="K109" s="697" t="s">
        <v>394</v>
      </c>
      <c r="L109" s="698">
        <f>+VLOOKUP(B109,'Consolidate TL'!$B$8:P1219,4,FALSE)</f>
        <v>30000</v>
      </c>
      <c r="M109" s="801"/>
      <c r="N109" s="1369"/>
      <c r="O109" s="597">
        <f>+VLOOKUP(B109,'Consolidate TL'!$B$8:$S$525,8,FALSE)</f>
        <v>27658.33</v>
      </c>
      <c r="P109" s="1369"/>
      <c r="Q109" s="1369"/>
      <c r="R109" s="1369"/>
      <c r="S109" s="698">
        <f t="shared" si="5"/>
        <v>27658.33</v>
      </c>
      <c r="T109" s="698"/>
      <c r="U109" s="698"/>
      <c r="V109" s="630">
        <f>+VLOOKUP(B109,'Consolidate TL'!$B$3:P610,12,FALSE)</f>
        <v>172.2</v>
      </c>
      <c r="W109" s="699">
        <v>0.01</v>
      </c>
      <c r="X109" s="801">
        <f t="shared" si="8"/>
        <v>276.58330000000001</v>
      </c>
      <c r="Y109" s="1370" t="s">
        <v>1350</v>
      </c>
      <c r="Z109" s="1520" t="s">
        <v>1351</v>
      </c>
      <c r="AA109" s="1371">
        <v>50000</v>
      </c>
      <c r="AB109" s="700" t="s">
        <v>67</v>
      </c>
      <c r="AC109" s="700" t="s">
        <v>502</v>
      </c>
      <c r="AD109" s="1370" t="s">
        <v>1350</v>
      </c>
      <c r="AE109" s="702" t="s">
        <v>1345</v>
      </c>
      <c r="AF109" s="757" t="s">
        <v>1352</v>
      </c>
      <c r="AG109" s="1373" t="s">
        <v>504</v>
      </c>
      <c r="AH109" s="704" t="s">
        <v>386</v>
      </c>
      <c r="AI109" s="1127" t="s">
        <v>1329</v>
      </c>
    </row>
    <row r="110" spans="1:35" s="1374" customFormat="1" ht="45" customHeight="1" thickBot="1">
      <c r="A110" s="595">
        <v>106</v>
      </c>
      <c r="B110" s="1400" t="s">
        <v>1353</v>
      </c>
      <c r="C110" s="1480" t="s">
        <v>503</v>
      </c>
      <c r="D110" s="693" t="s">
        <v>511</v>
      </c>
      <c r="E110" s="694" t="str">
        <f>+VLOOKUP(B110,'Consolidate TL'!$B$17:O399,2,FALSE)</f>
        <v>LD1630016032</v>
      </c>
      <c r="F110" s="1367">
        <f>+VLOOKUP(B110,'Consolidate TL'!$B$17:L398,9,FALSE)</f>
        <v>42703</v>
      </c>
      <c r="G110" s="1367">
        <f>+VLOOKUP(B110,'Consolidate TL'!$B$17:P399,10,FALSE)</f>
        <v>46385</v>
      </c>
      <c r="H110" s="695" t="str">
        <f t="shared" si="7"/>
        <v>121month,0days</v>
      </c>
      <c r="I110" s="696" t="s">
        <v>524</v>
      </c>
      <c r="J110" s="1368">
        <f>++VLOOKUP(B110,'Consolidate TL'!$B$17:L400,3,FALSE)</f>
        <v>0.08</v>
      </c>
      <c r="K110" s="697" t="s">
        <v>394</v>
      </c>
      <c r="L110" s="698">
        <f>+VLOOKUP(B110,'Consolidate TL'!$B$8:P1220,4,FALSE)</f>
        <v>39000</v>
      </c>
      <c r="M110" s="801"/>
      <c r="N110" s="1369"/>
      <c r="O110" s="597">
        <f>+VLOOKUP(B110,'Consolidate TL'!$B$8:$S$525,8,FALSE)</f>
        <v>35664.129999999997</v>
      </c>
      <c r="P110" s="1369"/>
      <c r="Q110" s="1369"/>
      <c r="R110" s="1369"/>
      <c r="S110" s="698">
        <f t="shared" si="5"/>
        <v>35664.129999999997</v>
      </c>
      <c r="T110" s="698"/>
      <c r="U110" s="698"/>
      <c r="V110" s="630">
        <f>+VLOOKUP(B110,'Consolidate TL'!$B$3:P611,12,FALSE)</f>
        <v>24.69</v>
      </c>
      <c r="W110" s="699">
        <v>0.01</v>
      </c>
      <c r="X110" s="801">
        <f t="shared" si="8"/>
        <v>356.6413</v>
      </c>
      <c r="Y110" s="1370" t="s">
        <v>1362</v>
      </c>
      <c r="Z110" s="1520" t="s">
        <v>1363</v>
      </c>
      <c r="AA110" s="1371">
        <v>92352</v>
      </c>
      <c r="AB110" s="700" t="s">
        <v>67</v>
      </c>
      <c r="AC110" s="700" t="s">
        <v>502</v>
      </c>
      <c r="AD110" s="1370" t="s">
        <v>1362</v>
      </c>
      <c r="AE110" s="702" t="s">
        <v>1364</v>
      </c>
      <c r="AF110" s="757" t="s">
        <v>1365</v>
      </c>
      <c r="AG110" s="1373" t="s">
        <v>504</v>
      </c>
      <c r="AH110" s="704" t="s">
        <v>386</v>
      </c>
      <c r="AI110" s="1127" t="s">
        <v>1329</v>
      </c>
    </row>
    <row r="111" spans="1:35" s="1374" customFormat="1" ht="45" customHeight="1" thickBot="1">
      <c r="A111" s="595">
        <v>107</v>
      </c>
      <c r="B111" s="1400" t="s">
        <v>1368</v>
      </c>
      <c r="C111" s="1480" t="s">
        <v>503</v>
      </c>
      <c r="D111" s="693" t="s">
        <v>511</v>
      </c>
      <c r="E111" s="694" t="str">
        <f>+VLOOKUP(B111,'Consolidate TL'!$B$17:O401,2,FALSE)</f>
        <v>LD1633632766</v>
      </c>
      <c r="F111" s="1367">
        <f>+VLOOKUP(B111,'Consolidate TL'!$B$17:L400,9,FALSE)</f>
        <v>42705</v>
      </c>
      <c r="G111" s="1367">
        <f>+VLOOKUP(B111,'Consolidate TL'!$B$17:P401,10,FALSE)</f>
        <v>47094</v>
      </c>
      <c r="H111" s="695" t="str">
        <f t="shared" si="7"/>
        <v>144month,6days</v>
      </c>
      <c r="I111" s="696" t="s">
        <v>524</v>
      </c>
      <c r="J111" s="1368">
        <f>++VLOOKUP(B111,'Consolidate TL'!$B$17:L402,3,FALSE)</f>
        <v>0.08</v>
      </c>
      <c r="K111" s="697" t="s">
        <v>1386</v>
      </c>
      <c r="L111" s="698">
        <f>+VLOOKUP(B111,'Consolidate TL'!$B$8:P1222,4,FALSE)</f>
        <v>48400</v>
      </c>
      <c r="M111" s="801"/>
      <c r="N111" s="1369"/>
      <c r="O111" s="597">
        <f>+VLOOKUP(B111,'Consolidate TL'!$B$8:$S$525,8,FALSE)</f>
        <v>45513.88</v>
      </c>
      <c r="P111" s="1369"/>
      <c r="Q111" s="1369"/>
      <c r="R111" s="1369"/>
      <c r="S111" s="698">
        <f t="shared" si="5"/>
        <v>45513.88</v>
      </c>
      <c r="T111" s="698"/>
      <c r="U111" s="698"/>
      <c r="V111" s="630">
        <f>+VLOOKUP(B111,'Consolidate TL'!$B$3:P613,12,FALSE)</f>
        <v>260.01</v>
      </c>
      <c r="W111" s="699">
        <v>0.01</v>
      </c>
      <c r="X111" s="801">
        <f t="shared" si="8"/>
        <v>455.1388</v>
      </c>
      <c r="Y111" s="1370" t="s">
        <v>1403</v>
      </c>
      <c r="Z111" s="1520" t="s">
        <v>1404</v>
      </c>
      <c r="AA111" s="1371">
        <v>80750</v>
      </c>
      <c r="AB111" s="700" t="s">
        <v>67</v>
      </c>
      <c r="AC111" s="700" t="s">
        <v>502</v>
      </c>
      <c r="AD111" s="1370" t="s">
        <v>1405</v>
      </c>
      <c r="AE111" s="702" t="s">
        <v>1345</v>
      </c>
      <c r="AF111" s="757" t="s">
        <v>1442</v>
      </c>
      <c r="AG111" s="1373" t="s">
        <v>504</v>
      </c>
      <c r="AH111" s="704" t="s">
        <v>386</v>
      </c>
      <c r="AI111" s="1127" t="s">
        <v>1443</v>
      </c>
    </row>
    <row r="112" spans="1:35" s="1374" customFormat="1" ht="45" customHeight="1" thickBot="1">
      <c r="A112" s="595">
        <v>108</v>
      </c>
      <c r="B112" s="1400" t="s">
        <v>1369</v>
      </c>
      <c r="C112" s="1480" t="s">
        <v>503</v>
      </c>
      <c r="D112" s="693" t="s">
        <v>511</v>
      </c>
      <c r="E112" s="694" t="str">
        <f>+VLOOKUP(B112,'Consolidate TL'!$B$17:O402,2,FALSE)</f>
        <v>LD1633657006</v>
      </c>
      <c r="F112" s="1367">
        <f>+VLOOKUP(B112,'Consolidate TL'!$B$17:L401,9,FALSE)</f>
        <v>42705</v>
      </c>
      <c r="G112" s="1367">
        <f>+VLOOKUP(B112,'Consolidate TL'!$B$17:P402,10,FALSE)</f>
        <v>45627</v>
      </c>
      <c r="H112" s="695" t="str">
        <f t="shared" si="7"/>
        <v>96month,0days</v>
      </c>
      <c r="I112" s="696" t="s">
        <v>753</v>
      </c>
      <c r="J112" s="1368">
        <f>++VLOOKUP(B112,'Consolidate TL'!$B$17:L403,3,FALSE)</f>
        <v>0.09</v>
      </c>
      <c r="K112" s="697" t="s">
        <v>394</v>
      </c>
      <c r="L112" s="698">
        <f>+VLOOKUP(B112,'Consolidate TL'!$B$8:P1223,4,FALSE)</f>
        <v>80000</v>
      </c>
      <c r="M112" s="801"/>
      <c r="N112" s="1369"/>
      <c r="O112" s="597">
        <f>+VLOOKUP(B112,'Consolidate TL'!$B$8:$S$525,8,FALSE)</f>
        <v>68333.38</v>
      </c>
      <c r="P112" s="1369"/>
      <c r="Q112" s="1369"/>
      <c r="R112" s="1369"/>
      <c r="S112" s="698">
        <f t="shared" si="5"/>
        <v>68333.38</v>
      </c>
      <c r="T112" s="698"/>
      <c r="U112" s="698"/>
      <c r="V112" s="630">
        <f>+VLOOKUP(B112,'Consolidate TL'!$B$3:P614,12,FALSE)</f>
        <v>568.33000000000004</v>
      </c>
      <c r="W112" s="699">
        <v>0.01</v>
      </c>
      <c r="X112" s="801">
        <f t="shared" si="8"/>
        <v>683.33380000000011</v>
      </c>
      <c r="Y112" s="1370" t="s">
        <v>1393</v>
      </c>
      <c r="Z112" s="1520" t="s">
        <v>1392</v>
      </c>
      <c r="AA112" s="1371">
        <v>275948</v>
      </c>
      <c r="AB112" s="700" t="s">
        <v>67</v>
      </c>
      <c r="AC112" s="700" t="s">
        <v>502</v>
      </c>
      <c r="AD112" s="1370" t="s">
        <v>1391</v>
      </c>
      <c r="AE112" s="702" t="s">
        <v>1394</v>
      </c>
      <c r="AF112" s="757" t="s">
        <v>1395</v>
      </c>
      <c r="AG112" s="1373" t="s">
        <v>504</v>
      </c>
      <c r="AH112" s="704" t="s">
        <v>386</v>
      </c>
      <c r="AI112" s="1127" t="s">
        <v>1396</v>
      </c>
    </row>
    <row r="113" spans="1:35" s="1374" customFormat="1" ht="45" customHeight="1" thickBot="1">
      <c r="A113" s="595">
        <v>109</v>
      </c>
      <c r="B113" s="1400" t="s">
        <v>1370</v>
      </c>
      <c r="C113" s="1480" t="s">
        <v>503</v>
      </c>
      <c r="D113" s="693" t="s">
        <v>511</v>
      </c>
      <c r="E113" s="694" t="str">
        <f>+VLOOKUP(B113,'Consolidate TL'!$B$17:O403,2,FALSE)</f>
        <v>LD1634463290</v>
      </c>
      <c r="F113" s="1367">
        <f>+VLOOKUP(B113,'Consolidate TL'!$B$17:L402,9,FALSE)</f>
        <v>42713</v>
      </c>
      <c r="G113" s="1367">
        <f>+VLOOKUP(B113,'Consolidate TL'!$B$17:P403,10,FALSE)</f>
        <v>48192</v>
      </c>
      <c r="H113" s="695" t="str">
        <f t="shared" si="7"/>
        <v>180month,1days</v>
      </c>
      <c r="I113" s="696" t="s">
        <v>524</v>
      </c>
      <c r="J113" s="1368">
        <f>++VLOOKUP(B113,'Consolidate TL'!$B$17:L404,3,FALSE)</f>
        <v>0.08</v>
      </c>
      <c r="K113" s="697" t="s">
        <v>1386</v>
      </c>
      <c r="L113" s="698">
        <f>+VLOOKUP(B113,'Consolidate TL'!$B$8:P1224,4,FALSE)</f>
        <v>50000</v>
      </c>
      <c r="M113" s="801"/>
      <c r="N113" s="1369"/>
      <c r="O113" s="597">
        <f>+VLOOKUP(B113,'Consolidate TL'!$B$8:$S$525,8,FALSE)</f>
        <v>46778.27</v>
      </c>
      <c r="P113" s="1369"/>
      <c r="Q113" s="1369"/>
      <c r="R113" s="1369"/>
      <c r="S113" s="698">
        <f t="shared" si="5"/>
        <v>46778.27</v>
      </c>
      <c r="T113" s="698"/>
      <c r="U113" s="698"/>
      <c r="V113" s="630">
        <f>+VLOOKUP(B113,'Consolidate TL'!$B$3:P615,12,FALSE)</f>
        <v>233.02</v>
      </c>
      <c r="W113" s="699">
        <v>0.01</v>
      </c>
      <c r="X113" s="801">
        <f t="shared" si="8"/>
        <v>467.78269999999998</v>
      </c>
      <c r="Y113" s="1370" t="s">
        <v>1397</v>
      </c>
      <c r="Z113" s="1520" t="s">
        <v>1398</v>
      </c>
      <c r="AA113" s="1371">
        <v>81700</v>
      </c>
      <c r="AB113" s="700" t="s">
        <v>67</v>
      </c>
      <c r="AC113" s="700" t="s">
        <v>502</v>
      </c>
      <c r="AD113" s="1370" t="s">
        <v>1399</v>
      </c>
      <c r="AE113" s="702" t="s">
        <v>1400</v>
      </c>
      <c r="AF113" s="757" t="s">
        <v>1401</v>
      </c>
      <c r="AG113" s="1373" t="s">
        <v>504</v>
      </c>
      <c r="AH113" s="704" t="s">
        <v>386</v>
      </c>
      <c r="AI113" s="1127" t="s">
        <v>1402</v>
      </c>
    </row>
    <row r="114" spans="1:35" s="1374" customFormat="1" ht="45" customHeight="1" thickBot="1">
      <c r="A114" s="595">
        <v>110</v>
      </c>
      <c r="B114" s="1400" t="s">
        <v>1371</v>
      </c>
      <c r="C114" s="1480" t="s">
        <v>503</v>
      </c>
      <c r="D114" s="693" t="s">
        <v>511</v>
      </c>
      <c r="E114" s="694" t="str">
        <f>+VLOOKUP(B114,'Consolidate TL'!$B$17:O404,2,FALSE)</f>
        <v>LD1635070603</v>
      </c>
      <c r="F114" s="1367">
        <f>+VLOOKUP(B114,'Consolidate TL'!$B$17:L403,9,FALSE)</f>
        <v>42719</v>
      </c>
      <c r="G114" s="1367">
        <f>+VLOOKUP(B114,'Consolidate TL'!$B$17:P404,10,FALSE)</f>
        <v>48184</v>
      </c>
      <c r="H114" s="695" t="str">
        <f t="shared" si="7"/>
        <v>179month,17days</v>
      </c>
      <c r="I114" s="696" t="s">
        <v>524</v>
      </c>
      <c r="J114" s="1368">
        <f>++VLOOKUP(B114,'Consolidate TL'!$B$17:L405,3,FALSE)</f>
        <v>0.09</v>
      </c>
      <c r="K114" s="697" t="s">
        <v>1386</v>
      </c>
      <c r="L114" s="698">
        <f>+VLOOKUP(B114,'Consolidate TL'!$B$8:P1225,4,FALSE)</f>
        <v>35000</v>
      </c>
      <c r="M114" s="801"/>
      <c r="N114" s="1369"/>
      <c r="O114" s="597">
        <f>+VLOOKUP(B114,'Consolidate TL'!$B$8:$S$525,8,FALSE)</f>
        <v>33503.199999999997</v>
      </c>
      <c r="P114" s="1369"/>
      <c r="Q114" s="1369"/>
      <c r="R114" s="1369"/>
      <c r="S114" s="698">
        <f t="shared" si="5"/>
        <v>33503.199999999997</v>
      </c>
      <c r="T114" s="698"/>
      <c r="U114" s="698"/>
      <c r="V114" s="630">
        <f>+VLOOKUP(B114,'Consolidate TL'!$B$3:P616,12,FALSE)</f>
        <v>255.79</v>
      </c>
      <c r="W114" s="699">
        <v>0.01</v>
      </c>
      <c r="X114" s="801">
        <f t="shared" si="8"/>
        <v>335.03199999999998</v>
      </c>
      <c r="Y114" s="1370" t="s">
        <v>1417</v>
      </c>
      <c r="Z114" s="1520" t="s">
        <v>1406</v>
      </c>
      <c r="AA114" s="1371">
        <v>59000</v>
      </c>
      <c r="AB114" s="700" t="s">
        <v>67</v>
      </c>
      <c r="AC114" s="700" t="s">
        <v>502</v>
      </c>
      <c r="AD114" s="1370" t="s">
        <v>1407</v>
      </c>
      <c r="AE114" s="702" t="s">
        <v>1400</v>
      </c>
      <c r="AF114" s="757" t="s">
        <v>1365</v>
      </c>
      <c r="AG114" s="1373" t="s">
        <v>504</v>
      </c>
      <c r="AH114" s="704" t="s">
        <v>386</v>
      </c>
      <c r="AI114" s="1127" t="s">
        <v>1408</v>
      </c>
    </row>
    <row r="115" spans="1:35" s="1374" customFormat="1" ht="45" customHeight="1" thickBot="1">
      <c r="A115" s="595">
        <v>111</v>
      </c>
      <c r="B115" s="1400" t="s">
        <v>1372</v>
      </c>
      <c r="C115" s="1480" t="s">
        <v>503</v>
      </c>
      <c r="D115" s="693" t="s">
        <v>511</v>
      </c>
      <c r="E115" s="694" t="str">
        <f>+VLOOKUP(B115,'Consolidate TL'!$B$17:O405,2,FALSE)</f>
        <v>LD1635012942</v>
      </c>
      <c r="F115" s="1367">
        <f>+VLOOKUP(B115,'Consolidate TL'!$B$17:L404,9,FALSE)</f>
        <v>42719</v>
      </c>
      <c r="G115" s="1367">
        <f>+VLOOKUP(B115,'Consolidate TL'!$B$17:P405,10,FALSE)</f>
        <v>48197</v>
      </c>
      <c r="H115" s="695" t="str">
        <f t="shared" si="7"/>
        <v>180month,0days</v>
      </c>
      <c r="I115" s="696" t="s">
        <v>524</v>
      </c>
      <c r="J115" s="1368">
        <f>++VLOOKUP(B115,'Consolidate TL'!$B$17:L406,3,FALSE)</f>
        <v>8.5000000000000006E-2</v>
      </c>
      <c r="K115" s="697" t="s">
        <v>1386</v>
      </c>
      <c r="L115" s="698">
        <f>+VLOOKUP(B115,'Consolidate TL'!$B$8:P1226,4,FALSE)</f>
        <v>78000</v>
      </c>
      <c r="M115" s="801"/>
      <c r="N115" s="1369"/>
      <c r="O115" s="597">
        <f>+VLOOKUP(B115,'Consolidate TL'!$B$8:$S$525,8,FALSE)</f>
        <v>74887.600000000006</v>
      </c>
      <c r="P115" s="1369"/>
      <c r="Q115" s="1369"/>
      <c r="R115" s="1369"/>
      <c r="S115" s="698">
        <f t="shared" si="5"/>
        <v>74887.600000000006</v>
      </c>
      <c r="T115" s="698"/>
      <c r="U115" s="698"/>
      <c r="V115" s="630">
        <f>+VLOOKUP(B115,'Consolidate TL'!$B$3:P617,12,FALSE)</f>
        <v>306.02999999999997</v>
      </c>
      <c r="W115" s="699">
        <v>0.01</v>
      </c>
      <c r="X115" s="801">
        <f t="shared" si="8"/>
        <v>748.87600000000009</v>
      </c>
      <c r="Y115" s="1370" t="s">
        <v>1418</v>
      </c>
      <c r="Z115" s="1520" t="s">
        <v>1406</v>
      </c>
      <c r="AA115" s="1371">
        <v>135250</v>
      </c>
      <c r="AB115" s="700" t="s">
        <v>67</v>
      </c>
      <c r="AC115" s="700" t="s">
        <v>502</v>
      </c>
      <c r="AD115" s="1370" t="s">
        <v>1409</v>
      </c>
      <c r="AE115" s="702" t="s">
        <v>1411</v>
      </c>
      <c r="AF115" s="757" t="s">
        <v>1410</v>
      </c>
      <c r="AG115" s="1373" t="s">
        <v>504</v>
      </c>
      <c r="AH115" s="704" t="s">
        <v>386</v>
      </c>
      <c r="AI115" s="1127" t="s">
        <v>1412</v>
      </c>
    </row>
    <row r="116" spans="1:35" s="1374" customFormat="1" ht="45" customHeight="1" thickBot="1">
      <c r="A116" s="595">
        <v>112</v>
      </c>
      <c r="B116" s="1400" t="s">
        <v>1378</v>
      </c>
      <c r="C116" s="1480" t="s">
        <v>503</v>
      </c>
      <c r="D116" s="693" t="s">
        <v>511</v>
      </c>
      <c r="E116" s="694" t="str">
        <f>+VLOOKUP(B116,'Consolidate TL'!$B$17:O406,2,FALSE)</f>
        <v>LD1635186645</v>
      </c>
      <c r="F116" s="1367">
        <f>+VLOOKUP(B116,'Consolidate TL'!$B$17:L405,9,FALSE)</f>
        <v>42720</v>
      </c>
      <c r="G116" s="1367">
        <f>+VLOOKUP(B116,'Consolidate TL'!$B$17:P406,10,FALSE)</f>
        <v>46361</v>
      </c>
      <c r="H116" s="695" t="str">
        <f t="shared" si="7"/>
        <v>119month,19days</v>
      </c>
      <c r="I116" s="696" t="s">
        <v>524</v>
      </c>
      <c r="J116" s="1368">
        <f>++VLOOKUP(B116,'Consolidate TL'!$B$17:L407,3,FALSE)</f>
        <v>0.08</v>
      </c>
      <c r="K116" s="697" t="s">
        <v>1386</v>
      </c>
      <c r="L116" s="698">
        <f>+VLOOKUP(B116,'Consolidate TL'!$B$8:P1227,4,FALSE)</f>
        <v>36000</v>
      </c>
      <c r="M116" s="801"/>
      <c r="N116" s="1369"/>
      <c r="O116" s="597">
        <f>+VLOOKUP(B116,'Consolidate TL'!$B$8:$S$525,8,FALSE)</f>
        <v>12059.39</v>
      </c>
      <c r="P116" s="1369"/>
      <c r="Q116" s="1369"/>
      <c r="R116" s="1369"/>
      <c r="S116" s="698">
        <f t="shared" si="5"/>
        <v>12059.39</v>
      </c>
      <c r="T116" s="698"/>
      <c r="U116" s="698"/>
      <c r="V116" s="630">
        <f>+VLOOKUP(B116,'Consolidate TL'!$B$3:P618,12,FALSE)</f>
        <v>84.94</v>
      </c>
      <c r="W116" s="699">
        <v>0.01</v>
      </c>
      <c r="X116" s="801">
        <f t="shared" si="8"/>
        <v>120.59389999999999</v>
      </c>
      <c r="Y116" s="1370" t="s">
        <v>1419</v>
      </c>
      <c r="Z116" s="1520" t="s">
        <v>1414</v>
      </c>
      <c r="AA116" s="1371">
        <v>60000</v>
      </c>
      <c r="AB116" s="700" t="s">
        <v>67</v>
      </c>
      <c r="AC116" s="700" t="s">
        <v>502</v>
      </c>
      <c r="AD116" s="1370" t="s">
        <v>1413</v>
      </c>
      <c r="AE116" s="702" t="s">
        <v>1400</v>
      </c>
      <c r="AF116" s="757" t="s">
        <v>1415</v>
      </c>
      <c r="AG116" s="1373" t="s">
        <v>504</v>
      </c>
      <c r="AH116" s="704" t="s">
        <v>386</v>
      </c>
      <c r="AI116" s="1127" t="s">
        <v>1416</v>
      </c>
    </row>
    <row r="117" spans="1:35" s="1374" customFormat="1" ht="45" customHeight="1" thickBot="1">
      <c r="A117" s="595">
        <v>113</v>
      </c>
      <c r="B117" s="1400" t="s">
        <v>1380</v>
      </c>
      <c r="C117" s="1480" t="s">
        <v>503</v>
      </c>
      <c r="D117" s="693" t="s">
        <v>511</v>
      </c>
      <c r="E117" s="694" t="str">
        <f>+VLOOKUP(B117,'Consolidate TL'!$B$17:O407,2,FALSE)</f>
        <v>LD1535584787</v>
      </c>
      <c r="F117" s="1367">
        <f>+VLOOKUP(B117,'Consolidate TL'!$B$17:L406,9,FALSE)</f>
        <v>42724</v>
      </c>
      <c r="G117" s="1367">
        <f>+VLOOKUP(B117,'Consolidate TL'!$B$17:P407,10,FALSE)</f>
        <v>45646</v>
      </c>
      <c r="H117" s="695" t="str">
        <f t="shared" si="7"/>
        <v>96month,0days</v>
      </c>
      <c r="I117" s="696" t="s">
        <v>524</v>
      </c>
      <c r="J117" s="1368">
        <f>++VLOOKUP(B117,'Consolidate TL'!$B$17:L408,3,FALSE)</f>
        <v>0.1</v>
      </c>
      <c r="K117" s="697" t="s">
        <v>1386</v>
      </c>
      <c r="L117" s="698">
        <f>+VLOOKUP(B117,'Consolidate TL'!$B$8:P1228,4,FALSE)</f>
        <v>22500</v>
      </c>
      <c r="M117" s="801"/>
      <c r="N117" s="1369"/>
      <c r="O117" s="597">
        <f>+VLOOKUP(B117,'Consolidate TL'!$B$8:$S$525,8,FALSE)</f>
        <v>20242.599999999999</v>
      </c>
      <c r="P117" s="1369"/>
      <c r="Q117" s="1369"/>
      <c r="R117" s="1369"/>
      <c r="S117" s="698">
        <f t="shared" si="5"/>
        <v>20242.599999999999</v>
      </c>
      <c r="T117" s="698"/>
      <c r="U117" s="698"/>
      <c r="V117" s="630">
        <f>+VLOOKUP(B117,'Consolidate TL'!$B$3:P620,12,FALSE)</f>
        <v>70.790000000000006</v>
      </c>
      <c r="W117" s="699">
        <v>0.01</v>
      </c>
      <c r="X117" s="801">
        <f t="shared" si="8"/>
        <v>202.42599999999999</v>
      </c>
      <c r="Y117" s="1370" t="s">
        <v>1420</v>
      </c>
      <c r="Z117" s="1520" t="s">
        <v>1406</v>
      </c>
      <c r="AA117" s="1371">
        <v>37500</v>
      </c>
      <c r="AB117" s="700" t="s">
        <v>67</v>
      </c>
      <c r="AC117" s="700" t="s">
        <v>502</v>
      </c>
      <c r="AD117" s="1370" t="s">
        <v>1421</v>
      </c>
      <c r="AE117" s="702" t="s">
        <v>1422</v>
      </c>
      <c r="AF117" s="757" t="s">
        <v>1423</v>
      </c>
      <c r="AG117" s="1373" t="s">
        <v>504</v>
      </c>
      <c r="AH117" s="704" t="s">
        <v>386</v>
      </c>
      <c r="AI117" s="1127" t="s">
        <v>1424</v>
      </c>
    </row>
    <row r="118" spans="1:35" s="1374" customFormat="1" ht="45" customHeight="1" thickBot="1">
      <c r="A118" s="595">
        <v>114</v>
      </c>
      <c r="B118" s="1400" t="s">
        <v>1382</v>
      </c>
      <c r="C118" s="1480" t="s">
        <v>503</v>
      </c>
      <c r="D118" s="693" t="s">
        <v>511</v>
      </c>
      <c r="E118" s="694" t="str">
        <f>+VLOOKUP(B118,'Consolidate TL'!$B$17:O408,2,FALSE)</f>
        <v>LD1635590824</v>
      </c>
      <c r="F118" s="1367">
        <f>+VLOOKUP(B118,'Consolidate TL'!$B$17:L407,9,FALSE)</f>
        <v>42724</v>
      </c>
      <c r="G118" s="1367">
        <f>+VLOOKUP(B118,'Consolidate TL'!$B$17:P408,10,FALSE)</f>
        <v>45646</v>
      </c>
      <c r="H118" s="695" t="str">
        <f t="shared" si="7"/>
        <v>96month,0days</v>
      </c>
      <c r="I118" s="696" t="s">
        <v>524</v>
      </c>
      <c r="J118" s="1368">
        <f>++VLOOKUP(B118,'Consolidate TL'!$B$17:L409,3,FALSE)</f>
        <v>8.5000000000000006E-2</v>
      </c>
      <c r="K118" s="697" t="s">
        <v>1386</v>
      </c>
      <c r="L118" s="698">
        <f>+VLOOKUP(B118,'Consolidate TL'!$B$8:P1229,4,FALSE)</f>
        <v>32600</v>
      </c>
      <c r="M118" s="801"/>
      <c r="N118" s="1369"/>
      <c r="O118" s="597">
        <f>+VLOOKUP(B118,'Consolidate TL'!$B$8:$S$525,8,FALSE)</f>
        <v>29129.16</v>
      </c>
      <c r="P118" s="1369"/>
      <c r="Q118" s="1369"/>
      <c r="R118" s="1369"/>
      <c r="S118" s="698">
        <f t="shared" si="5"/>
        <v>29129.16</v>
      </c>
      <c r="T118" s="698"/>
      <c r="U118" s="698"/>
      <c r="V118" s="630">
        <f>+VLOOKUP(B118,'Consolidate TL'!$B$3:P621,12,FALSE)</f>
        <v>86.85</v>
      </c>
      <c r="W118" s="699">
        <v>0.01</v>
      </c>
      <c r="X118" s="801">
        <f t="shared" si="8"/>
        <v>291.29160000000002</v>
      </c>
      <c r="Y118" s="1370" t="s">
        <v>1425</v>
      </c>
      <c r="Z118" s="1520" t="s">
        <v>1406</v>
      </c>
      <c r="AA118" s="1371">
        <v>54430</v>
      </c>
      <c r="AB118" s="700" t="s">
        <v>67</v>
      </c>
      <c r="AC118" s="700" t="s">
        <v>502</v>
      </c>
      <c r="AD118" s="1370" t="s">
        <v>1426</v>
      </c>
      <c r="AE118" s="702" t="s">
        <v>1427</v>
      </c>
      <c r="AF118" s="757" t="s">
        <v>1428</v>
      </c>
      <c r="AG118" s="1373" t="s">
        <v>504</v>
      </c>
      <c r="AH118" s="704" t="s">
        <v>386</v>
      </c>
      <c r="AI118" s="1127" t="s">
        <v>1429</v>
      </c>
    </row>
    <row r="119" spans="1:35" s="1374" customFormat="1" ht="45" customHeight="1" thickBot="1">
      <c r="A119" s="595">
        <v>115</v>
      </c>
      <c r="B119" s="1400" t="s">
        <v>1384</v>
      </c>
      <c r="C119" s="1480" t="s">
        <v>503</v>
      </c>
      <c r="D119" s="693" t="s">
        <v>511</v>
      </c>
      <c r="E119" s="694" t="str">
        <f>+VLOOKUP(B119,'Consolidate TL'!$B$17:O409,2,FALSE)</f>
        <v>LD1635680010</v>
      </c>
      <c r="F119" s="1367">
        <f>+VLOOKUP(B119,'Consolidate TL'!$B$17:L408,9,FALSE)</f>
        <v>42725</v>
      </c>
      <c r="G119" s="1367">
        <f>+VLOOKUP(B119,'Consolidate TL'!$B$17:P409,10,FALSE)</f>
        <v>11689</v>
      </c>
      <c r="H119" s="695" t="str">
        <f t="shared" si="7"/>
        <v>-1020month,11days</v>
      </c>
      <c r="I119" s="696" t="s">
        <v>524</v>
      </c>
      <c r="J119" s="1368">
        <f>++VLOOKUP(B119,'Consolidate TL'!$B$17:L410,3,FALSE)</f>
        <v>8.5000000000000006E-2</v>
      </c>
      <c r="K119" s="697" t="s">
        <v>1386</v>
      </c>
      <c r="L119" s="698">
        <f>+VLOOKUP(B119,'Consolidate TL'!$B$8:P1230,4,FALSE)</f>
        <v>80000</v>
      </c>
      <c r="M119" s="801"/>
      <c r="N119" s="1369"/>
      <c r="O119" s="597">
        <f>+VLOOKUP(B119,'Consolidate TL'!$B$8:$S$525,8,FALSE)</f>
        <v>77174.429999999993</v>
      </c>
      <c r="P119" s="1369"/>
      <c r="Q119" s="1369"/>
      <c r="R119" s="1369"/>
      <c r="S119" s="698">
        <f t="shared" si="5"/>
        <v>77174.429999999993</v>
      </c>
      <c r="T119" s="698"/>
      <c r="U119" s="698"/>
      <c r="V119" s="630">
        <f>+VLOOKUP(B119,'Consolidate TL'!$B$3:P622,12,FALSE)</f>
        <v>575.20000000000005</v>
      </c>
      <c r="W119" s="699">
        <v>0.01</v>
      </c>
      <c r="X119" s="801">
        <f t="shared" si="8"/>
        <v>771.74429999999995</v>
      </c>
      <c r="Y119" s="1370" t="s">
        <v>1430</v>
      </c>
      <c r="Z119" s="1520" t="s">
        <v>1406</v>
      </c>
      <c r="AA119" s="1371">
        <v>135250</v>
      </c>
      <c r="AB119" s="700" t="s">
        <v>67</v>
      </c>
      <c r="AC119" s="700" t="s">
        <v>502</v>
      </c>
      <c r="AD119" s="1370" t="s">
        <v>1431</v>
      </c>
      <c r="AE119" s="702" t="s">
        <v>1432</v>
      </c>
      <c r="AF119" s="757" t="s">
        <v>1433</v>
      </c>
      <c r="AG119" s="1373" t="s">
        <v>504</v>
      </c>
      <c r="AH119" s="704" t="s">
        <v>386</v>
      </c>
      <c r="AI119" s="1127" t="s">
        <v>1434</v>
      </c>
    </row>
    <row r="120" spans="1:35" s="1374" customFormat="1" ht="45" customHeight="1" thickBot="1">
      <c r="A120" s="595">
        <v>116</v>
      </c>
      <c r="B120" s="1400" t="s">
        <v>1390</v>
      </c>
      <c r="C120" s="1480" t="s">
        <v>503</v>
      </c>
      <c r="D120" s="693" t="s">
        <v>511</v>
      </c>
      <c r="E120" s="694" t="str">
        <f>+VLOOKUP(B120,'Consolidate TL'!$B$17:O410,2,FALSE)</f>
        <v>LD1636342658</v>
      </c>
      <c r="F120" s="1367">
        <f>+VLOOKUP(B120,'Consolidate TL'!$B$17:L409,9,FALSE)</f>
        <v>42732</v>
      </c>
      <c r="G120" s="1367">
        <f>+VLOOKUP(B120,'Consolidate TL'!$B$17:P410,10,FALSE)</f>
        <v>46388</v>
      </c>
      <c r="H120" s="695" t="str">
        <f t="shared" si="7"/>
        <v>120month,4days</v>
      </c>
      <c r="I120" s="696" t="s">
        <v>524</v>
      </c>
      <c r="J120" s="1368">
        <f>++VLOOKUP(B120,'Consolidate TL'!$B$17:L411,3,FALSE)</f>
        <v>0.08</v>
      </c>
      <c r="K120" s="697" t="s">
        <v>1386</v>
      </c>
      <c r="L120" s="698">
        <f>+VLOOKUP(B120,'Consolidate TL'!$B$8:P1231,4,FALSE)</f>
        <v>200000</v>
      </c>
      <c r="M120" s="801"/>
      <c r="N120" s="1369"/>
      <c r="O120" s="597">
        <f>+VLOOKUP(B120,'Consolidate TL'!$B$8:$S$525,8,FALSE)</f>
        <v>185471.02</v>
      </c>
      <c r="P120" s="1369"/>
      <c r="Q120" s="1369"/>
      <c r="R120" s="1369"/>
      <c r="S120" s="698">
        <f t="shared" si="5"/>
        <v>185471.02</v>
      </c>
      <c r="T120" s="698"/>
      <c r="U120" s="698"/>
      <c r="V120" s="630">
        <f>+VLOOKUP(B120,'Consolidate TL'!$B$3:P623,12,FALSE)</f>
        <v>1325.18</v>
      </c>
      <c r="W120" s="699">
        <v>0.01</v>
      </c>
      <c r="X120" s="801">
        <f t="shared" si="8"/>
        <v>1854.7102</v>
      </c>
      <c r="Y120" s="1370" t="s">
        <v>1439</v>
      </c>
      <c r="Z120" s="1520" t="s">
        <v>1440</v>
      </c>
      <c r="AA120" s="1371">
        <v>948140</v>
      </c>
      <c r="AB120" s="700" t="s">
        <v>67</v>
      </c>
      <c r="AC120" s="700" t="s">
        <v>502</v>
      </c>
      <c r="AD120" s="1370" t="s">
        <v>1048</v>
      </c>
      <c r="AE120" s="702" t="s">
        <v>864</v>
      </c>
      <c r="AF120" s="757" t="s">
        <v>1050</v>
      </c>
      <c r="AG120" s="1373" t="s">
        <v>504</v>
      </c>
      <c r="AH120" s="704" t="s">
        <v>386</v>
      </c>
      <c r="AI120" s="1127" t="s">
        <v>1441</v>
      </c>
    </row>
    <row r="121" spans="1:35" s="1374" customFormat="1" ht="45" customHeight="1" thickBot="1">
      <c r="A121" s="595">
        <v>117</v>
      </c>
      <c r="B121" s="1400" t="s">
        <v>1388</v>
      </c>
      <c r="C121" s="1480" t="s">
        <v>503</v>
      </c>
      <c r="D121" s="693" t="s">
        <v>511</v>
      </c>
      <c r="E121" s="694" t="str">
        <f>+VLOOKUP(B121,'Consolidate TL'!$B$17:O411,2,FALSE)</f>
        <v>LD1636506399</v>
      </c>
      <c r="F121" s="1367">
        <f>+VLOOKUP(B121,'Consolidate TL'!$B$17:L410,9,FALSE)</f>
        <v>42734</v>
      </c>
      <c r="G121" s="1367">
        <f>+VLOOKUP(B121,'Consolidate TL'!$B$17:P411,10,FALSE)</f>
        <v>11693</v>
      </c>
      <c r="H121" s="695" t="str">
        <f t="shared" si="7"/>
        <v>-1020month,6days</v>
      </c>
      <c r="I121" s="696" t="s">
        <v>524</v>
      </c>
      <c r="J121" s="1368">
        <v>0.1</v>
      </c>
      <c r="K121" s="697" t="s">
        <v>1386</v>
      </c>
      <c r="L121" s="698">
        <f>+VLOOKUP(B121,'Consolidate TL'!$B$8:P1232,4,FALSE)</f>
        <v>29000</v>
      </c>
      <c r="M121" s="801"/>
      <c r="N121" s="1369"/>
      <c r="O121" s="597">
        <f>+VLOOKUP(B121,'Consolidate TL'!$B$8:$S$525,8,FALSE)</f>
        <v>25808</v>
      </c>
      <c r="P121" s="1369"/>
      <c r="Q121" s="1369"/>
      <c r="R121" s="1369"/>
      <c r="S121" s="698">
        <f t="shared" si="5"/>
        <v>25808</v>
      </c>
      <c r="T121" s="698"/>
      <c r="U121" s="698"/>
      <c r="V121" s="630">
        <f>+VLOOKUP(B121,'Consolidate TL'!$B$3:P624,12,FALSE)</f>
        <v>209</v>
      </c>
      <c r="W121" s="699">
        <v>0.01</v>
      </c>
      <c r="X121" s="801">
        <f t="shared" si="8"/>
        <v>258.08</v>
      </c>
      <c r="Y121" s="1370" t="s">
        <v>1435</v>
      </c>
      <c r="Z121" s="1520" t="s">
        <v>1406</v>
      </c>
      <c r="AA121" s="1371">
        <v>53500</v>
      </c>
      <c r="AB121" s="700" t="s">
        <v>67</v>
      </c>
      <c r="AC121" s="700" t="s">
        <v>502</v>
      </c>
      <c r="AD121" s="1370" t="s">
        <v>1436</v>
      </c>
      <c r="AE121" s="702" t="s">
        <v>934</v>
      </c>
      <c r="AF121" s="757" t="s">
        <v>1437</v>
      </c>
      <c r="AG121" s="1373" t="s">
        <v>504</v>
      </c>
      <c r="AH121" s="704" t="s">
        <v>386</v>
      </c>
      <c r="AI121" s="1127" t="s">
        <v>1438</v>
      </c>
    </row>
    <row r="122" spans="1:35" s="1374" customFormat="1" ht="45" customHeight="1" thickBot="1">
      <c r="A122" s="595">
        <v>118</v>
      </c>
      <c r="B122" s="1479" t="s">
        <v>1470</v>
      </c>
      <c r="C122" s="1480" t="s">
        <v>503</v>
      </c>
      <c r="D122" s="693" t="s">
        <v>511</v>
      </c>
      <c r="E122" s="694" t="str">
        <f>+VLOOKUP(B122,'Consolidate TL'!$B$17:O412,2,FALSE)</f>
        <v>LD1700340553</v>
      </c>
      <c r="F122" s="1367">
        <f>+VLOOKUP(B122,'Consolidate TL'!$B$17:L411,9,FALSE)</f>
        <v>42738</v>
      </c>
      <c r="G122" s="1367">
        <f>+VLOOKUP(B122,'Consolidate TL'!$B$17:P412,10,FALSE)</f>
        <v>11713</v>
      </c>
      <c r="H122" s="695" t="str">
        <f t="shared" si="7"/>
        <v>-1020month,22days</v>
      </c>
      <c r="I122" s="696" t="s">
        <v>524</v>
      </c>
      <c r="J122" s="1368">
        <v>4.2500000000000003E-2</v>
      </c>
      <c r="K122" s="697" t="s">
        <v>938</v>
      </c>
      <c r="L122" s="698">
        <f>+VLOOKUP(B122,'Consolidate TL'!$B$8:P1233,4,FALSE)</f>
        <v>10000</v>
      </c>
      <c r="M122" s="801"/>
      <c r="N122" s="1369">
        <f>VLOOKUP(B122,'Consolidate TL'!B73:I292,8,FALSE)</f>
        <v>43624.14</v>
      </c>
      <c r="O122" s="597"/>
      <c r="P122" s="1369"/>
      <c r="Q122" s="1369"/>
      <c r="R122" s="1369"/>
      <c r="S122" s="698">
        <f t="shared" si="5"/>
        <v>43624.14</v>
      </c>
      <c r="T122" s="698"/>
      <c r="U122" s="698"/>
      <c r="V122" s="630">
        <f>+VLOOKUP(B122,'Consolidate TL'!$B$3:P625,12,FALSE)</f>
        <v>7.99</v>
      </c>
      <c r="W122" s="699">
        <v>0.01</v>
      </c>
      <c r="X122" s="801">
        <f t="shared" si="8"/>
        <v>436.2414</v>
      </c>
      <c r="Y122" s="1370" t="s">
        <v>1473</v>
      </c>
      <c r="Z122" s="1520" t="s">
        <v>1474</v>
      </c>
      <c r="AA122" s="1371">
        <v>73020</v>
      </c>
      <c r="AB122" s="700" t="s">
        <v>67</v>
      </c>
      <c r="AC122" s="700" t="s">
        <v>502</v>
      </c>
      <c r="AD122" s="1370" t="s">
        <v>1475</v>
      </c>
      <c r="AE122" s="702" t="s">
        <v>1476</v>
      </c>
      <c r="AF122" s="757" t="s">
        <v>941</v>
      </c>
      <c r="AG122" s="1373" t="s">
        <v>504</v>
      </c>
      <c r="AH122" s="704" t="s">
        <v>386</v>
      </c>
      <c r="AI122" s="1127" t="s">
        <v>1452</v>
      </c>
    </row>
    <row r="123" spans="1:35" s="1374" customFormat="1" ht="45" customHeight="1" thickBot="1">
      <c r="A123" s="595">
        <v>119</v>
      </c>
      <c r="B123" s="1561" t="s">
        <v>1453</v>
      </c>
      <c r="C123" s="1480" t="s">
        <v>503</v>
      </c>
      <c r="D123" s="693" t="s">
        <v>511</v>
      </c>
      <c r="E123" s="694" t="str">
        <f>+VLOOKUP(B123,'Consolidate TL'!$B$17:O413,2,FALSE)</f>
        <v>LD1700502873</v>
      </c>
      <c r="F123" s="1367">
        <f>+VLOOKUP(B123,'Consolidate TL'!$B$17:L412,9,FALSE)</f>
        <v>42740</v>
      </c>
      <c r="G123" s="1367">
        <f>+VLOOKUP(B123,'Consolidate TL'!$B$17:P413,10,FALSE)</f>
        <v>46392</v>
      </c>
      <c r="H123" s="695" t="str">
        <f t="shared" si="7"/>
        <v>120month,0days</v>
      </c>
      <c r="I123" s="696" t="s">
        <v>524</v>
      </c>
      <c r="J123" s="1368">
        <v>0.1</v>
      </c>
      <c r="K123" s="697" t="s">
        <v>1386</v>
      </c>
      <c r="L123" s="698">
        <f>+VLOOKUP(B123,'Consolidate TL'!$B$8:P1234,4,FALSE)</f>
        <v>25000</v>
      </c>
      <c r="M123" s="801"/>
      <c r="N123" s="1369"/>
      <c r="O123" s="597">
        <f>+VLOOKUP(B123,'Consolidate TL'!$B$8:$S$525,8,FALSE)</f>
        <v>20823.669999999998</v>
      </c>
      <c r="P123" s="1369"/>
      <c r="Q123" s="1369"/>
      <c r="R123" s="1369"/>
      <c r="S123" s="698">
        <f t="shared" si="5"/>
        <v>20823.669999999998</v>
      </c>
      <c r="T123" s="698"/>
      <c r="U123" s="698"/>
      <c r="V123" s="630">
        <f>+VLOOKUP(B123,'Consolidate TL'!$B$3:P626,12,FALSE)</f>
        <v>180.93</v>
      </c>
      <c r="W123" s="699">
        <v>0.01</v>
      </c>
      <c r="X123" s="801">
        <f t="shared" si="8"/>
        <v>208.23669999999998</v>
      </c>
      <c r="Y123" s="1370" t="s">
        <v>1477</v>
      </c>
      <c r="Z123" s="1520" t="s">
        <v>1478</v>
      </c>
      <c r="AA123" s="1371">
        <v>46646</v>
      </c>
      <c r="AB123" s="700" t="s">
        <v>67</v>
      </c>
      <c r="AC123" s="700" t="s">
        <v>502</v>
      </c>
      <c r="AD123" s="1370" t="s">
        <v>1485</v>
      </c>
      <c r="AE123" s="702" t="s">
        <v>1486</v>
      </c>
      <c r="AF123" s="757" t="s">
        <v>1487</v>
      </c>
      <c r="AG123" s="1373" t="s">
        <v>504</v>
      </c>
      <c r="AH123" s="704" t="s">
        <v>386</v>
      </c>
      <c r="AI123" s="1127" t="s">
        <v>1455</v>
      </c>
    </row>
    <row r="124" spans="1:35" s="1374" customFormat="1" ht="45" customHeight="1" thickBot="1">
      <c r="A124" s="595">
        <v>120</v>
      </c>
      <c r="B124" s="1479" t="s">
        <v>1472</v>
      </c>
      <c r="C124" s="1480" t="s">
        <v>503</v>
      </c>
      <c r="D124" s="693" t="s">
        <v>511</v>
      </c>
      <c r="E124" s="694" t="str">
        <f>+VLOOKUP(B124,'Consolidate TL'!$B$17:O414,2,FALSE)</f>
        <v>LD1700670358</v>
      </c>
      <c r="F124" s="1367">
        <f>+VLOOKUP(B124,'Consolidate TL'!$B$17:L413,9,FALSE)</f>
        <v>42741</v>
      </c>
      <c r="G124" s="1367">
        <f>+VLOOKUP(B124,'Consolidate TL'!$B$17:P414,10,FALSE)</f>
        <v>46028</v>
      </c>
      <c r="H124" s="695" t="str">
        <f t="shared" si="7"/>
        <v>108month,0days</v>
      </c>
      <c r="I124" s="696" t="s">
        <v>524</v>
      </c>
      <c r="J124" s="1368">
        <v>0.1</v>
      </c>
      <c r="K124" s="697" t="s">
        <v>394</v>
      </c>
      <c r="L124" s="698">
        <f>+VLOOKUP(B124,'Consolidate TL'!$B$8:P1235,4,FALSE)</f>
        <v>40000</v>
      </c>
      <c r="M124" s="801"/>
      <c r="N124" s="1369"/>
      <c r="O124" s="597">
        <f>+VLOOKUP(B124,'Consolidate TL'!$B$8:$S$525,8,FALSE)</f>
        <v>81912.09</v>
      </c>
      <c r="P124" s="1369"/>
      <c r="Q124" s="1369"/>
      <c r="R124" s="1369"/>
      <c r="S124" s="698">
        <f t="shared" ref="S124:S142" si="9">+SUM(M124:R124)</f>
        <v>81912.09</v>
      </c>
      <c r="T124" s="698"/>
      <c r="U124" s="698"/>
      <c r="V124" s="755">
        <f>+VLOOKUP(B124,'Consolidate TL'!$B$3:P627,12,FALSE)</f>
        <v>276.98</v>
      </c>
      <c r="W124" s="699">
        <v>0.01</v>
      </c>
      <c r="X124" s="801">
        <f t="shared" si="8"/>
        <v>819.12090000000001</v>
      </c>
      <c r="Y124" s="1370" t="s">
        <v>1479</v>
      </c>
      <c r="Z124" s="1520"/>
      <c r="AA124" s="1371"/>
      <c r="AB124" s="700" t="s">
        <v>67</v>
      </c>
      <c r="AC124" s="700" t="s">
        <v>502</v>
      </c>
      <c r="AD124" s="701" t="s">
        <v>606</v>
      </c>
      <c r="AE124" s="1372" t="s">
        <v>580</v>
      </c>
      <c r="AF124" s="919" t="s">
        <v>607</v>
      </c>
      <c r="AG124" s="1373" t="s">
        <v>504</v>
      </c>
      <c r="AH124" s="704" t="s">
        <v>374</v>
      </c>
      <c r="AI124" s="1127" t="s">
        <v>1463</v>
      </c>
    </row>
    <row r="125" spans="1:35" s="1374" customFormat="1" ht="45" customHeight="1" thickBot="1">
      <c r="A125" s="595">
        <v>121</v>
      </c>
      <c r="B125" s="1561" t="s">
        <v>1460</v>
      </c>
      <c r="C125" s="1480" t="s">
        <v>503</v>
      </c>
      <c r="D125" s="693" t="s">
        <v>511</v>
      </c>
      <c r="E125" s="694" t="str">
        <f>+VLOOKUP(B125,'Consolidate TL'!$B$17:O415,2,FALSE)</f>
        <v>LD1701218504</v>
      </c>
      <c r="F125" s="1367">
        <f>+VLOOKUP(B125,'Consolidate TL'!$B$17:L414,9,FALSE)</f>
        <v>42747</v>
      </c>
      <c r="G125" s="1367">
        <f>+VLOOKUP(B125,'Consolidate TL'!$B$17:P415,10,FALSE)</f>
        <v>11700</v>
      </c>
      <c r="H125" s="695" t="str">
        <f t="shared" si="7"/>
        <v>-1020month,0days</v>
      </c>
      <c r="I125" s="696" t="s">
        <v>524</v>
      </c>
      <c r="J125" s="1368">
        <v>0.1</v>
      </c>
      <c r="K125" s="697" t="s">
        <v>1386</v>
      </c>
      <c r="L125" s="698">
        <f>+VLOOKUP(B125,'Consolidate TL'!$B$8:P1236,4,FALSE)</f>
        <v>30000</v>
      </c>
      <c r="M125" s="801"/>
      <c r="N125" s="1369"/>
      <c r="O125" s="597">
        <f>+VLOOKUP(B125,'Consolidate TL'!$B$8:$S$525,8,FALSE)</f>
        <v>29025.71</v>
      </c>
      <c r="P125" s="1369"/>
      <c r="Q125" s="1369"/>
      <c r="R125" s="1369"/>
      <c r="S125" s="698">
        <f t="shared" si="9"/>
        <v>29025.71</v>
      </c>
      <c r="T125" s="698"/>
      <c r="U125" s="698"/>
      <c r="V125" s="630">
        <f>+VLOOKUP(B125,'Consolidate TL'!$B$3:P628,12,FALSE)</f>
        <v>163.77000000000001</v>
      </c>
      <c r="W125" s="699">
        <v>0.01</v>
      </c>
      <c r="X125" s="801">
        <f t="shared" si="8"/>
        <v>290.25709999999998</v>
      </c>
      <c r="Y125" s="1370" t="s">
        <v>1480</v>
      </c>
      <c r="Z125" s="1520" t="s">
        <v>1481</v>
      </c>
      <c r="AA125" s="1371">
        <v>50000</v>
      </c>
      <c r="AB125" s="700" t="s">
        <v>67</v>
      </c>
      <c r="AC125" s="700" t="s">
        <v>502</v>
      </c>
      <c r="AD125" s="1370" t="s">
        <v>1482</v>
      </c>
      <c r="AE125" s="702" t="s">
        <v>1483</v>
      </c>
      <c r="AF125" s="757" t="s">
        <v>1484</v>
      </c>
      <c r="AG125" s="1373" t="s">
        <v>504</v>
      </c>
      <c r="AH125" s="704" t="s">
        <v>386</v>
      </c>
      <c r="AI125" s="1127" t="s">
        <v>1464</v>
      </c>
    </row>
    <row r="126" spans="1:35" s="1374" customFormat="1" ht="45" customHeight="1" thickBot="1">
      <c r="A126" s="595">
        <v>122</v>
      </c>
      <c r="B126" s="1561" t="s">
        <v>1461</v>
      </c>
      <c r="C126" s="1480" t="s">
        <v>503</v>
      </c>
      <c r="D126" s="693" t="s">
        <v>511</v>
      </c>
      <c r="E126" s="694" t="str">
        <f>+VLOOKUP(B126,'Consolidate TL'!$B$17:O416,2,FALSE)</f>
        <v>LD1701380408</v>
      </c>
      <c r="F126" s="1367">
        <f>+VLOOKUP(B126,'Consolidate TL'!$B$17:L415,9,FALSE)</f>
        <v>42748</v>
      </c>
      <c r="G126" s="1367">
        <f>+VLOOKUP(B126,'Consolidate TL'!$B$17:P416,10,FALSE)</f>
        <v>11701</v>
      </c>
      <c r="H126" s="695" t="str">
        <f t="shared" si="7"/>
        <v>-1020month,0days</v>
      </c>
      <c r="I126" s="696" t="s">
        <v>524</v>
      </c>
      <c r="J126" s="1368">
        <v>0.1</v>
      </c>
      <c r="K126" s="697" t="s">
        <v>1386</v>
      </c>
      <c r="L126" s="698">
        <f>+VLOOKUP(B126,'Consolidate TL'!$B$8:P1237,4,FALSE)</f>
        <v>20000</v>
      </c>
      <c r="M126" s="801"/>
      <c r="N126" s="1369"/>
      <c r="O126" s="597">
        <f>+VLOOKUP(B126,'Consolidate TL'!$B$8:$S$525,8,FALSE)</f>
        <v>16482.12</v>
      </c>
      <c r="P126" s="1369"/>
      <c r="Q126" s="1369"/>
      <c r="R126" s="1369"/>
      <c r="S126" s="698">
        <f t="shared" si="9"/>
        <v>16482.12</v>
      </c>
      <c r="T126" s="698"/>
      <c r="U126" s="698"/>
      <c r="V126" s="630">
        <f>+VLOOKUP(B126,'Consolidate TL'!$B$3:P629,12,FALSE)</f>
        <v>95.78</v>
      </c>
      <c r="W126" s="699">
        <v>0.01</v>
      </c>
      <c r="X126" s="801">
        <f t="shared" si="8"/>
        <v>164.8212</v>
      </c>
      <c r="Y126" s="1370" t="s">
        <v>1488</v>
      </c>
      <c r="Z126" s="1520" t="s">
        <v>1489</v>
      </c>
      <c r="AA126" s="1371">
        <v>71140</v>
      </c>
      <c r="AB126" s="700" t="s">
        <v>67</v>
      </c>
      <c r="AC126" s="700" t="s">
        <v>502</v>
      </c>
      <c r="AD126" s="1370" t="s">
        <v>1490</v>
      </c>
      <c r="AE126" s="702" t="s">
        <v>1483</v>
      </c>
      <c r="AF126" s="757" t="s">
        <v>1491</v>
      </c>
      <c r="AG126" s="1373" t="s">
        <v>504</v>
      </c>
      <c r="AH126" s="704" t="s">
        <v>386</v>
      </c>
      <c r="AI126" s="1127" t="s">
        <v>1465</v>
      </c>
    </row>
    <row r="127" spans="1:35" s="1374" customFormat="1" ht="45" customHeight="1" thickBot="1">
      <c r="A127" s="595">
        <v>123</v>
      </c>
      <c r="B127" s="1561" t="s">
        <v>1462</v>
      </c>
      <c r="C127" s="1480" t="s">
        <v>503</v>
      </c>
      <c r="D127" s="693" t="s">
        <v>511</v>
      </c>
      <c r="E127" s="694" t="str">
        <f>+VLOOKUP(B127,'Consolidate TL'!$B$17:O417,2,FALSE)</f>
        <v>LD1701788285</v>
      </c>
      <c r="F127" s="1367">
        <f>+VLOOKUP(B127,'Consolidate TL'!$B$17:L416,9,FALSE)</f>
        <v>42752</v>
      </c>
      <c r="G127" s="1367">
        <f>+VLOOKUP(B127,'Consolidate TL'!$B$17:P417,10,FALSE)</f>
        <v>11705</v>
      </c>
      <c r="H127" s="695" t="str">
        <f t="shared" si="7"/>
        <v>-1020month,0days</v>
      </c>
      <c r="I127" s="696" t="s">
        <v>524</v>
      </c>
      <c r="J127" s="1368">
        <v>0.08</v>
      </c>
      <c r="K127" s="697" t="s">
        <v>1386</v>
      </c>
      <c r="L127" s="698">
        <f>+VLOOKUP(B127,'Consolidate TL'!$B$8:P1238,4,FALSE)</f>
        <v>50000</v>
      </c>
      <c r="M127" s="801"/>
      <c r="N127" s="1369"/>
      <c r="O127" s="597">
        <f>+VLOOKUP(B127,'Consolidate TL'!$B$8:$S$525,8,FALSE)</f>
        <v>48067.32</v>
      </c>
      <c r="P127" s="1369"/>
      <c r="Q127" s="1369"/>
      <c r="R127" s="1369"/>
      <c r="S127" s="698">
        <f t="shared" si="9"/>
        <v>48067.32</v>
      </c>
      <c r="T127" s="698"/>
      <c r="U127" s="698"/>
      <c r="V127" s="630">
        <f>+VLOOKUP(B127,'Consolidate TL'!$B$3:P630,12,FALSE)</f>
        <v>163.22</v>
      </c>
      <c r="W127" s="699">
        <v>0.01</v>
      </c>
      <c r="X127" s="801">
        <f t="shared" si="8"/>
        <v>480.67320000000001</v>
      </c>
      <c r="Y127" s="1370" t="s">
        <v>1492</v>
      </c>
      <c r="Z127" s="1520" t="s">
        <v>1493</v>
      </c>
      <c r="AA127" s="1371">
        <v>89700</v>
      </c>
      <c r="AB127" s="700" t="s">
        <v>67</v>
      </c>
      <c r="AC127" s="700" t="s">
        <v>502</v>
      </c>
      <c r="AD127" s="1370" t="s">
        <v>1494</v>
      </c>
      <c r="AE127" s="702" t="s">
        <v>934</v>
      </c>
      <c r="AF127" s="757" t="s">
        <v>1495</v>
      </c>
      <c r="AG127" s="1373" t="s">
        <v>504</v>
      </c>
      <c r="AH127" s="704" t="s">
        <v>386</v>
      </c>
      <c r="AI127" s="1127" t="s">
        <v>1466</v>
      </c>
    </row>
    <row r="128" spans="1:35" s="1374" customFormat="1" ht="45" customHeight="1" thickBot="1">
      <c r="A128" s="595">
        <v>124</v>
      </c>
      <c r="B128" s="1561" t="s">
        <v>1496</v>
      </c>
      <c r="C128" s="1480" t="s">
        <v>503</v>
      </c>
      <c r="D128" s="693" t="s">
        <v>511</v>
      </c>
      <c r="E128" s="694" t="str">
        <f>+VLOOKUP(B128,'Consolidate TL'!$B$17:O418,2,FALSE)</f>
        <v>LD1703759878</v>
      </c>
      <c r="F128" s="1367">
        <f>+VLOOKUP(B128,'Consolidate TL'!$B$17:L417,9,FALSE)</f>
        <v>42772</v>
      </c>
      <c r="G128" s="1367">
        <f>+VLOOKUP(B128,'Consolidate TL'!$B$17:P418,10,FALSE)</f>
        <v>13571</v>
      </c>
      <c r="H128" s="695" t="str">
        <f t="shared" si="7"/>
        <v>-960month,19days</v>
      </c>
      <c r="I128" s="696" t="s">
        <v>524</v>
      </c>
      <c r="J128" s="1368">
        <v>2.75E-2</v>
      </c>
      <c r="K128" s="697" t="s">
        <v>1523</v>
      </c>
      <c r="L128" s="698">
        <f>+VLOOKUP(B128,'Consolidate TL'!$B$8:P1239,4,FALSE)</f>
        <v>41500</v>
      </c>
      <c r="M128" s="801"/>
      <c r="N128" s="1369">
        <f>VLOOKUP(B128,'Consolidate TL'!B78:I298,8,FALSE)</f>
        <v>39784.25</v>
      </c>
      <c r="O128" s="597"/>
      <c r="P128" s="1369"/>
      <c r="Q128" s="1369"/>
      <c r="R128" s="1369"/>
      <c r="S128" s="698">
        <f t="shared" si="9"/>
        <v>39784.25</v>
      </c>
      <c r="T128" s="698"/>
      <c r="U128" s="698"/>
      <c r="V128" s="630">
        <f>+VLOOKUP(B128,'Consolidate TL'!$B$3:P631,12,FALSE)</f>
        <v>21.68</v>
      </c>
      <c r="W128" s="699">
        <v>0.01</v>
      </c>
      <c r="X128" s="801">
        <f t="shared" si="8"/>
        <v>397.84250000000003</v>
      </c>
      <c r="Y128" s="1370" t="s">
        <v>1509</v>
      </c>
      <c r="Z128" s="1520" t="s">
        <v>1510</v>
      </c>
      <c r="AA128" s="1371">
        <v>53000</v>
      </c>
      <c r="AB128" s="700" t="s">
        <v>67</v>
      </c>
      <c r="AC128" s="700" t="s">
        <v>502</v>
      </c>
      <c r="AD128" s="1370" t="s">
        <v>1511</v>
      </c>
      <c r="AE128" s="702" t="s">
        <v>864</v>
      </c>
      <c r="AF128" s="757" t="s">
        <v>1512</v>
      </c>
      <c r="AG128" s="1373" t="s">
        <v>504</v>
      </c>
      <c r="AH128" s="704" t="s">
        <v>386</v>
      </c>
      <c r="AI128" s="1127" t="s">
        <v>1498</v>
      </c>
    </row>
    <row r="129" spans="1:35" s="1374" customFormat="1" ht="45" customHeight="1" thickBot="1">
      <c r="A129" s="595">
        <v>125</v>
      </c>
      <c r="B129" s="1561" t="s">
        <v>1499</v>
      </c>
      <c r="C129" s="1480" t="s">
        <v>503</v>
      </c>
      <c r="D129" s="693" t="s">
        <v>511</v>
      </c>
      <c r="E129" s="694" t="str">
        <f>+VLOOKUP(B129,'Consolidate TL'!$B$17:O419,2,FALSE)</f>
        <v>LD1704579776</v>
      </c>
      <c r="F129" s="1367">
        <f>+VLOOKUP(B129,'Consolidate TL'!$B$17:L418,9,FALSE)</f>
        <v>42780</v>
      </c>
      <c r="G129" s="1367">
        <f>+VLOOKUP(B129,'Consolidate TL'!$B$17:P419,10,FALSE)</f>
        <v>48258</v>
      </c>
      <c r="H129" s="695" t="str">
        <f t="shared" si="7"/>
        <v>180month,0days</v>
      </c>
      <c r="I129" s="696" t="s">
        <v>524</v>
      </c>
      <c r="J129" s="1368">
        <v>0.1</v>
      </c>
      <c r="K129" s="697" t="s">
        <v>1386</v>
      </c>
      <c r="L129" s="698">
        <f>+VLOOKUP(B129,'Consolidate TL'!$B$8:P1240,4,FALSE)</f>
        <v>29000</v>
      </c>
      <c r="M129" s="801"/>
      <c r="N129" s="1369"/>
      <c r="O129" s="597">
        <f>+VLOOKUP(B129,'Consolidate TL'!$B$8:$S$525,8,FALSE)</f>
        <v>28130.19</v>
      </c>
      <c r="P129" s="1369"/>
      <c r="Q129" s="1369"/>
      <c r="R129" s="1369"/>
      <c r="S129" s="698">
        <f t="shared" si="9"/>
        <v>28130.19</v>
      </c>
      <c r="T129" s="698"/>
      <c r="U129" s="698"/>
      <c r="V129" s="630">
        <f>+VLOOKUP(B129,'Consolidate TL'!$B$3:P632,12,FALSE)</f>
        <v>142.82</v>
      </c>
      <c r="W129" s="699">
        <v>0.01</v>
      </c>
      <c r="X129" s="801">
        <f t="shared" si="8"/>
        <v>281.30189999999999</v>
      </c>
      <c r="Y129" s="1370" t="s">
        <v>1513</v>
      </c>
      <c r="Z129" s="1520" t="s">
        <v>1514</v>
      </c>
      <c r="AA129" s="1371">
        <v>48500</v>
      </c>
      <c r="AB129" s="700" t="s">
        <v>67</v>
      </c>
      <c r="AC129" s="700" t="s">
        <v>502</v>
      </c>
      <c r="AD129" s="1370" t="s">
        <v>1515</v>
      </c>
      <c r="AE129" s="702" t="s">
        <v>864</v>
      </c>
      <c r="AF129" s="757" t="s">
        <v>1516</v>
      </c>
      <c r="AG129" s="1373" t="s">
        <v>504</v>
      </c>
      <c r="AH129" s="704" t="s">
        <v>386</v>
      </c>
      <c r="AI129" s="1127" t="s">
        <v>1501</v>
      </c>
    </row>
    <row r="130" spans="1:35" s="1374" customFormat="1" ht="45" customHeight="1" thickBot="1">
      <c r="A130" s="595">
        <v>126</v>
      </c>
      <c r="B130" s="1561" t="s">
        <v>1502</v>
      </c>
      <c r="C130" s="1480" t="s">
        <v>503</v>
      </c>
      <c r="D130" s="693" t="s">
        <v>511</v>
      </c>
      <c r="E130" s="694" t="str">
        <f>+VLOOKUP(B130,'Consolidate TL'!$B$17:O420,2,FALSE)</f>
        <v>LD1704703493</v>
      </c>
      <c r="F130" s="1367">
        <f>+VLOOKUP(B130,'Consolidate TL'!$B$17:L419,9,FALSE)</f>
        <v>42782</v>
      </c>
      <c r="G130" s="1367">
        <f>+VLOOKUP(B130,'Consolidate TL'!$B$17:P420,10,FALSE)</f>
        <v>48260</v>
      </c>
      <c r="H130" s="695" t="str">
        <f t="shared" si="7"/>
        <v>180month,0days</v>
      </c>
      <c r="I130" s="696" t="s">
        <v>524</v>
      </c>
      <c r="J130" s="1368">
        <v>0.1</v>
      </c>
      <c r="K130" s="697" t="s">
        <v>1386</v>
      </c>
      <c r="L130" s="698">
        <f>+VLOOKUP(B130,'Consolidate TL'!$B$8:P1241,4,FALSE)</f>
        <v>50000</v>
      </c>
      <c r="M130" s="801"/>
      <c r="N130" s="1369"/>
      <c r="O130" s="597">
        <f>+VLOOKUP(B130,'Consolidate TL'!$B$8:$S$525,8,FALSE)</f>
        <v>48500.27</v>
      </c>
      <c r="P130" s="1369"/>
      <c r="Q130" s="1369"/>
      <c r="R130" s="1369"/>
      <c r="S130" s="698">
        <f t="shared" si="9"/>
        <v>48500.27</v>
      </c>
      <c r="T130" s="698"/>
      <c r="U130" s="698"/>
      <c r="V130" s="630">
        <f>+VLOOKUP(B130,'Consolidate TL'!$B$3:P633,12,FALSE)</f>
        <v>218.88</v>
      </c>
      <c r="W130" s="699">
        <v>0.01</v>
      </c>
      <c r="X130" s="801">
        <f t="shared" ref="X130:X161" si="10">+S130*W130</f>
        <v>485.0027</v>
      </c>
      <c r="Y130" s="1370" t="s">
        <v>1517</v>
      </c>
      <c r="Z130" s="1520" t="s">
        <v>1518</v>
      </c>
      <c r="AA130" s="1371">
        <v>84711</v>
      </c>
      <c r="AB130" s="700" t="s">
        <v>67</v>
      </c>
      <c r="AC130" s="700" t="s">
        <v>502</v>
      </c>
      <c r="AD130" s="1370" t="s">
        <v>1517</v>
      </c>
      <c r="AE130" s="702" t="s">
        <v>864</v>
      </c>
      <c r="AF130" s="757" t="s">
        <v>1519</v>
      </c>
      <c r="AG130" s="1373" t="s">
        <v>504</v>
      </c>
      <c r="AH130" s="704" t="s">
        <v>386</v>
      </c>
      <c r="AI130" s="1127" t="s">
        <v>1504</v>
      </c>
    </row>
    <row r="131" spans="1:35" s="1374" customFormat="1" ht="45" customHeight="1" thickBot="1">
      <c r="A131" s="595">
        <v>127</v>
      </c>
      <c r="B131" s="1561" t="s">
        <v>1505</v>
      </c>
      <c r="C131" s="1480" t="s">
        <v>503</v>
      </c>
      <c r="D131" s="693" t="s">
        <v>511</v>
      </c>
      <c r="E131" s="694" t="str">
        <f>+VLOOKUP(B131,'Consolidate TL'!$B$17:O421,2,FALSE)</f>
        <v>LD1704634900</v>
      </c>
      <c r="F131" s="1367">
        <f>+VLOOKUP(B131,'Consolidate TL'!$B$17:L420,9,FALSE)</f>
        <v>42781</v>
      </c>
      <c r="G131" s="1367">
        <f>+VLOOKUP(B131,'Consolidate TL'!$B$17:P421,10,FALSE)</f>
        <v>44607</v>
      </c>
      <c r="H131" s="695" t="str">
        <f t="shared" si="7"/>
        <v>60month,0days</v>
      </c>
      <c r="I131" s="696" t="s">
        <v>524</v>
      </c>
      <c r="J131" s="1368">
        <v>0.1</v>
      </c>
      <c r="K131" s="697" t="s">
        <v>1386</v>
      </c>
      <c r="L131" s="698">
        <f>+VLOOKUP(B131,'Consolidate TL'!$B$8:P1242,4,FALSE)</f>
        <v>30000</v>
      </c>
      <c r="M131" s="801"/>
      <c r="N131" s="1369"/>
      <c r="O131" s="597">
        <f>+VLOOKUP(B131,'Consolidate TL'!$B$8:$S$525,8,FALSE)</f>
        <v>25314.93</v>
      </c>
      <c r="P131" s="1369"/>
      <c r="Q131" s="1369"/>
      <c r="R131" s="1369"/>
      <c r="S131" s="698">
        <f t="shared" si="9"/>
        <v>25314.93</v>
      </c>
      <c r="T131" s="698"/>
      <c r="U131" s="698"/>
      <c r="V131" s="630">
        <f>+VLOOKUP(B131,'Consolidate TL'!$B$3:P634,12,FALSE)</f>
        <v>131.31</v>
      </c>
      <c r="W131" s="699">
        <v>0.01</v>
      </c>
      <c r="X131" s="801">
        <f t="shared" si="10"/>
        <v>253.14930000000001</v>
      </c>
      <c r="Y131" s="1370" t="s">
        <v>1521</v>
      </c>
      <c r="Z131" s="1520" t="s">
        <v>1520</v>
      </c>
      <c r="AA131" s="1371">
        <v>124000</v>
      </c>
      <c r="AB131" s="700" t="s">
        <v>67</v>
      </c>
      <c r="AC131" s="700" t="s">
        <v>502</v>
      </c>
      <c r="AD131" s="1370" t="s">
        <v>1521</v>
      </c>
      <c r="AE131" s="702" t="s">
        <v>864</v>
      </c>
      <c r="AF131" s="757" t="s">
        <v>1522</v>
      </c>
      <c r="AG131" s="1373" t="s">
        <v>504</v>
      </c>
      <c r="AH131" s="704" t="s">
        <v>386</v>
      </c>
      <c r="AI131" s="1127" t="s">
        <v>1507</v>
      </c>
    </row>
    <row r="132" spans="1:35" s="1403" customFormat="1" ht="45" customHeight="1" thickBot="1">
      <c r="A132" s="595">
        <v>128</v>
      </c>
      <c r="B132" s="1608" t="s">
        <v>1543</v>
      </c>
      <c r="C132" s="1480" t="s">
        <v>503</v>
      </c>
      <c r="D132" s="693" t="s">
        <v>511</v>
      </c>
      <c r="E132" s="694" t="str">
        <f>+VLOOKUP(B132,'Consolidate TL'!$B$17:O422,2,FALSE)</f>
        <v>LD1002200857</v>
      </c>
      <c r="F132" s="1367">
        <f>+VLOOKUP(B132,'Consolidate TL'!$B$17:L421,9,FALSE)</f>
        <v>42611</v>
      </c>
      <c r="G132" s="1367">
        <f>+VLOOKUP(B132,'Consolidate TL'!$B$17:P422,10,FALSE)</f>
        <v>44437</v>
      </c>
      <c r="H132" s="695" t="str">
        <f t="shared" ref="H132:H142" si="11">(YEAR(G132)-YEAR(F132)-IF(OR(MONTH(G132)&lt;MONTH(F132),AND(MONTH(G132)=MONTH(F132),DAY(G132)&lt;DAY(F132))),1,0))*12+(MONTH(G132)-MONTH(F132)+IF(AND(MONTH(G132)&lt;=MONTH(F132),DAY(G132)&lt;DAY(F132)),11,IF(AND(MONTH(G132)&lt;MONTH(F132),DAY(G132)&gt;=DAY(F132)),12,IF(AND(MONTH(G132)&gt;MONTH(F132),DAY(G132)&lt;DAY(F132)),-1))))&amp;"month,"&amp;G132-DATE(YEAR(G132),MONTH(G132)-IF(DAY(G132)&lt;DAY(F132),1,0),DAY(F132))&amp;"days"</f>
        <v>60month,0days</v>
      </c>
      <c r="I132" s="696" t="s">
        <v>524</v>
      </c>
      <c r="J132" s="1368">
        <v>0.12</v>
      </c>
      <c r="K132" s="1606" t="s">
        <v>394</v>
      </c>
      <c r="L132" s="698">
        <f>+VLOOKUP(B132,'Consolidate TL'!$B$8:P1243,4,FALSE)</f>
        <v>50000</v>
      </c>
      <c r="M132" s="829"/>
      <c r="N132" s="1369"/>
      <c r="O132" s="597">
        <f>+VLOOKUP(B132,'Consolidate TL'!$B$8:$S$525,8,FALSE)</f>
        <v>20745.439999999999</v>
      </c>
      <c r="P132" s="1521"/>
      <c r="Q132" s="1521"/>
      <c r="R132" s="1521"/>
      <c r="S132" s="698">
        <f t="shared" si="9"/>
        <v>20745.439999999999</v>
      </c>
      <c r="T132" s="827"/>
      <c r="U132" s="827"/>
      <c r="V132" s="630">
        <f>+VLOOKUP(B132,'Consolidate TL'!$B$3:P635,12,FALSE)</f>
        <v>27.68</v>
      </c>
      <c r="W132" s="699">
        <v>0.01</v>
      </c>
      <c r="X132" s="801">
        <f t="shared" si="10"/>
        <v>207.45439999999999</v>
      </c>
      <c r="Y132" s="1370" t="s">
        <v>1551</v>
      </c>
      <c r="Z132" s="1520" t="s">
        <v>1552</v>
      </c>
      <c r="AA132" s="1371">
        <v>138240</v>
      </c>
      <c r="AB132" s="700" t="s">
        <v>67</v>
      </c>
      <c r="AC132" s="700" t="s">
        <v>703</v>
      </c>
      <c r="AD132" s="1370" t="s">
        <v>1553</v>
      </c>
      <c r="AE132" s="919" t="s">
        <v>1109</v>
      </c>
      <c r="AF132" s="919" t="s">
        <v>1554</v>
      </c>
      <c r="AG132" s="1373" t="s">
        <v>504</v>
      </c>
      <c r="AH132" s="704" t="s">
        <v>374</v>
      </c>
      <c r="AI132" s="1127" t="s">
        <v>1548</v>
      </c>
    </row>
    <row r="133" spans="1:35" s="1403" customFormat="1" ht="54.75" customHeight="1" thickBot="1">
      <c r="A133" s="595">
        <v>129</v>
      </c>
      <c r="B133" s="1608" t="s">
        <v>1541</v>
      </c>
      <c r="C133" s="1480" t="s">
        <v>503</v>
      </c>
      <c r="D133" s="693" t="s">
        <v>511</v>
      </c>
      <c r="E133" s="694" t="e">
        <f>+VLOOKUP(B133,'Consolidate TL'!$B$17:O423,2,FALSE)</f>
        <v>#N/A</v>
      </c>
      <c r="F133" s="1367" t="e">
        <f>+VLOOKUP(B133,'Consolidate TL'!$B$17:L422,9,FALSE)</f>
        <v>#N/A</v>
      </c>
      <c r="G133" s="1367" t="e">
        <f>+VLOOKUP(B133,'Consolidate TL'!$B$17:P423,10,FALSE)</f>
        <v>#N/A</v>
      </c>
      <c r="H133" s="695" t="e">
        <f t="shared" si="11"/>
        <v>#N/A</v>
      </c>
      <c r="I133" s="696" t="s">
        <v>524</v>
      </c>
      <c r="J133" s="1368">
        <v>7.4999999999999997E-2</v>
      </c>
      <c r="K133" s="1606" t="s">
        <v>1386</v>
      </c>
      <c r="L133" s="698" t="e">
        <f>+VLOOKUP(B133,'Consolidate TL'!$B$8:P1244,4,FALSE)</f>
        <v>#N/A</v>
      </c>
      <c r="M133" s="829"/>
      <c r="N133" s="1369"/>
      <c r="O133" s="597" t="e">
        <f>+VLOOKUP(B133,'Consolidate TL'!$B$8:$S$525,8,FALSE)</f>
        <v>#N/A</v>
      </c>
      <c r="P133" s="1521"/>
      <c r="Q133" s="1521"/>
      <c r="R133" s="1521"/>
      <c r="S133" s="698" t="e">
        <f t="shared" si="9"/>
        <v>#N/A</v>
      </c>
      <c r="T133" s="827"/>
      <c r="U133" s="827"/>
      <c r="V133" s="630" t="e">
        <f>+VLOOKUP(B133,'Consolidate TL'!$B$3:P636,12,FALSE)</f>
        <v>#N/A</v>
      </c>
      <c r="W133" s="699">
        <v>0.01</v>
      </c>
      <c r="X133" s="801" t="e">
        <f t="shared" si="10"/>
        <v>#N/A</v>
      </c>
      <c r="Y133" s="852" t="s">
        <v>1555</v>
      </c>
      <c r="Z133" s="1522" t="s">
        <v>1556</v>
      </c>
      <c r="AA133" s="1027">
        <v>1124010</v>
      </c>
      <c r="AB133" s="700" t="s">
        <v>67</v>
      </c>
      <c r="AC133" s="700" t="s">
        <v>502</v>
      </c>
      <c r="AD133" s="852" t="s">
        <v>1557</v>
      </c>
      <c r="AE133" s="1530" t="s">
        <v>1558</v>
      </c>
      <c r="AF133" s="1531" t="s">
        <v>1559</v>
      </c>
      <c r="AG133" s="1373" t="s">
        <v>504</v>
      </c>
      <c r="AH133" s="704" t="s">
        <v>386</v>
      </c>
      <c r="AI133" s="1127" t="s">
        <v>1542</v>
      </c>
    </row>
    <row r="134" spans="1:35" s="1403" customFormat="1" ht="54.75" customHeight="1" thickBot="1">
      <c r="A134" s="595">
        <v>130</v>
      </c>
      <c r="B134" s="1608" t="s">
        <v>1524</v>
      </c>
      <c r="C134" s="1480" t="s">
        <v>503</v>
      </c>
      <c r="D134" s="693" t="s">
        <v>511</v>
      </c>
      <c r="E134" s="694" t="str">
        <f>+VLOOKUP(B134,'Consolidate TL'!$B$17:O424,2,FALSE)</f>
        <v>LD1706277041</v>
      </c>
      <c r="F134" s="1367">
        <f>+VLOOKUP(B134,'Consolidate TL'!$B$17:L423,9,FALSE)</f>
        <v>42797</v>
      </c>
      <c r="G134" s="1367">
        <f>+VLOOKUP(B134,'Consolidate TL'!$B$17:P424,10,FALSE)</f>
        <v>11773</v>
      </c>
      <c r="H134" s="695" t="str">
        <f t="shared" si="11"/>
        <v>-1020month,22days</v>
      </c>
      <c r="I134" s="696" t="s">
        <v>524</v>
      </c>
      <c r="J134" s="1368">
        <v>2.75E-2</v>
      </c>
      <c r="K134" s="1606" t="s">
        <v>1523</v>
      </c>
      <c r="L134" s="698">
        <f>+VLOOKUP(B134,'Consolidate TL'!$B$8:P1245,4,FALSE)</f>
        <v>28900</v>
      </c>
      <c r="M134" s="829"/>
      <c r="N134" s="1369">
        <f>VLOOKUP(B134,'Consolidate TL'!B81:I304,8,FALSE)</f>
        <v>26994.52</v>
      </c>
      <c r="O134" s="597"/>
      <c r="P134" s="1521"/>
      <c r="Q134" s="1521"/>
      <c r="R134" s="1521"/>
      <c r="S134" s="698">
        <f t="shared" si="9"/>
        <v>26994.52</v>
      </c>
      <c r="T134" s="827"/>
      <c r="U134" s="827"/>
      <c r="V134" s="630">
        <f>+VLOOKUP(B134,'Consolidate TL'!$B$3:P637,12,FALSE)</f>
        <v>23.1</v>
      </c>
      <c r="W134" s="699">
        <v>0.01</v>
      </c>
      <c r="X134" s="801">
        <f t="shared" si="10"/>
        <v>269.9452</v>
      </c>
      <c r="Y134" s="852" t="s">
        <v>1576</v>
      </c>
      <c r="Z134" s="1522" t="s">
        <v>1581</v>
      </c>
      <c r="AA134" s="1027">
        <v>152444</v>
      </c>
      <c r="AB134" s="700" t="s">
        <v>67</v>
      </c>
      <c r="AC134" s="700" t="s">
        <v>502</v>
      </c>
      <c r="AD134" s="852" t="s">
        <v>1577</v>
      </c>
      <c r="AE134" s="1530" t="s">
        <v>1578</v>
      </c>
      <c r="AF134" s="1531" t="s">
        <v>1579</v>
      </c>
      <c r="AG134" s="1373" t="s">
        <v>504</v>
      </c>
      <c r="AH134" s="704" t="s">
        <v>386</v>
      </c>
      <c r="AI134" s="1127" t="s">
        <v>1536</v>
      </c>
    </row>
    <row r="135" spans="1:35" s="1403" customFormat="1" ht="54.75" customHeight="1" thickBot="1">
      <c r="A135" s="595">
        <v>131</v>
      </c>
      <c r="B135" s="1608" t="s">
        <v>1526</v>
      </c>
      <c r="C135" s="1480" t="s">
        <v>503</v>
      </c>
      <c r="D135" s="693" t="s">
        <v>511</v>
      </c>
      <c r="E135" s="694" t="str">
        <f>+VLOOKUP(B135,'Consolidate TL'!$B$17:O425,2,FALSE)</f>
        <v>LD1707282982</v>
      </c>
      <c r="F135" s="1367">
        <f>+VLOOKUP(B135,'Consolidate TL'!$B$17:L424,9,FALSE)</f>
        <v>42807</v>
      </c>
      <c r="G135" s="1367">
        <f>+VLOOKUP(B135,'Consolidate TL'!$B$17:P425,10,FALSE)</f>
        <v>46459</v>
      </c>
      <c r="H135" s="695" t="str">
        <f t="shared" si="11"/>
        <v>120month,0days</v>
      </c>
      <c r="I135" s="696" t="s">
        <v>524</v>
      </c>
      <c r="J135" s="1368">
        <v>0.1</v>
      </c>
      <c r="K135" s="1606" t="s">
        <v>1386</v>
      </c>
      <c r="L135" s="698">
        <f>+VLOOKUP(B135,'Consolidate TL'!$B$8:P1246,4,FALSE)</f>
        <v>28800</v>
      </c>
      <c r="M135" s="829"/>
      <c r="N135" s="1369"/>
      <c r="O135" s="597">
        <f>+VLOOKUP(B135,'Consolidate TL'!$B$8:$S$525,8,FALSE)</f>
        <v>27216.44</v>
      </c>
      <c r="P135" s="1521"/>
      <c r="Q135" s="1521"/>
      <c r="R135" s="1521"/>
      <c r="S135" s="698">
        <f t="shared" si="9"/>
        <v>27216.44</v>
      </c>
      <c r="T135" s="827"/>
      <c r="U135" s="827"/>
      <c r="V135" s="630">
        <f>+VLOOKUP(B135,'Consolidate TL'!$B$3:P638,12,FALSE)</f>
        <v>148.29</v>
      </c>
      <c r="W135" s="699">
        <v>0.01</v>
      </c>
      <c r="X135" s="801">
        <f t="shared" si="10"/>
        <v>272.1644</v>
      </c>
      <c r="Y135" s="852" t="s">
        <v>1561</v>
      </c>
      <c r="Z135" s="1522" t="s">
        <v>1562</v>
      </c>
      <c r="AA135" s="1027">
        <v>48544</v>
      </c>
      <c r="AB135" s="700" t="s">
        <v>67</v>
      </c>
      <c r="AC135" s="700" t="s">
        <v>502</v>
      </c>
      <c r="AD135" s="852" t="s">
        <v>1563</v>
      </c>
      <c r="AE135" s="1530" t="s">
        <v>934</v>
      </c>
      <c r="AF135" s="1531" t="s">
        <v>1564</v>
      </c>
      <c r="AG135" s="1373" t="s">
        <v>504</v>
      </c>
      <c r="AH135" s="704" t="s">
        <v>386</v>
      </c>
      <c r="AI135" s="1127" t="s">
        <v>1537</v>
      </c>
    </row>
    <row r="136" spans="1:35" s="1403" customFormat="1" ht="54.75" customHeight="1" thickBot="1">
      <c r="A136" s="595">
        <v>132</v>
      </c>
      <c r="B136" s="1608" t="s">
        <v>1545</v>
      </c>
      <c r="C136" s="1480" t="s">
        <v>503</v>
      </c>
      <c r="D136" s="693" t="s">
        <v>511</v>
      </c>
      <c r="E136" s="694" t="str">
        <f>+VLOOKUP(B136,'Consolidate TL'!$B$17:O426,2,FALSE)</f>
        <v>LD1708021890</v>
      </c>
      <c r="F136" s="1367">
        <f>+VLOOKUP(B136,'Consolidate TL'!$B$17:L425,9,FALSE)</f>
        <v>42815</v>
      </c>
      <c r="G136" s="1367">
        <f>+VLOOKUP(B136,'Consolidate TL'!$B$17:P426,10,FALSE)</f>
        <v>43915</v>
      </c>
      <c r="H136" s="695" t="str">
        <f t="shared" si="11"/>
        <v>36month,4days</v>
      </c>
      <c r="I136" s="696" t="s">
        <v>524</v>
      </c>
      <c r="J136" s="1368">
        <v>0.08</v>
      </c>
      <c r="K136" s="1606" t="s">
        <v>1549</v>
      </c>
      <c r="L136" s="698">
        <f>+VLOOKUP(B136,'Consolidate TL'!$B$8:P1247,4,FALSE)</f>
        <v>4000</v>
      </c>
      <c r="M136" s="829"/>
      <c r="N136" s="1369">
        <f>VLOOKUP(B136,'Consolidate TL'!B82:I306,8,FALSE)</f>
        <v>2846.35</v>
      </c>
      <c r="O136" s="597"/>
      <c r="P136" s="1521"/>
      <c r="Q136" s="1521"/>
      <c r="R136" s="1521"/>
      <c r="S136" s="698">
        <f t="shared" si="9"/>
        <v>2846.35</v>
      </c>
      <c r="T136" s="827"/>
      <c r="U136" s="827"/>
      <c r="V136" s="630">
        <f>+VLOOKUP(B136,'Consolidate TL'!$B$3:P639,12,FALSE)</f>
        <v>3.89</v>
      </c>
      <c r="W136" s="699">
        <v>0.01</v>
      </c>
      <c r="X136" s="801">
        <f t="shared" si="10"/>
        <v>28.4635</v>
      </c>
      <c r="Y136" s="852"/>
      <c r="Z136" s="1522"/>
      <c r="AA136" s="1027"/>
      <c r="AB136" s="700" t="s">
        <v>67</v>
      </c>
      <c r="AC136" s="700" t="s">
        <v>502</v>
      </c>
      <c r="AD136" s="852" t="s">
        <v>1565</v>
      </c>
      <c r="AE136" s="1530" t="s">
        <v>1566</v>
      </c>
      <c r="AF136" s="1531" t="s">
        <v>1560</v>
      </c>
      <c r="AG136" s="1373" t="s">
        <v>504</v>
      </c>
      <c r="AH136" s="704" t="s">
        <v>378</v>
      </c>
      <c r="AI136" s="1127" t="s">
        <v>1547</v>
      </c>
    </row>
    <row r="137" spans="1:35" s="1403" customFormat="1" ht="54.75" customHeight="1" thickBot="1">
      <c r="A137" s="595">
        <v>133</v>
      </c>
      <c r="B137" s="1608" t="s">
        <v>1528</v>
      </c>
      <c r="C137" s="1480" t="s">
        <v>503</v>
      </c>
      <c r="D137" s="693" t="s">
        <v>511</v>
      </c>
      <c r="E137" s="694" t="str">
        <f>+VLOOKUP(B137,'Consolidate TL'!$B$17:O427,2,FALSE)</f>
        <v>LD1708634967</v>
      </c>
      <c r="F137" s="1367">
        <f>+VLOOKUP(B137,'Consolidate TL'!$B$17:L426,9,FALSE)</f>
        <v>42821</v>
      </c>
      <c r="G137" s="1367">
        <f>+VLOOKUP(B137,'Consolidate TL'!$B$17:P427,10,FALSE)</f>
        <v>46473</v>
      </c>
      <c r="H137" s="695" t="str">
        <f t="shared" si="11"/>
        <v>120month,0days</v>
      </c>
      <c r="I137" s="696" t="s">
        <v>524</v>
      </c>
      <c r="J137" s="1368">
        <v>7.4999999999999997E-2</v>
      </c>
      <c r="K137" s="1606" t="s">
        <v>1386</v>
      </c>
      <c r="L137" s="698">
        <f>+VLOOKUP(B137,'Consolidate TL'!$B$8:P1248,4,FALSE)</f>
        <v>50000</v>
      </c>
      <c r="M137" s="829"/>
      <c r="N137" s="1369"/>
      <c r="O137" s="597">
        <f>+VLOOKUP(B137,'Consolidate TL'!$B$8:$S$525,8,FALSE)</f>
        <v>45416.74</v>
      </c>
      <c r="P137" s="1521"/>
      <c r="Q137" s="1521"/>
      <c r="R137" s="1521"/>
      <c r="S137" s="698">
        <f t="shared" si="9"/>
        <v>45416.74</v>
      </c>
      <c r="T137" s="827"/>
      <c r="U137" s="827"/>
      <c r="V137" s="630">
        <f>+VLOOKUP(B137,'Consolidate TL'!$B$3:P640,12,FALSE)</f>
        <v>49.91</v>
      </c>
      <c r="W137" s="699">
        <v>0.01</v>
      </c>
      <c r="X137" s="801">
        <f t="shared" si="10"/>
        <v>454.16739999999999</v>
      </c>
      <c r="Y137" s="852" t="s">
        <v>1567</v>
      </c>
      <c r="Z137" s="1522" t="s">
        <v>1569</v>
      </c>
      <c r="AA137" s="1027">
        <v>99500</v>
      </c>
      <c r="AB137" s="700" t="s">
        <v>67</v>
      </c>
      <c r="AC137" s="700" t="s">
        <v>502</v>
      </c>
      <c r="AD137" s="852" t="s">
        <v>1570</v>
      </c>
      <c r="AE137" s="1530" t="s">
        <v>864</v>
      </c>
      <c r="AF137" s="1531" t="s">
        <v>1568</v>
      </c>
      <c r="AG137" s="1373" t="s">
        <v>504</v>
      </c>
      <c r="AH137" s="704" t="s">
        <v>386</v>
      </c>
      <c r="AI137" s="1127" t="s">
        <v>1538</v>
      </c>
    </row>
    <row r="138" spans="1:35" s="1374" customFormat="1" ht="54.75" customHeight="1" thickBot="1">
      <c r="A138" s="595">
        <v>134</v>
      </c>
      <c r="B138" s="1608" t="s">
        <v>1530</v>
      </c>
      <c r="C138" s="1480" t="s">
        <v>503</v>
      </c>
      <c r="D138" s="693" t="s">
        <v>511</v>
      </c>
      <c r="E138" s="694" t="str">
        <f>+VLOOKUP(B138,'Consolidate TL'!$B$17:O428,2,FALSE)</f>
        <v>LD1708711982</v>
      </c>
      <c r="F138" s="1367">
        <f>+VLOOKUP(B138,'Consolidate TL'!$B$17:L427,9,FALSE)</f>
        <v>42822</v>
      </c>
      <c r="G138" s="1367">
        <f>+VLOOKUP(B138,'Consolidate TL'!$B$17:P428,10,FALSE)</f>
        <v>46474</v>
      </c>
      <c r="H138" s="695" t="str">
        <f t="shared" si="11"/>
        <v>120month,0days</v>
      </c>
      <c r="I138" s="696" t="s">
        <v>524</v>
      </c>
      <c r="J138" s="1368">
        <v>7.4999999999999997E-2</v>
      </c>
      <c r="K138" s="697" t="s">
        <v>1550</v>
      </c>
      <c r="L138" s="698">
        <f>+VLOOKUP(B138,'Consolidate TL'!$B$8:P1249,4,FALSE)</f>
        <v>40000</v>
      </c>
      <c r="M138" s="801"/>
      <c r="N138" s="1369"/>
      <c r="O138" s="597">
        <f>+VLOOKUP(B138,'Consolidate TL'!$B$8:$S$525,8,FALSE)</f>
        <v>36333.370000000003</v>
      </c>
      <c r="P138" s="1369"/>
      <c r="Q138" s="1369"/>
      <c r="R138" s="1369"/>
      <c r="S138" s="698">
        <f t="shared" si="9"/>
        <v>36333.370000000003</v>
      </c>
      <c r="T138" s="698"/>
      <c r="U138" s="698"/>
      <c r="V138" s="630">
        <f>+VLOOKUP(B138,'Consolidate TL'!$B$3:P641,12,FALSE)</f>
        <v>31.94</v>
      </c>
      <c r="W138" s="699">
        <v>0.01</v>
      </c>
      <c r="X138" s="801">
        <f t="shared" si="10"/>
        <v>363.33370000000002</v>
      </c>
      <c r="Y138" s="1370" t="s">
        <v>1571</v>
      </c>
      <c r="Z138" s="1520" t="s">
        <v>1572</v>
      </c>
      <c r="AA138" s="1371">
        <v>305860</v>
      </c>
      <c r="AB138" s="700" t="s">
        <v>67</v>
      </c>
      <c r="AC138" s="700" t="s">
        <v>502</v>
      </c>
      <c r="AD138" s="1370" t="s">
        <v>1573</v>
      </c>
      <c r="AE138" s="702" t="s">
        <v>1574</v>
      </c>
      <c r="AF138" s="757" t="s">
        <v>1575</v>
      </c>
      <c r="AG138" s="1373" t="s">
        <v>504</v>
      </c>
      <c r="AH138" s="704" t="s">
        <v>386</v>
      </c>
      <c r="AI138" s="1127" t="s">
        <v>1539</v>
      </c>
    </row>
    <row r="139" spans="1:35" s="1374" customFormat="1" ht="54.75" customHeight="1" thickBot="1">
      <c r="A139" s="595">
        <v>135</v>
      </c>
      <c r="B139" s="1608" t="s">
        <v>1532</v>
      </c>
      <c r="C139" s="1480" t="s">
        <v>503</v>
      </c>
      <c r="D139" s="693" t="s">
        <v>511</v>
      </c>
      <c r="E139" s="694" t="str">
        <f>+VLOOKUP(B139,'Consolidate TL'!$B$17:O429,2,FALSE)</f>
        <v>LD1001000348</v>
      </c>
      <c r="F139" s="1367">
        <f>+VLOOKUP(B139,'Consolidate TL'!$B$17:L428,9,FALSE)</f>
        <v>42823</v>
      </c>
      <c r="G139" s="1367">
        <f>+VLOOKUP(B139,'Consolidate TL'!$B$17:P429,10,FALSE)</f>
        <v>13234</v>
      </c>
      <c r="H139" s="695" t="s">
        <v>1594</v>
      </c>
      <c r="I139" s="696" t="s">
        <v>524</v>
      </c>
      <c r="J139" s="1368">
        <v>2.75E-2</v>
      </c>
      <c r="K139" s="697" t="s">
        <v>1523</v>
      </c>
      <c r="L139" s="698">
        <f>+VLOOKUP(B139,'Consolidate TL'!$B$8:P1250,4,FALSE)</f>
        <v>43000</v>
      </c>
      <c r="M139" s="801"/>
      <c r="N139" s="1369">
        <f>VLOOKUP(B139,'Consolidate TL'!B85:I309,8,FALSE)</f>
        <v>41508.51</v>
      </c>
      <c r="O139" s="597"/>
      <c r="P139" s="1369"/>
      <c r="Q139" s="1369"/>
      <c r="R139" s="1369"/>
      <c r="S139" s="698">
        <f t="shared" si="9"/>
        <v>41508.51</v>
      </c>
      <c r="T139" s="698"/>
      <c r="U139" s="698"/>
      <c r="V139" s="630">
        <f>+VLOOKUP(B139,'Consolidate TL'!$B$3:P642,12,FALSE)</f>
        <v>22.65</v>
      </c>
      <c r="W139" s="699">
        <v>0.01</v>
      </c>
      <c r="X139" s="801">
        <f t="shared" si="10"/>
        <v>415.08510000000001</v>
      </c>
      <c r="Y139" s="1370" t="s">
        <v>1580</v>
      </c>
      <c r="Z139" s="1520" t="s">
        <v>1406</v>
      </c>
      <c r="AA139" s="1371">
        <v>55000</v>
      </c>
      <c r="AB139" s="700" t="s">
        <v>67</v>
      </c>
      <c r="AC139" s="700" t="s">
        <v>502</v>
      </c>
      <c r="AD139" s="1370" t="s">
        <v>1582</v>
      </c>
      <c r="AE139" s="702" t="s">
        <v>934</v>
      </c>
      <c r="AF139" s="757" t="s">
        <v>1560</v>
      </c>
      <c r="AG139" s="1373" t="s">
        <v>504</v>
      </c>
      <c r="AH139" s="704" t="s">
        <v>386</v>
      </c>
      <c r="AI139" s="1127" t="s">
        <v>1540</v>
      </c>
    </row>
    <row r="140" spans="1:35" s="1374" customFormat="1" ht="45" customHeight="1" thickBot="1">
      <c r="A140" s="595">
        <v>136</v>
      </c>
      <c r="B140" s="1479" t="s">
        <v>1583</v>
      </c>
      <c r="C140" s="1480" t="s">
        <v>503</v>
      </c>
      <c r="D140" s="693" t="s">
        <v>511</v>
      </c>
      <c r="E140" s="694" t="str">
        <f>+VLOOKUP(B140,'Consolidate TL'!$B$17:O430,2,FALSE)</f>
        <v>LD1709649674</v>
      </c>
      <c r="F140" s="1367">
        <f>+VLOOKUP(B140,'Consolidate TL'!$B$17:L429,9,FALSE)</f>
        <v>42831</v>
      </c>
      <c r="G140" s="1367">
        <f>+VLOOKUP(B140,'Consolidate TL'!$B$17:P430,10,FALSE)</f>
        <v>11785</v>
      </c>
      <c r="H140" s="695" t="s">
        <v>1595</v>
      </c>
      <c r="I140" s="696" t="s">
        <v>524</v>
      </c>
      <c r="J140" s="1368">
        <v>7.4999999999999997E-2</v>
      </c>
      <c r="K140" s="697" t="s">
        <v>1550</v>
      </c>
      <c r="L140" s="698">
        <f>+VLOOKUP(B140,'Consolidate TL'!$B$8:P1251,4,FALSE)</f>
        <v>115000</v>
      </c>
      <c r="M140" s="801"/>
      <c r="N140" s="1369"/>
      <c r="O140" s="597">
        <f>+VLOOKUP(B140,'Consolidate TL'!$B$8:$S$525,8,FALSE)</f>
        <v>111498.36</v>
      </c>
      <c r="P140" s="1369"/>
      <c r="Q140" s="1369"/>
      <c r="R140" s="1369"/>
      <c r="S140" s="698">
        <f t="shared" si="9"/>
        <v>111498.36</v>
      </c>
      <c r="T140" s="698"/>
      <c r="U140" s="698"/>
      <c r="V140" s="630">
        <f>+VLOOKUP(B140,'Consolidate TL'!$B$3:P643,12,FALSE)</f>
        <v>615.41999999999996</v>
      </c>
      <c r="W140" s="699">
        <v>0.01</v>
      </c>
      <c r="X140" s="801">
        <f t="shared" si="10"/>
        <v>1114.9836</v>
      </c>
      <c r="Y140" s="1370" t="s">
        <v>1596</v>
      </c>
      <c r="Z140" s="1520" t="s">
        <v>1597</v>
      </c>
      <c r="AA140" s="1371">
        <v>193950</v>
      </c>
      <c r="AB140" s="700" t="s">
        <v>67</v>
      </c>
      <c r="AC140" s="700" t="s">
        <v>502</v>
      </c>
      <c r="AD140" s="1370" t="s">
        <v>1598</v>
      </c>
      <c r="AE140" s="702" t="s">
        <v>1599</v>
      </c>
      <c r="AF140" s="757" t="s">
        <v>1600</v>
      </c>
      <c r="AG140" s="1373" t="s">
        <v>504</v>
      </c>
      <c r="AH140" s="704" t="s">
        <v>386</v>
      </c>
      <c r="AI140" s="1127" t="s">
        <v>1590</v>
      </c>
    </row>
    <row r="141" spans="1:35" s="1374" customFormat="1" ht="45" customHeight="1" thickBot="1">
      <c r="A141" s="595">
        <v>137</v>
      </c>
      <c r="B141" s="1479" t="s">
        <v>1584</v>
      </c>
      <c r="C141" s="1480" t="s">
        <v>503</v>
      </c>
      <c r="D141" s="693" t="s">
        <v>511</v>
      </c>
      <c r="E141" s="694" t="str">
        <f>+VLOOKUP(B141,'Consolidate TL'!$B$17:O431,2,FALSE)</f>
        <v>LD1710961019</v>
      </c>
      <c r="F141" s="1367">
        <f>+VLOOKUP(B141,'Consolidate TL'!$B$17:L430,9,FALSE)</f>
        <v>42844</v>
      </c>
      <c r="G141" s="1367">
        <f>+VLOOKUP(B141,'Consolidate TL'!$B$17:P431,10,FALSE)</f>
        <v>11798</v>
      </c>
      <c r="H141" s="695" t="s">
        <v>1593</v>
      </c>
      <c r="I141" s="696" t="s">
        <v>524</v>
      </c>
      <c r="J141" s="1368">
        <v>7.4999999999999997E-2</v>
      </c>
      <c r="K141" s="697" t="s">
        <v>1550</v>
      </c>
      <c r="L141" s="698">
        <f>+VLOOKUP(B141,'Consolidate TL'!$B$8:P1252,4,FALSE)</f>
        <v>60000</v>
      </c>
      <c r="M141" s="801"/>
      <c r="N141" s="1369"/>
      <c r="O141" s="597">
        <f>+VLOOKUP(B141,'Consolidate TL'!$B$8:$S$525,8,FALSE)</f>
        <v>58126.91</v>
      </c>
      <c r="P141" s="1369"/>
      <c r="Q141" s="1369"/>
      <c r="R141" s="1369"/>
      <c r="S141" s="698">
        <f t="shared" si="9"/>
        <v>58126.91</v>
      </c>
      <c r="T141" s="698"/>
      <c r="U141" s="698"/>
      <c r="V141" s="630">
        <f>+VLOOKUP(B141,'Consolidate TL'!$B$3:P644,12,FALSE)</f>
        <v>160.41999999999999</v>
      </c>
      <c r="W141" s="699">
        <v>0.01</v>
      </c>
      <c r="X141" s="801">
        <f t="shared" si="10"/>
        <v>581.26910000000009</v>
      </c>
      <c r="Y141" s="1370" t="s">
        <v>1602</v>
      </c>
      <c r="Z141" s="1520" t="s">
        <v>1601</v>
      </c>
      <c r="AA141" s="1371">
        <v>101799.6</v>
      </c>
      <c r="AB141" s="700" t="s">
        <v>67</v>
      </c>
      <c r="AC141" s="700" t="s">
        <v>502</v>
      </c>
      <c r="AD141" s="1370" t="s">
        <v>1603</v>
      </c>
      <c r="AE141" s="702" t="s">
        <v>1609</v>
      </c>
      <c r="AF141" s="757" t="s">
        <v>1604</v>
      </c>
      <c r="AG141" s="1373" t="s">
        <v>504</v>
      </c>
      <c r="AH141" s="704" t="s">
        <v>386</v>
      </c>
      <c r="AI141" s="1127" t="s">
        <v>1591</v>
      </c>
    </row>
    <row r="142" spans="1:35" s="1374" customFormat="1" ht="45" customHeight="1" thickBot="1">
      <c r="A142" s="595">
        <v>138</v>
      </c>
      <c r="B142" s="1479" t="s">
        <v>1585</v>
      </c>
      <c r="C142" s="1480" t="s">
        <v>503</v>
      </c>
      <c r="D142" s="693" t="s">
        <v>511</v>
      </c>
      <c r="E142" s="694" t="str">
        <f>+VLOOKUP(B142,'Consolidate TL'!$B$17:O432,2,FALSE)</f>
        <v>LD1711048483</v>
      </c>
      <c r="F142" s="1367">
        <f>+VLOOKUP(B142,'Consolidate TL'!$B$17:L431,9,FALSE)</f>
        <v>42845</v>
      </c>
      <c r="G142" s="1367">
        <f>+VLOOKUP(B142,'Consolidate TL'!$B$17:P432,10,FALSE)</f>
        <v>46497</v>
      </c>
      <c r="H142" s="695" t="str">
        <f t="shared" si="11"/>
        <v>120month,0days</v>
      </c>
      <c r="I142" s="696" t="s">
        <v>524</v>
      </c>
      <c r="J142" s="1368">
        <v>9.5000000000000001E-2</v>
      </c>
      <c r="K142" s="697" t="s">
        <v>1550</v>
      </c>
      <c r="L142" s="698">
        <f>+VLOOKUP(B142,'Consolidate TL'!$B$8:P1253,4,FALSE)</f>
        <v>50000</v>
      </c>
      <c r="M142" s="801"/>
      <c r="N142" s="1369"/>
      <c r="O142" s="597">
        <f>+VLOOKUP(B142,'Consolidate TL'!$B$8:$S$525,8,FALSE)</f>
        <v>47427.87</v>
      </c>
      <c r="P142" s="1369"/>
      <c r="Q142" s="1369"/>
      <c r="R142" s="1369"/>
      <c r="S142" s="698">
        <f t="shared" si="9"/>
        <v>47427.87</v>
      </c>
      <c r="T142" s="698"/>
      <c r="U142" s="698"/>
      <c r="V142" s="630">
        <f>+VLOOKUP(B142,'Consolidate TL'!$B$3:P645,12,FALSE)</f>
        <v>155.12</v>
      </c>
      <c r="W142" s="699">
        <v>0.01</v>
      </c>
      <c r="X142" s="801">
        <f t="shared" si="10"/>
        <v>474.27870000000001</v>
      </c>
      <c r="Y142" s="1370" t="s">
        <v>1605</v>
      </c>
      <c r="Z142" s="1520" t="s">
        <v>1606</v>
      </c>
      <c r="AA142" s="1371">
        <v>160650</v>
      </c>
      <c r="AB142" s="700" t="s">
        <v>67</v>
      </c>
      <c r="AC142" s="700" t="s">
        <v>502</v>
      </c>
      <c r="AD142" s="1370" t="s">
        <v>1607</v>
      </c>
      <c r="AE142" s="702" t="s">
        <v>1610</v>
      </c>
      <c r="AF142" s="702" t="s">
        <v>1608</v>
      </c>
      <c r="AG142" s="1373" t="s">
        <v>504</v>
      </c>
      <c r="AH142" s="704" t="s">
        <v>386</v>
      </c>
      <c r="AI142" s="1127" t="s">
        <v>1589</v>
      </c>
    </row>
    <row r="143" spans="1:35" s="1374" customFormat="1" ht="45" customHeight="1" thickBot="1">
      <c r="A143" s="595">
        <v>139</v>
      </c>
      <c r="B143" s="1479" t="s">
        <v>1611</v>
      </c>
      <c r="C143" s="1480" t="s">
        <v>503</v>
      </c>
      <c r="D143" s="693" t="s">
        <v>511</v>
      </c>
      <c r="E143" s="694" t="str">
        <f>+VLOOKUP(B143,'Consolidate TL'!$B$17:O433,2,FALSE)</f>
        <v>LD1003300626</v>
      </c>
      <c r="F143" s="1367">
        <f>+VLOOKUP(B143,'Consolidate TL'!$B$17:L432,9,FALSE)</f>
        <v>42860</v>
      </c>
      <c r="G143" s="1367">
        <f>+VLOOKUP(B143,'Consolidate TL'!$B$17:P433,10,FALSE)</f>
        <v>46147</v>
      </c>
      <c r="H143" s="695" t="str">
        <f>(YEAR(G143)-YEAR(F143)-IF(OR(MONTH(G143)&lt;MONTH(F143),AND(MONTH(G143)=MONTH(F143),DAY(G143)&lt;DAY(F143))),1,0))*12+(MONTH(G143)-MONTH(F143)+IF(AND(MONTH(G143)&lt;=MONTH(F143),DAY(G143)&lt;DAY(F143)),11,IF(AND(MONTH(G143)&lt;MONTH(F143),DAY(G143)&gt;=DAY(F143)),12,IF(AND(MONTH(G143)&gt;MONTH(F143),DAY(G143)&lt;DAY(F143)),-1))))&amp;"month,"&amp;G143-DATE(YEAR(G143),MONTH(G143)-IF(DAY(G143)&lt;DAY(F143),1,0),DAY(F143))&amp;"days"</f>
        <v>108month,0days</v>
      </c>
      <c r="I143" s="696" t="s">
        <v>753</v>
      </c>
      <c r="J143" s="1368">
        <v>7.4999999999999997E-2</v>
      </c>
      <c r="K143" s="697" t="s">
        <v>1626</v>
      </c>
      <c r="L143" s="698">
        <f>+VLOOKUP(B143,'Consolidate TL'!$B$8:P1254,4,FALSE)</f>
        <v>30000</v>
      </c>
      <c r="M143" s="801"/>
      <c r="N143" s="1369"/>
      <c r="O143" s="597">
        <f>+VLOOKUP(B143,'Consolidate TL'!$B$8:$S$525,8,FALSE)</f>
        <v>27500.07</v>
      </c>
      <c r="P143" s="1369"/>
      <c r="Q143" s="1369"/>
      <c r="R143" s="1369"/>
      <c r="S143" s="698">
        <f t="shared" ref="S143:S162" si="12">+SUM(M143:R143)</f>
        <v>27500.07</v>
      </c>
      <c r="T143" s="698"/>
      <c r="U143" s="698"/>
      <c r="V143" s="630">
        <f>+VLOOKUP(B143,'Consolidate TL'!$B$3:P646,12,FALSE)</f>
        <v>164.06</v>
      </c>
      <c r="W143" s="699">
        <v>0.01</v>
      </c>
      <c r="X143" s="801">
        <f t="shared" si="10"/>
        <v>275.00069999999999</v>
      </c>
      <c r="Y143" s="1370" t="s">
        <v>1631</v>
      </c>
      <c r="Z143" s="1520" t="s">
        <v>1627</v>
      </c>
      <c r="AA143" s="1371">
        <v>60000</v>
      </c>
      <c r="AB143" s="700" t="s">
        <v>67</v>
      </c>
      <c r="AC143" s="700" t="s">
        <v>502</v>
      </c>
      <c r="AD143" s="1370" t="s">
        <v>1628</v>
      </c>
      <c r="AE143" s="702" t="s">
        <v>1629</v>
      </c>
      <c r="AF143" s="702" t="s">
        <v>1630</v>
      </c>
      <c r="AG143" s="1373" t="s">
        <v>504</v>
      </c>
      <c r="AH143" s="704" t="s">
        <v>374</v>
      </c>
      <c r="AI143" s="1127" t="s">
        <v>1621</v>
      </c>
    </row>
    <row r="144" spans="1:35" s="1374" customFormat="1" ht="45" customHeight="1" thickBot="1">
      <c r="A144" s="595">
        <v>140</v>
      </c>
      <c r="B144" s="1479" t="s">
        <v>1612</v>
      </c>
      <c r="C144" s="1480" t="s">
        <v>503</v>
      </c>
      <c r="D144" s="693" t="s">
        <v>511</v>
      </c>
      <c r="E144" s="694" t="str">
        <f>+VLOOKUP(B144,'Consolidate TL'!$B$17:O434,2,FALSE)</f>
        <v>LD1003300888</v>
      </c>
      <c r="F144" s="1367">
        <f>+VLOOKUP(B144,'Consolidate TL'!$B$17:L433,9,FALSE)</f>
        <v>42863</v>
      </c>
      <c r="G144" s="1367">
        <f>+VLOOKUP(B144,'Consolidate TL'!$B$17:P434,10,FALSE)</f>
        <v>46515</v>
      </c>
      <c r="H144" s="695" t="str">
        <f>(YEAR(G144)-YEAR(F144)-IF(OR(MONTH(G144)&lt;MONTH(F144),AND(MONTH(G144)=MONTH(F144),DAY(G144)&lt;DAY(F144))),1,0))*12+(MONTH(G144)-MONTH(F144)+IF(AND(MONTH(G144)&lt;=MONTH(F144),DAY(G144)&lt;DAY(F144)),11,IF(AND(MONTH(G144)&lt;MONTH(F144),DAY(G144)&gt;=DAY(F144)),12,IF(AND(MONTH(G144)&gt;MONTH(F144),DAY(G144)&lt;DAY(F144)),-1))))&amp;"month,"&amp;G144-DATE(YEAR(G144),MONTH(G144)-IF(DAY(G144)&lt;DAY(F144),1,0),DAY(F144))&amp;"days"</f>
        <v>120month,0days</v>
      </c>
      <c r="I144" s="696" t="s">
        <v>524</v>
      </c>
      <c r="J144" s="1368">
        <v>9.5000000000000001E-2</v>
      </c>
      <c r="K144" s="697" t="s">
        <v>1550</v>
      </c>
      <c r="L144" s="698">
        <f>+VLOOKUP(B144,'Consolidate TL'!$B$8:P1255,4,FALSE)</f>
        <v>40000</v>
      </c>
      <c r="M144" s="801"/>
      <c r="N144" s="1369"/>
      <c r="O144" s="597">
        <f>+VLOOKUP(B144,'Consolidate TL'!$B$8:$S$525,8,FALSE)</f>
        <v>38159.870000000003</v>
      </c>
      <c r="P144" s="1369"/>
      <c r="Q144" s="1369"/>
      <c r="R144" s="1369"/>
      <c r="S144" s="698">
        <f t="shared" si="12"/>
        <v>38159.870000000003</v>
      </c>
      <c r="T144" s="698"/>
      <c r="U144" s="698"/>
      <c r="V144" s="630">
        <f>+VLOOKUP(B144,'Consolidate TL'!$B$3:P647,12,FALSE)</f>
        <v>249.5</v>
      </c>
      <c r="W144" s="699">
        <v>0.01</v>
      </c>
      <c r="X144" s="801">
        <f t="shared" si="10"/>
        <v>381.59870000000001</v>
      </c>
      <c r="Y144" s="1370" t="s">
        <v>1632</v>
      </c>
      <c r="Z144" s="1520" t="s">
        <v>1633</v>
      </c>
      <c r="AA144" s="1371">
        <v>67840</v>
      </c>
      <c r="AB144" s="700" t="s">
        <v>67</v>
      </c>
      <c r="AC144" s="700" t="s">
        <v>502</v>
      </c>
      <c r="AD144" s="1370" t="s">
        <v>1634</v>
      </c>
      <c r="AE144" s="702" t="s">
        <v>1639</v>
      </c>
      <c r="AF144" s="702" t="s">
        <v>1635</v>
      </c>
      <c r="AG144" s="1373" t="s">
        <v>504</v>
      </c>
      <c r="AH144" s="704" t="s">
        <v>386</v>
      </c>
      <c r="AI144" s="1127" t="s">
        <v>1622</v>
      </c>
    </row>
    <row r="145" spans="1:35" s="1374" customFormat="1" ht="45" customHeight="1" thickBot="1">
      <c r="A145" s="595">
        <v>141</v>
      </c>
      <c r="B145" s="1479" t="s">
        <v>1613</v>
      </c>
      <c r="C145" s="1480" t="s">
        <v>503</v>
      </c>
      <c r="D145" s="693" t="s">
        <v>511</v>
      </c>
      <c r="E145" s="694" t="str">
        <f>+VLOOKUP(B145,'Consolidate TL'!$B$17:O435,2,FALSE)</f>
        <v>LD1713281834</v>
      </c>
      <c r="F145" s="1367">
        <f>+VLOOKUP(B145,'Consolidate TL'!$B$17:L434,9,FALSE)</f>
        <v>42867</v>
      </c>
      <c r="G145" s="1367">
        <f>+VLOOKUP(B145,'Consolidate TL'!$B$17:P435,10,FALSE)</f>
        <v>11821</v>
      </c>
      <c r="H145" s="695" t="s">
        <v>1595</v>
      </c>
      <c r="I145" s="696" t="s">
        <v>524</v>
      </c>
      <c r="J145" s="1368">
        <v>7.4999999999999997E-2</v>
      </c>
      <c r="K145" s="697" t="s">
        <v>1550</v>
      </c>
      <c r="L145" s="698">
        <f>+VLOOKUP(B145,'Consolidate TL'!$B$8:P1256,4,FALSE)</f>
        <v>40000</v>
      </c>
      <c r="M145" s="801"/>
      <c r="N145" s="1369"/>
      <c r="O145" s="597">
        <f>+VLOOKUP(B145,'Consolidate TL'!$B$8:$S$525,8,FALSE)</f>
        <v>38917.360000000001</v>
      </c>
      <c r="P145" s="1369"/>
      <c r="Q145" s="1369"/>
      <c r="R145" s="1369"/>
      <c r="S145" s="698">
        <f t="shared" si="12"/>
        <v>38917.360000000001</v>
      </c>
      <c r="T145" s="698"/>
      <c r="U145" s="698"/>
      <c r="V145" s="630">
        <f>+VLOOKUP(B145,'Consolidate TL'!$B$3:P648,12,FALSE)</f>
        <v>165.21</v>
      </c>
      <c r="W145" s="699">
        <v>0.01</v>
      </c>
      <c r="X145" s="801">
        <f t="shared" si="10"/>
        <v>389.17360000000002</v>
      </c>
      <c r="Y145" s="1370" t="s">
        <v>1636</v>
      </c>
      <c r="Z145" s="1520" t="s">
        <v>1637</v>
      </c>
      <c r="AA145" s="1371">
        <v>76220</v>
      </c>
      <c r="AB145" s="700" t="s">
        <v>67</v>
      </c>
      <c r="AC145" s="700" t="s">
        <v>502</v>
      </c>
      <c r="AD145" s="1370" t="s">
        <v>1638</v>
      </c>
      <c r="AE145" s="702" t="s">
        <v>1640</v>
      </c>
      <c r="AF145" s="702" t="s">
        <v>1641</v>
      </c>
      <c r="AG145" s="1373" t="s">
        <v>504</v>
      </c>
      <c r="AH145" s="704" t="s">
        <v>386</v>
      </c>
      <c r="AI145" s="1127" t="s">
        <v>1623</v>
      </c>
    </row>
    <row r="146" spans="1:35" s="1374" customFormat="1" ht="45" customHeight="1" thickBot="1">
      <c r="A146" s="595">
        <v>142</v>
      </c>
      <c r="B146" s="1479" t="s">
        <v>1614</v>
      </c>
      <c r="C146" s="1480" t="s">
        <v>503</v>
      </c>
      <c r="D146" s="693" t="s">
        <v>511</v>
      </c>
      <c r="E146" s="694" t="str">
        <f>+VLOOKUP(B146,'Consolidate TL'!$B$17:O436,2,FALSE)</f>
        <v>LD1713802268</v>
      </c>
      <c r="F146" s="1367">
        <f>+VLOOKUP(B146,'Consolidate TL'!$B$17:L435,9,FALSE)</f>
        <v>42873</v>
      </c>
      <c r="G146" s="1367">
        <f>+VLOOKUP(B146,'Consolidate TL'!$B$17:P436,10,FALSE)</f>
        <v>46525</v>
      </c>
      <c r="H146" s="695" t="str">
        <f>(YEAR(G146)-YEAR(F146)-IF(OR(MONTH(G146)&lt;MONTH(F146),AND(MONTH(G146)=MONTH(F146),DAY(G146)&lt;DAY(F146))),1,0))*12+(MONTH(G146)-MONTH(F146)+IF(AND(MONTH(G146)&lt;=MONTH(F146),DAY(G146)&lt;DAY(F146)),11,IF(AND(MONTH(G146)&lt;MONTH(F146),DAY(G146)&gt;=DAY(F146)),12,IF(AND(MONTH(G146)&gt;MONTH(F146),DAY(G146)&lt;DAY(F146)),-1))))&amp;"month,"&amp;G146-DATE(YEAR(G146),MONTH(G146)-IF(DAY(G146)&lt;DAY(F146),1,0),DAY(F146))&amp;"days"</f>
        <v>120month,0days</v>
      </c>
      <c r="I146" s="696" t="s">
        <v>524</v>
      </c>
      <c r="J146" s="1368">
        <v>9.5000000000000001E-2</v>
      </c>
      <c r="K146" s="697" t="s">
        <v>1550</v>
      </c>
      <c r="L146" s="698">
        <f>+VLOOKUP(B146,'Consolidate TL'!$B$8:P1257,4,FALSE)</f>
        <v>80000</v>
      </c>
      <c r="M146" s="801"/>
      <c r="N146" s="1369"/>
      <c r="O146" s="597">
        <f>+VLOOKUP(B146,'Consolidate TL'!$B$8:$S$525,8,FALSE)</f>
        <v>76336.429999999993</v>
      </c>
      <c r="P146" s="1369"/>
      <c r="Q146" s="1369"/>
      <c r="R146" s="1369"/>
      <c r="S146" s="698">
        <f t="shared" si="12"/>
        <v>76336.429999999993</v>
      </c>
      <c r="T146" s="698"/>
      <c r="U146" s="698"/>
      <c r="V146" s="630">
        <f>+VLOOKUP(B146,'Consolidate TL'!$B$3:P649,12,FALSE)</f>
        <v>291.14999999999998</v>
      </c>
      <c r="W146" s="699">
        <v>0.01</v>
      </c>
      <c r="X146" s="801">
        <f t="shared" si="10"/>
        <v>763.36429999999996</v>
      </c>
      <c r="Y146" s="1370" t="s">
        <v>1642</v>
      </c>
      <c r="Z146" s="1520" t="s">
        <v>1643</v>
      </c>
      <c r="AA146" s="1371">
        <v>141375</v>
      </c>
      <c r="AB146" s="700" t="s">
        <v>67</v>
      </c>
      <c r="AC146" s="700" t="s">
        <v>502</v>
      </c>
      <c r="AD146" s="1370" t="s">
        <v>1644</v>
      </c>
      <c r="AE146" s="702" t="s">
        <v>1645</v>
      </c>
      <c r="AF146" s="702" t="s">
        <v>1646</v>
      </c>
      <c r="AG146" s="1373" t="s">
        <v>504</v>
      </c>
      <c r="AH146" s="704" t="s">
        <v>386</v>
      </c>
      <c r="AI146" s="1127" t="s">
        <v>1624</v>
      </c>
    </row>
    <row r="147" spans="1:35" s="1374" customFormat="1" ht="45" customHeight="1" thickBot="1">
      <c r="A147" s="595">
        <v>143</v>
      </c>
      <c r="B147" s="1479" t="s">
        <v>1617</v>
      </c>
      <c r="C147" s="1480" t="s">
        <v>503</v>
      </c>
      <c r="D147" s="693" t="s">
        <v>511</v>
      </c>
      <c r="E147" s="694" t="str">
        <f>+VLOOKUP(B147,'Consolidate TL'!$B$17:O437,2,FALSE)</f>
        <v>LD1715056817</v>
      </c>
      <c r="F147" s="1367">
        <f>+VLOOKUP(B147,'Consolidate TL'!$B$17:L436,9,FALSE)</f>
        <v>42885</v>
      </c>
      <c r="G147" s="1367">
        <f>+VLOOKUP(B147,'Consolidate TL'!$B$17:P437,10,FALSE)</f>
        <v>11839</v>
      </c>
      <c r="H147" s="695" t="s">
        <v>1595</v>
      </c>
      <c r="I147" s="696" t="s">
        <v>753</v>
      </c>
      <c r="J147" s="1368">
        <v>8.5000000000000006E-2</v>
      </c>
      <c r="K147" s="697" t="s">
        <v>1550</v>
      </c>
      <c r="L147" s="698">
        <f>+VLOOKUP(B147,'Consolidate TL'!$B$8:P1258,4,FALSE)</f>
        <v>96000</v>
      </c>
      <c r="M147" s="801"/>
      <c r="N147" s="1369"/>
      <c r="O147" s="597">
        <f>+VLOOKUP(B147,'Consolidate TL'!$B$8:$S$525,8,FALSE)</f>
        <v>88766.69</v>
      </c>
      <c r="P147" s="1369"/>
      <c r="Q147" s="1369"/>
      <c r="R147" s="1369"/>
      <c r="S147" s="698">
        <f t="shared" si="12"/>
        <v>88766.69</v>
      </c>
      <c r="T147" s="698"/>
      <c r="U147" s="698"/>
      <c r="V147" s="630">
        <f>+VLOOKUP(B147,'Consolidate TL'!$B$3:P650,12,FALSE)</f>
        <v>560.37</v>
      </c>
      <c r="W147" s="699">
        <v>0.01</v>
      </c>
      <c r="X147" s="801">
        <f t="shared" si="10"/>
        <v>887.66690000000006</v>
      </c>
      <c r="Y147" s="1370" t="s">
        <v>1649</v>
      </c>
      <c r="Z147" s="1520" t="s">
        <v>1650</v>
      </c>
      <c r="AA147" s="1371">
        <v>160298</v>
      </c>
      <c r="AB147" s="700" t="s">
        <v>67</v>
      </c>
      <c r="AC147" s="700" t="s">
        <v>502</v>
      </c>
      <c r="AD147" s="1370" t="s">
        <v>1648</v>
      </c>
      <c r="AE147" s="702" t="s">
        <v>592</v>
      </c>
      <c r="AF147" s="702" t="s">
        <v>1647</v>
      </c>
      <c r="AG147" s="1373" t="s">
        <v>504</v>
      </c>
      <c r="AH147" s="704" t="s">
        <v>386</v>
      </c>
      <c r="AI147" s="1127" t="s">
        <v>1625</v>
      </c>
    </row>
    <row r="148" spans="1:35" s="1374" customFormat="1" ht="45" customHeight="1" thickBot="1">
      <c r="A148" s="595">
        <v>144</v>
      </c>
      <c r="B148" s="1608" t="s">
        <v>1653</v>
      </c>
      <c r="C148" s="1480" t="s">
        <v>503</v>
      </c>
      <c r="D148" s="693" t="s">
        <v>511</v>
      </c>
      <c r="E148" s="694" t="str">
        <f>+VLOOKUP(B148,'Consolidate TL'!$B$17:O438,2,FALSE)</f>
        <v>LD1715870563</v>
      </c>
      <c r="F148" s="1367">
        <f>+VLOOKUP(B148,'Consolidate TL'!$B$17:L437,9,FALSE)</f>
        <v>42893</v>
      </c>
      <c r="G148" s="1367">
        <f>+VLOOKUP(B148,'Consolidate TL'!$B$17:P438,10,FALSE)</f>
        <v>46929</v>
      </c>
      <c r="H148" s="695" t="s">
        <v>1669</v>
      </c>
      <c r="I148" s="696" t="s">
        <v>524</v>
      </c>
      <c r="J148" s="1368">
        <v>2.75E-2</v>
      </c>
      <c r="K148" s="697" t="s">
        <v>1523</v>
      </c>
      <c r="L148" s="698">
        <f>+VLOOKUP(B148,'Consolidate TL'!$B$8:P1259,4,FALSE)</f>
        <v>205000</v>
      </c>
      <c r="M148" s="801"/>
      <c r="N148" s="1369">
        <f>VLOOKUP(B148,'Consolidate TL'!B93:I318,8,FALSE)</f>
        <v>172958.17</v>
      </c>
      <c r="O148" s="597"/>
      <c r="P148" s="1369"/>
      <c r="Q148" s="1369"/>
      <c r="R148" s="1369"/>
      <c r="S148" s="698">
        <f t="shared" si="12"/>
        <v>172958.17</v>
      </c>
      <c r="T148" s="698"/>
      <c r="U148" s="698"/>
      <c r="V148" s="630">
        <f>+VLOOKUP(B148,'Consolidate TL'!$B$3:P651,12,FALSE)</f>
        <v>107.4</v>
      </c>
      <c r="W148" s="699">
        <v>0.01</v>
      </c>
      <c r="X148" s="801">
        <f t="shared" si="10"/>
        <v>1729.5817000000002</v>
      </c>
      <c r="Y148" s="1370" t="s">
        <v>1677</v>
      </c>
      <c r="Z148" s="1520" t="s">
        <v>1678</v>
      </c>
      <c r="AA148" s="1371">
        <v>320800</v>
      </c>
      <c r="AB148" s="700" t="s">
        <v>67</v>
      </c>
      <c r="AC148" s="700" t="s">
        <v>502</v>
      </c>
      <c r="AD148" s="1370" t="s">
        <v>1679</v>
      </c>
      <c r="AE148" s="702" t="s">
        <v>1680</v>
      </c>
      <c r="AF148" s="702" t="s">
        <v>1294</v>
      </c>
      <c r="AG148" s="1373" t="s">
        <v>504</v>
      </c>
      <c r="AH148" s="704" t="s">
        <v>386</v>
      </c>
      <c r="AI148" s="1127" t="s">
        <v>1664</v>
      </c>
    </row>
    <row r="149" spans="1:35" s="1374" customFormat="1" ht="45" customHeight="1" thickBot="1">
      <c r="A149" s="595">
        <v>145</v>
      </c>
      <c r="B149" s="1608" t="s">
        <v>1534</v>
      </c>
      <c r="C149" s="1480" t="s">
        <v>503</v>
      </c>
      <c r="D149" s="693" t="s">
        <v>511</v>
      </c>
      <c r="E149" s="694" t="str">
        <f>+VLOOKUP(B149,'Consolidate TL'!$B$17:O439,2,FALSE)</f>
        <v>LD1715930531</v>
      </c>
      <c r="F149" s="1367">
        <f>+VLOOKUP(B149,'Consolidate TL'!$B$17:L438,9,FALSE)</f>
        <v>42894</v>
      </c>
      <c r="G149" s="1367">
        <f>+VLOOKUP(B149,'Consolidate TL'!$B$17:P439,10,FALSE)</f>
        <v>13674</v>
      </c>
      <c r="H149" s="695" t="s">
        <v>1670</v>
      </c>
      <c r="I149" s="696" t="s">
        <v>753</v>
      </c>
      <c r="J149" s="1368">
        <v>2.75E-2</v>
      </c>
      <c r="K149" s="697" t="s">
        <v>1523</v>
      </c>
      <c r="L149" s="698">
        <f>+VLOOKUP(B149,'Consolidate TL'!$B$8:P1260,4,FALSE)</f>
        <v>60000</v>
      </c>
      <c r="M149" s="801"/>
      <c r="N149" s="1369">
        <f>VLOOKUP(B149,'Consolidate TL'!B94:I319,8,FALSE)</f>
        <v>26994.52</v>
      </c>
      <c r="O149" s="597"/>
      <c r="P149" s="1369"/>
      <c r="Q149" s="1369"/>
      <c r="R149" s="1369"/>
      <c r="S149" s="698">
        <f t="shared" si="12"/>
        <v>26994.52</v>
      </c>
      <c r="T149" s="698"/>
      <c r="U149" s="698"/>
      <c r="V149" s="630">
        <f>+VLOOKUP(B149,'Consolidate TL'!$B$3:P652,12,FALSE)</f>
        <v>31.68</v>
      </c>
      <c r="W149" s="699">
        <v>0.01</v>
      </c>
      <c r="X149" s="801">
        <f t="shared" si="10"/>
        <v>269.9452</v>
      </c>
      <c r="Y149" s="1370" t="s">
        <v>1576</v>
      </c>
      <c r="Z149" s="1520" t="s">
        <v>1685</v>
      </c>
      <c r="AA149" s="1371">
        <v>152444</v>
      </c>
      <c r="AB149" s="700" t="s">
        <v>67</v>
      </c>
      <c r="AC149" s="700" t="s">
        <v>502</v>
      </c>
      <c r="AD149" s="1370" t="s">
        <v>1577</v>
      </c>
      <c r="AE149" s="702" t="s">
        <v>1578</v>
      </c>
      <c r="AF149" s="757" t="s">
        <v>1579</v>
      </c>
      <c r="AG149" s="1373" t="s">
        <v>504</v>
      </c>
      <c r="AH149" s="704" t="s">
        <v>386</v>
      </c>
      <c r="AI149" s="1127" t="s">
        <v>1665</v>
      </c>
    </row>
    <row r="150" spans="1:35" s="1374" customFormat="1" ht="45" customHeight="1" thickBot="1">
      <c r="A150" s="595">
        <v>146</v>
      </c>
      <c r="B150" s="1608" t="s">
        <v>1656</v>
      </c>
      <c r="C150" s="1480" t="s">
        <v>503</v>
      </c>
      <c r="D150" s="693" t="s">
        <v>511</v>
      </c>
      <c r="E150" s="694" t="str">
        <f>+VLOOKUP(B150,'Consolidate TL'!$B$17:O440,2,FALSE)</f>
        <v>LD1717100989</v>
      </c>
      <c r="F150" s="1367">
        <f>+VLOOKUP(B150,'Consolidate TL'!$B$17:L439,9,FALSE)</f>
        <v>42906</v>
      </c>
      <c r="G150" s="1367">
        <f>+VLOOKUP(B150,'Consolidate TL'!$B$17:P440,10,FALSE)</f>
        <v>11860</v>
      </c>
      <c r="H150" s="695" t="s">
        <v>1595</v>
      </c>
      <c r="I150" s="696" t="s">
        <v>524</v>
      </c>
      <c r="J150" s="1368">
        <v>7.4999999999999997E-2</v>
      </c>
      <c r="K150" s="697" t="s">
        <v>1550</v>
      </c>
      <c r="L150" s="698">
        <f>+VLOOKUP(B150,'Consolidate TL'!$B$8:P1261,4,FALSE)</f>
        <v>120000</v>
      </c>
      <c r="M150" s="801"/>
      <c r="N150" s="1369"/>
      <c r="O150" s="597">
        <f>+VLOOKUP(B150,'Consolidate TL'!$B$8:$S$525,8,FALSE)</f>
        <v>117101.02</v>
      </c>
      <c r="P150" s="1369"/>
      <c r="Q150" s="1369"/>
      <c r="R150" s="1369"/>
      <c r="S150" s="698">
        <f t="shared" si="12"/>
        <v>117101.02</v>
      </c>
      <c r="T150" s="698"/>
      <c r="U150" s="698"/>
      <c r="V150" s="630">
        <f>+VLOOKUP(B150,'Consolidate TL'!$B$3:P653,12,FALSE)</f>
        <v>298.20999999999998</v>
      </c>
      <c r="W150" s="699">
        <v>0.01</v>
      </c>
      <c r="X150" s="801">
        <f t="shared" si="10"/>
        <v>1171.0102000000002</v>
      </c>
      <c r="Y150" s="1370" t="s">
        <v>1681</v>
      </c>
      <c r="Z150" s="1520" t="s">
        <v>1682</v>
      </c>
      <c r="AA150" s="1371">
        <v>372272.9</v>
      </c>
      <c r="AB150" s="700" t="s">
        <v>67</v>
      </c>
      <c r="AC150" s="700" t="s">
        <v>502</v>
      </c>
      <c r="AD150" s="1370" t="s">
        <v>1683</v>
      </c>
      <c r="AE150" s="702" t="s">
        <v>581</v>
      </c>
      <c r="AF150" s="702" t="s">
        <v>1684</v>
      </c>
      <c r="AG150" s="1373" t="s">
        <v>504</v>
      </c>
      <c r="AH150" s="704" t="s">
        <v>386</v>
      </c>
      <c r="AI150" s="1127" t="s">
        <v>1666</v>
      </c>
    </row>
    <row r="151" spans="1:35" s="1374" customFormat="1" ht="45" customHeight="1" thickBot="1">
      <c r="A151" s="595">
        <v>147</v>
      </c>
      <c r="B151" s="1608" t="s">
        <v>1658</v>
      </c>
      <c r="C151" s="1480" t="s">
        <v>503</v>
      </c>
      <c r="D151" s="693" t="s">
        <v>511</v>
      </c>
      <c r="E151" s="694" t="str">
        <f>+VLOOKUP(B151,'Consolidate TL'!$B$17:O441,2,FALSE)</f>
        <v>LD1717193644</v>
      </c>
      <c r="F151" s="1367">
        <f>+VLOOKUP(B151,'Consolidate TL'!$B$17:L440,9,FALSE)</f>
        <v>42906</v>
      </c>
      <c r="G151" s="1367">
        <f>+VLOOKUP(B151,'Consolidate TL'!$B$17:P441,10,FALSE)</f>
        <v>46558</v>
      </c>
      <c r="H151" s="695" t="s">
        <v>1671</v>
      </c>
      <c r="I151" s="696" t="s">
        <v>524</v>
      </c>
      <c r="J151" s="1368">
        <v>7.4999999999999997E-2</v>
      </c>
      <c r="K151" s="697" t="s">
        <v>1550</v>
      </c>
      <c r="L151" s="698">
        <f>+VLOOKUP(B151,'Consolidate TL'!$B$8:P1262,4,FALSE)</f>
        <v>30000</v>
      </c>
      <c r="M151" s="801"/>
      <c r="N151" s="1369"/>
      <c r="O151" s="597">
        <f>+VLOOKUP(B151,'Consolidate TL'!$B$8:$S$525,8,FALSE)</f>
        <v>28633.57</v>
      </c>
      <c r="P151" s="1369"/>
      <c r="Q151" s="1369"/>
      <c r="R151" s="1369"/>
      <c r="S151" s="698">
        <f t="shared" si="12"/>
        <v>28633.57</v>
      </c>
      <c r="T151" s="698"/>
      <c r="U151" s="698"/>
      <c r="V151" s="630">
        <f>+VLOOKUP(B151,'Consolidate TL'!$B$3:P654,12,FALSE)</f>
        <v>74.150000000000006</v>
      </c>
      <c r="W151" s="699">
        <v>0.01</v>
      </c>
      <c r="X151" s="801">
        <f t="shared" si="10"/>
        <v>286.33570000000003</v>
      </c>
      <c r="Y151" s="1370" t="s">
        <v>1672</v>
      </c>
      <c r="Z151" s="1520" t="s">
        <v>1673</v>
      </c>
      <c r="AA151" s="1371">
        <v>50490</v>
      </c>
      <c r="AB151" s="700" t="s">
        <v>67</v>
      </c>
      <c r="AC151" s="700" t="s">
        <v>502</v>
      </c>
      <c r="AD151" s="1370" t="s">
        <v>1674</v>
      </c>
      <c r="AE151" s="702" t="s">
        <v>1675</v>
      </c>
      <c r="AF151" s="702" t="s">
        <v>1676</v>
      </c>
      <c r="AG151" s="1373" t="s">
        <v>504</v>
      </c>
      <c r="AH151" s="704" t="s">
        <v>386</v>
      </c>
      <c r="AI151" s="1127" t="s">
        <v>1667</v>
      </c>
    </row>
    <row r="152" spans="1:35" s="1374" customFormat="1" ht="45" customHeight="1" thickBot="1">
      <c r="A152" s="595">
        <v>148</v>
      </c>
      <c r="B152" s="1608" t="s">
        <v>1660</v>
      </c>
      <c r="C152" s="1480" t="s">
        <v>503</v>
      </c>
      <c r="D152" s="693" t="s">
        <v>511</v>
      </c>
      <c r="E152" s="694" t="str">
        <f>+VLOOKUP(B152,'Consolidate TL'!$B$17:O442,2,FALSE)</f>
        <v>LD1717720876</v>
      </c>
      <c r="F152" s="1367">
        <f>+VLOOKUP(B152,'Consolidate TL'!$B$17:L441,9,FALSE)</f>
        <v>42912</v>
      </c>
      <c r="G152" s="1367">
        <f>+VLOOKUP(B152,'Consolidate TL'!$B$17:P442,10,FALSE)</f>
        <v>11866</v>
      </c>
      <c r="H152" s="695" t="s">
        <v>1595</v>
      </c>
      <c r="I152" s="696" t="s">
        <v>753</v>
      </c>
      <c r="J152" s="1368">
        <v>7.4999999999999997E-2</v>
      </c>
      <c r="K152" s="697" t="s">
        <v>1550</v>
      </c>
      <c r="L152" s="698">
        <f>+VLOOKUP(B152,'Consolidate TL'!$B$8:P1263,4,FALSE)</f>
        <v>40000</v>
      </c>
      <c r="M152" s="801"/>
      <c r="N152" s="1369"/>
      <c r="O152" s="597">
        <f>+VLOOKUP(B152,'Consolidate TL'!$B$8:$S$525,8,FALSE)</f>
        <v>36260</v>
      </c>
      <c r="P152" s="1369"/>
      <c r="Q152" s="1369"/>
      <c r="R152" s="1369"/>
      <c r="S152" s="698">
        <f t="shared" si="12"/>
        <v>36260</v>
      </c>
      <c r="T152" s="698"/>
      <c r="U152" s="698"/>
      <c r="V152" s="630">
        <f>+VLOOKUP(B152,'Consolidate TL'!$B$3:P655,12,FALSE)</f>
        <v>49.45</v>
      </c>
      <c r="W152" s="699">
        <v>0.01</v>
      </c>
      <c r="X152" s="801">
        <f t="shared" si="10"/>
        <v>362.6</v>
      </c>
      <c r="Y152" s="1370" t="s">
        <v>1700</v>
      </c>
      <c r="Z152" s="1520" t="s">
        <v>1687</v>
      </c>
      <c r="AA152" s="1371">
        <v>67580</v>
      </c>
      <c r="AB152" s="700" t="s">
        <v>67</v>
      </c>
      <c r="AC152" s="700" t="s">
        <v>502</v>
      </c>
      <c r="AD152" s="1370" t="s">
        <v>1688</v>
      </c>
      <c r="AE152" s="702" t="s">
        <v>1640</v>
      </c>
      <c r="AF152" s="702" t="s">
        <v>1686</v>
      </c>
      <c r="AG152" s="1373" t="s">
        <v>504</v>
      </c>
      <c r="AH152" s="704" t="s">
        <v>386</v>
      </c>
      <c r="AI152" s="1127" t="s">
        <v>1668</v>
      </c>
    </row>
    <row r="153" spans="1:35" s="1374" customFormat="1" ht="45" customHeight="1" thickBot="1">
      <c r="A153" s="595">
        <v>149</v>
      </c>
      <c r="B153" s="1608" t="s">
        <v>1689</v>
      </c>
      <c r="C153" s="1480" t="s">
        <v>503</v>
      </c>
      <c r="D153" s="693" t="s">
        <v>511</v>
      </c>
      <c r="E153" s="694" t="str">
        <f>+VLOOKUP(B153,'Consolidate TL'!$B$17:O443,2,FALSE)</f>
        <v>LD1718556097</v>
      </c>
      <c r="F153" s="1367">
        <f>+VLOOKUP(B153,'Consolidate TL'!$B$17:L442,9,FALSE)</f>
        <v>42920</v>
      </c>
      <c r="G153" s="1367">
        <f>+VLOOKUP(B153,'Consolidate TL'!$B$17:P443,10,FALSE)</f>
        <v>46572</v>
      </c>
      <c r="H153" s="695" t="s">
        <v>1671</v>
      </c>
      <c r="I153" s="696" t="s">
        <v>524</v>
      </c>
      <c r="J153" s="1368">
        <v>9.5000000000000001E-2</v>
      </c>
      <c r="K153" s="697" t="s">
        <v>1626</v>
      </c>
      <c r="L153" s="698">
        <f>+VLOOKUP(B153,'Consolidate TL'!$B$8:P1264,4,FALSE)</f>
        <v>50000</v>
      </c>
      <c r="M153" s="801"/>
      <c r="N153" s="1369"/>
      <c r="O153" s="597">
        <f>+VLOOKUP(B153,'Consolidate TL'!$B$8:$S$525,8,FALSE)</f>
        <v>48238.29</v>
      </c>
      <c r="P153" s="1369"/>
      <c r="Q153" s="1369"/>
      <c r="R153" s="1369"/>
      <c r="S153" s="698">
        <f t="shared" si="12"/>
        <v>48238.29</v>
      </c>
      <c r="T153" s="698"/>
      <c r="U153" s="698"/>
      <c r="V153" s="630">
        <f>+VLOOKUP(B153,'Consolidate TL'!$B$3:P656,12,FALSE)</f>
        <v>367.66</v>
      </c>
      <c r="W153" s="699">
        <v>0.01</v>
      </c>
      <c r="X153" s="801">
        <f t="shared" si="10"/>
        <v>482.38290000000001</v>
      </c>
      <c r="Y153" s="1370" t="s">
        <v>1701</v>
      </c>
      <c r="Z153" s="1520" t="s">
        <v>1702</v>
      </c>
      <c r="AA153" s="1371">
        <v>119112</v>
      </c>
      <c r="AB153" s="700" t="s">
        <v>67</v>
      </c>
      <c r="AC153" s="700" t="s">
        <v>502</v>
      </c>
      <c r="AD153" s="1370" t="s">
        <v>1703</v>
      </c>
      <c r="AE153" s="702" t="s">
        <v>1704</v>
      </c>
      <c r="AF153" s="702" t="s">
        <v>1705</v>
      </c>
      <c r="AG153" s="1373" t="s">
        <v>504</v>
      </c>
      <c r="AH153" s="704" t="s">
        <v>386</v>
      </c>
      <c r="AI153" s="1127" t="s">
        <v>1698</v>
      </c>
    </row>
    <row r="154" spans="1:35" s="1374" customFormat="1" ht="45" customHeight="1" thickBot="1">
      <c r="A154" s="595">
        <v>150</v>
      </c>
      <c r="B154" s="1608" t="s">
        <v>1692</v>
      </c>
      <c r="C154" s="1480" t="s">
        <v>503</v>
      </c>
      <c r="D154" s="693" t="s">
        <v>511</v>
      </c>
      <c r="E154" s="694" t="str">
        <f>+VLOOKUP(B154,'Consolidate TL'!$B$17:O444,2,FALSE)</f>
        <v>LD1720124995</v>
      </c>
      <c r="F154" s="1367">
        <f>+VLOOKUP(B154,'Consolidate TL'!$B$17:L443,9,FALSE)</f>
        <v>42936</v>
      </c>
      <c r="G154" s="1367">
        <f>+VLOOKUP(B154,'Consolidate TL'!$B$17:P444,10,FALSE)</f>
        <v>44762</v>
      </c>
      <c r="H154" s="695" t="s">
        <v>1595</v>
      </c>
      <c r="I154" s="696" t="s">
        <v>524</v>
      </c>
      <c r="J154" s="1368">
        <v>7.4999999999999997E-2</v>
      </c>
      <c r="K154" s="697" t="s">
        <v>1550</v>
      </c>
      <c r="L154" s="698">
        <f>+VLOOKUP(B154,'Consolidate TL'!$B$8:P1265,4,FALSE)</f>
        <v>50000</v>
      </c>
      <c r="M154" s="801"/>
      <c r="N154" s="1369"/>
      <c r="O154" s="597">
        <f>+VLOOKUP(B154,'Consolidate TL'!$B$8:$S$525,8,FALSE)</f>
        <v>25756.53</v>
      </c>
      <c r="P154" s="1369"/>
      <c r="Q154" s="1369"/>
      <c r="R154" s="1369"/>
      <c r="S154" s="698">
        <f t="shared" si="12"/>
        <v>25756.53</v>
      </c>
      <c r="T154" s="698"/>
      <c r="U154" s="698"/>
      <c r="V154" s="630">
        <f>+VLOOKUP(B154,'Consolidate TL'!$B$3:P657,12,FALSE)</f>
        <v>123.3</v>
      </c>
      <c r="W154" s="699">
        <v>0.01</v>
      </c>
      <c r="X154" s="801">
        <f t="shared" si="10"/>
        <v>257.56529999999998</v>
      </c>
      <c r="Y154" s="1370" t="s">
        <v>1706</v>
      </c>
      <c r="Z154" s="1520" t="s">
        <v>1707</v>
      </c>
      <c r="AA154" s="1371">
        <v>130000</v>
      </c>
      <c r="AB154" s="700" t="s">
        <v>67</v>
      </c>
      <c r="AC154" s="700" t="s">
        <v>502</v>
      </c>
      <c r="AD154" s="1370" t="s">
        <v>1708</v>
      </c>
      <c r="AE154" s="702" t="s">
        <v>581</v>
      </c>
      <c r="AF154" s="702" t="s">
        <v>1705</v>
      </c>
      <c r="AG154" s="1373" t="s">
        <v>504</v>
      </c>
      <c r="AH154" s="704" t="s">
        <v>386</v>
      </c>
      <c r="AI154" s="1127" t="s">
        <v>1696</v>
      </c>
    </row>
    <row r="155" spans="1:35" s="1374" customFormat="1" ht="45" customHeight="1" thickBot="1">
      <c r="A155" s="595">
        <v>151</v>
      </c>
      <c r="B155" s="1608" t="s">
        <v>1691</v>
      </c>
      <c r="C155" s="1480" t="s">
        <v>503</v>
      </c>
      <c r="D155" s="693" t="s">
        <v>511</v>
      </c>
      <c r="E155" s="694" t="str">
        <f>+VLOOKUP(B155,'Consolidate TL'!$B$17:O445,2,FALSE)</f>
        <v>LD1720549266</v>
      </c>
      <c r="F155" s="1367">
        <f>+VLOOKUP(B155,'Consolidate TL'!$B$17:L444,9,FALSE)</f>
        <v>42940</v>
      </c>
      <c r="G155" s="1367">
        <f>+VLOOKUP(B155,'Consolidate TL'!$B$17:P445,10,FALSE)</f>
        <v>46592</v>
      </c>
      <c r="H155" s="695" t="s">
        <v>1671</v>
      </c>
      <c r="I155" s="696" t="s">
        <v>753</v>
      </c>
      <c r="J155" s="1368">
        <v>7.4999999999999997E-2</v>
      </c>
      <c r="K155" s="697" t="s">
        <v>1550</v>
      </c>
      <c r="L155" s="698">
        <f>+VLOOKUP(B155,'Consolidate TL'!$B$8:P1266,4,FALSE)</f>
        <v>70000</v>
      </c>
      <c r="M155" s="801"/>
      <c r="N155" s="1369"/>
      <c r="O155" s="597">
        <f>+VLOOKUP(B155,'Consolidate TL'!$B$8:$S$525,8,FALSE)</f>
        <v>65919</v>
      </c>
      <c r="P155" s="1369"/>
      <c r="Q155" s="1369"/>
      <c r="R155" s="1369"/>
      <c r="S155" s="698">
        <f t="shared" si="12"/>
        <v>65919</v>
      </c>
      <c r="T155" s="698"/>
      <c r="U155" s="698"/>
      <c r="V155" s="630">
        <f>+VLOOKUP(B155,'Consolidate TL'!$B$3:P658,12,FALSE)</f>
        <v>115.7</v>
      </c>
      <c r="W155" s="699">
        <v>0.01</v>
      </c>
      <c r="X155" s="801">
        <f>+S155*W156</f>
        <v>659.19</v>
      </c>
      <c r="Y155" s="1370" t="s">
        <v>1709</v>
      </c>
      <c r="Z155" s="1520" t="s">
        <v>1710</v>
      </c>
      <c r="AA155" s="1371">
        <v>321636</v>
      </c>
      <c r="AB155" s="700" t="s">
        <v>67</v>
      </c>
      <c r="AC155" s="700" t="s">
        <v>502</v>
      </c>
      <c r="AD155" s="1370" t="s">
        <v>1711</v>
      </c>
      <c r="AE155" s="702" t="s">
        <v>581</v>
      </c>
      <c r="AF155" s="702" t="s">
        <v>1712</v>
      </c>
      <c r="AG155" s="1373" t="s">
        <v>504</v>
      </c>
      <c r="AH155" s="704" t="s">
        <v>386</v>
      </c>
      <c r="AI155" s="1127" t="s">
        <v>1697</v>
      </c>
    </row>
    <row r="156" spans="1:35" s="1403" customFormat="1" ht="45" customHeight="1" thickBot="1">
      <c r="A156" s="595"/>
      <c r="B156" s="1627" t="s">
        <v>1721</v>
      </c>
      <c r="C156" s="1619" t="s">
        <v>503</v>
      </c>
      <c r="D156" s="1620" t="s">
        <v>511</v>
      </c>
      <c r="E156" s="1621" t="str">
        <f>+VLOOKUP(B156,'Consolidate TL'!$B$17:O446,2,FALSE)</f>
        <v>LD1721445691</v>
      </c>
      <c r="F156" s="1622">
        <f>+VLOOKUP(B156,'Consolidate TL'!$B$17:L445,9,FALSE)</f>
        <v>42949</v>
      </c>
      <c r="G156" s="1622">
        <f>+VLOOKUP(B156,'Consolidate TL'!$B$17:P446,10,FALSE)</f>
        <v>44775</v>
      </c>
      <c r="H156" s="695" t="s">
        <v>1739</v>
      </c>
      <c r="I156" s="1623" t="s">
        <v>524</v>
      </c>
      <c r="J156" s="1624">
        <v>7.4999999999999997E-2</v>
      </c>
      <c r="K156" s="1606" t="s">
        <v>1626</v>
      </c>
      <c r="L156" s="827">
        <f>+VLOOKUP(B156,'Consolidate TL'!$B$8:P1267,4,FALSE)</f>
        <v>20000</v>
      </c>
      <c r="M156" s="829"/>
      <c r="N156" s="1521"/>
      <c r="O156" s="1638">
        <f>+VLOOKUP(B156,'Consolidate TL'!$B$8:$S$525,8,FALSE)</f>
        <v>18329.310000000001</v>
      </c>
      <c r="P156" s="1521"/>
      <c r="Q156" s="1521"/>
      <c r="R156" s="1521"/>
      <c r="S156" s="698">
        <f t="shared" si="12"/>
        <v>18329.310000000001</v>
      </c>
      <c r="T156" s="827"/>
      <c r="U156" s="827"/>
      <c r="V156" s="630">
        <f>+VLOOKUP(B156,'Consolidate TL'!$B$3:P659,12,FALSE)</f>
        <v>125</v>
      </c>
      <c r="W156" s="699">
        <v>0.01</v>
      </c>
      <c r="X156" s="801">
        <f t="shared" si="10"/>
        <v>183.29310000000001</v>
      </c>
      <c r="Y156" s="852" t="s">
        <v>1745</v>
      </c>
      <c r="Z156" s="1522" t="s">
        <v>1746</v>
      </c>
      <c r="AA156" s="1027">
        <v>83196</v>
      </c>
      <c r="AB156" s="700" t="s">
        <v>67</v>
      </c>
      <c r="AC156" s="700" t="s">
        <v>502</v>
      </c>
      <c r="AD156" s="852" t="s">
        <v>1747</v>
      </c>
      <c r="AE156" s="1530" t="s">
        <v>744</v>
      </c>
      <c r="AF156" s="1530" t="s">
        <v>1748</v>
      </c>
      <c r="AG156" s="1373" t="s">
        <v>504</v>
      </c>
      <c r="AH156" s="704" t="s">
        <v>386</v>
      </c>
      <c r="AI156" s="1127" t="s">
        <v>1729</v>
      </c>
    </row>
    <row r="157" spans="1:35" s="1403" customFormat="1" ht="45" customHeight="1" thickBot="1">
      <c r="A157" s="595"/>
      <c r="B157" s="1627" t="s">
        <v>1716</v>
      </c>
      <c r="C157" s="1619" t="s">
        <v>503</v>
      </c>
      <c r="D157" s="1620" t="s">
        <v>511</v>
      </c>
      <c r="E157" s="1621" t="str">
        <f>+VLOOKUP(B157,'Consolidate TL'!$B$17:O447,2,FALSE)</f>
        <v>LD1721578015</v>
      </c>
      <c r="F157" s="1622">
        <f>+VLOOKUP(B157,'Consolidate TL'!$B$17:L446,9,FALSE)</f>
        <v>42950</v>
      </c>
      <c r="G157" s="1622">
        <f>+VLOOKUP(B157,'Consolidate TL'!$B$17:P447,10,FALSE)</f>
        <v>11904</v>
      </c>
      <c r="H157" s="695" t="s">
        <v>1671</v>
      </c>
      <c r="I157" s="1623" t="s">
        <v>524</v>
      </c>
      <c r="J157" s="1624">
        <v>7.4999999999999997E-2</v>
      </c>
      <c r="K157" s="1606" t="s">
        <v>1550</v>
      </c>
      <c r="L157" s="827">
        <f>+VLOOKUP(B157,'Consolidate TL'!$B$8:P1268,4,FALSE)</f>
        <v>37000</v>
      </c>
      <c r="M157" s="829"/>
      <c r="N157" s="1521"/>
      <c r="O157" s="1638">
        <f>+VLOOKUP(B157,'Consolidate TL'!$B$8:$S$525,8,FALSE)</f>
        <v>36335.93</v>
      </c>
      <c r="P157" s="1521"/>
      <c r="Q157" s="1521"/>
      <c r="R157" s="1521"/>
      <c r="S157" s="698">
        <f t="shared" si="12"/>
        <v>36335.93</v>
      </c>
      <c r="T157" s="827"/>
      <c r="U157" s="827"/>
      <c r="V157" s="630">
        <f>+VLOOKUP(B157,'Consolidate TL'!$B$3:P660,12,FALSE)</f>
        <v>223.54</v>
      </c>
      <c r="W157" s="699">
        <v>0.01</v>
      </c>
      <c r="X157" s="801">
        <f t="shared" ref="X157" si="13">+S157*W158</f>
        <v>363.35930000000002</v>
      </c>
      <c r="Y157" s="852" t="s">
        <v>1758</v>
      </c>
      <c r="Z157" s="1522" t="s">
        <v>1759</v>
      </c>
      <c r="AA157" s="1027">
        <v>62000</v>
      </c>
      <c r="AB157" s="700" t="s">
        <v>67</v>
      </c>
      <c r="AC157" s="700" t="s">
        <v>502</v>
      </c>
      <c r="AD157" s="852" t="s">
        <v>1760</v>
      </c>
      <c r="AE157" s="1530" t="s">
        <v>1761</v>
      </c>
      <c r="AF157" s="1530" t="s">
        <v>1762</v>
      </c>
      <c r="AG157" s="1373" t="s">
        <v>504</v>
      </c>
      <c r="AH157" s="704" t="s">
        <v>386</v>
      </c>
      <c r="AI157" s="1127" t="s">
        <v>1730</v>
      </c>
    </row>
    <row r="158" spans="1:35" s="1403" customFormat="1" ht="45" customHeight="1" thickBot="1">
      <c r="A158" s="595"/>
      <c r="B158" s="1627" t="s">
        <v>1724</v>
      </c>
      <c r="C158" s="1619" t="s">
        <v>503</v>
      </c>
      <c r="D158" s="1620" t="s">
        <v>511</v>
      </c>
      <c r="E158" s="1621" t="str">
        <f>+VLOOKUP(B158,'Consolidate TL'!$B$17:O448,2,FALSE)</f>
        <v>LD1721612809</v>
      </c>
      <c r="F158" s="1622">
        <f>+VLOOKUP(B158,'Consolidate TL'!$B$17:L447,9,FALSE)</f>
        <v>42951</v>
      </c>
      <c r="G158" s="1622">
        <f>+VLOOKUP(B158,'Consolidate TL'!$B$17:P448,10,FALSE)</f>
        <v>11905</v>
      </c>
      <c r="H158" s="695" t="s">
        <v>1595</v>
      </c>
      <c r="I158" s="1623" t="s">
        <v>524</v>
      </c>
      <c r="J158" s="1624">
        <v>7.4999999999999997E-2</v>
      </c>
      <c r="K158" s="1606" t="s">
        <v>1550</v>
      </c>
      <c r="L158" s="827">
        <f>+VLOOKUP(B158,'Consolidate TL'!$B$8:P1269,4,FALSE)</f>
        <v>62300</v>
      </c>
      <c r="M158" s="829"/>
      <c r="N158" s="1521"/>
      <c r="O158" s="1638">
        <f>+VLOOKUP(B158,'Consolidate TL'!$B$8:$S$525,8,FALSE)</f>
        <v>61181.919999999998</v>
      </c>
      <c r="P158" s="1521"/>
      <c r="Q158" s="1521"/>
      <c r="R158" s="1521"/>
      <c r="S158" s="698">
        <f t="shared" si="12"/>
        <v>61181.919999999998</v>
      </c>
      <c r="T158" s="827"/>
      <c r="U158" s="827"/>
      <c r="V158" s="630">
        <f>+VLOOKUP(B158,'Consolidate TL'!$B$3:P661,12,FALSE)</f>
        <v>363.42</v>
      </c>
      <c r="W158" s="699">
        <v>0.01</v>
      </c>
      <c r="X158" s="801">
        <f t="shared" si="10"/>
        <v>611.81920000000002</v>
      </c>
      <c r="Y158" s="852" t="s">
        <v>1749</v>
      </c>
      <c r="Z158" s="1522" t="s">
        <v>1750</v>
      </c>
      <c r="AA158" s="1027">
        <v>191353.60000000001</v>
      </c>
      <c r="AB158" s="700" t="s">
        <v>67</v>
      </c>
      <c r="AC158" s="700" t="s">
        <v>502</v>
      </c>
      <c r="AD158" s="852" t="s">
        <v>1751</v>
      </c>
      <c r="AE158" s="1530" t="s">
        <v>1752</v>
      </c>
      <c r="AF158" s="1530" t="s">
        <v>1753</v>
      </c>
      <c r="AG158" s="1373" t="s">
        <v>504</v>
      </c>
      <c r="AH158" s="704" t="s">
        <v>386</v>
      </c>
      <c r="AI158" s="1127" t="s">
        <v>1731</v>
      </c>
    </row>
    <row r="159" spans="1:35" s="1403" customFormat="1" ht="45" customHeight="1" thickBot="1">
      <c r="A159" s="595"/>
      <c r="B159" s="1627" t="s">
        <v>1718</v>
      </c>
      <c r="C159" s="1619" t="s">
        <v>503</v>
      </c>
      <c r="D159" s="1620" t="s">
        <v>511</v>
      </c>
      <c r="E159" s="1621" t="str">
        <f>+VLOOKUP(B159,'Consolidate TL'!$B$17:O449,2,FALSE)</f>
        <v>LD1003500292</v>
      </c>
      <c r="F159" s="1622">
        <f>+VLOOKUP(B159,'Consolidate TL'!$B$17:L448,9,FALSE)</f>
        <v>42951</v>
      </c>
      <c r="G159" s="1622">
        <f>+VLOOKUP(B159,'Consolidate TL'!$B$17:P449,10,FALSE)</f>
        <v>46603</v>
      </c>
      <c r="H159" s="695" t="s">
        <v>1671</v>
      </c>
      <c r="I159" s="1623" t="s">
        <v>524</v>
      </c>
      <c r="J159" s="1624">
        <v>7.4999999999999997E-2</v>
      </c>
      <c r="K159" s="1606" t="s">
        <v>1626</v>
      </c>
      <c r="L159" s="827">
        <f>+VLOOKUP(B159,'Consolidate TL'!$B$8:P1270,4,FALSE)</f>
        <v>25000</v>
      </c>
      <c r="M159" s="829"/>
      <c r="N159" s="1521"/>
      <c r="O159" s="1638">
        <f>+VLOOKUP(B159,'Consolidate TL'!$B$8:$S$525,8,FALSE)</f>
        <v>24155.82</v>
      </c>
      <c r="P159" s="1521"/>
      <c r="Q159" s="1521"/>
      <c r="R159" s="1521"/>
      <c r="S159" s="698">
        <f t="shared" si="12"/>
        <v>24155.82</v>
      </c>
      <c r="T159" s="827"/>
      <c r="U159" s="827"/>
      <c r="V159" s="630">
        <f>+VLOOKUP(B159,'Consolidate TL'!$B$3:P662,12,FALSE)</f>
        <v>145.83000000000001</v>
      </c>
      <c r="W159" s="699">
        <v>0.01</v>
      </c>
      <c r="X159" s="801">
        <f t="shared" ref="X159" si="14">+S159*W160</f>
        <v>241.5582</v>
      </c>
      <c r="Y159" s="852" t="s">
        <v>1763</v>
      </c>
      <c r="Z159" s="1522" t="s">
        <v>1764</v>
      </c>
      <c r="AA159" s="1027">
        <v>93220</v>
      </c>
      <c r="AB159" s="700" t="s">
        <v>67</v>
      </c>
      <c r="AC159" s="700" t="s">
        <v>502</v>
      </c>
      <c r="AD159" s="852" t="s">
        <v>1765</v>
      </c>
      <c r="AE159" s="1530" t="s">
        <v>1766</v>
      </c>
      <c r="AF159" s="1530" t="s">
        <v>1395</v>
      </c>
      <c r="AG159" s="1373" t="s">
        <v>504</v>
      </c>
      <c r="AH159" s="704" t="s">
        <v>386</v>
      </c>
      <c r="AI159" s="1127" t="s">
        <v>1732</v>
      </c>
    </row>
    <row r="160" spans="1:35" s="1403" customFormat="1" ht="45" customHeight="1" thickBot="1">
      <c r="A160" s="595"/>
      <c r="B160" s="1627" t="s">
        <v>1735</v>
      </c>
      <c r="C160" s="1619" t="s">
        <v>503</v>
      </c>
      <c r="D160" s="1620" t="s">
        <v>511</v>
      </c>
      <c r="E160" s="1621" t="str">
        <f>+VLOOKUP(B160,'Consolidate TL'!$B$17:O450,2,FALSE)</f>
        <v>LD1003500014</v>
      </c>
      <c r="F160" s="1622">
        <f>+VLOOKUP(B160,'Consolidate TL'!$B$17:L449,9,FALSE)</f>
        <v>42954</v>
      </c>
      <c r="G160" s="1622">
        <f>+VLOOKUP(B160,'Consolidate TL'!$B$17:P450,10,FALSE)</f>
        <v>11908</v>
      </c>
      <c r="H160" s="695" t="s">
        <v>1595</v>
      </c>
      <c r="I160" s="1623" t="s">
        <v>753</v>
      </c>
      <c r="J160" s="1624">
        <v>7.4999999999999997E-2</v>
      </c>
      <c r="K160" s="1606" t="s">
        <v>1550</v>
      </c>
      <c r="L160" s="827">
        <f>+VLOOKUP(B160,'Consolidate TL'!$B$8:P1271,4,FALSE)</f>
        <v>48500</v>
      </c>
      <c r="M160" s="829"/>
      <c r="N160" s="1521"/>
      <c r="O160" s="1638">
        <f>+VLOOKUP(B160,'Consolidate TL'!$B$8:$S$525,8,FALSE)</f>
        <v>39920</v>
      </c>
      <c r="P160" s="1521"/>
      <c r="Q160" s="1521"/>
      <c r="R160" s="1521"/>
      <c r="S160" s="698">
        <f t="shared" si="12"/>
        <v>39920</v>
      </c>
      <c r="T160" s="827"/>
      <c r="U160" s="827"/>
      <c r="V160" s="630">
        <f>+VLOOKUP(B160,'Consolidate TL'!$B$3:P663,12,FALSE)</f>
        <v>252.6</v>
      </c>
      <c r="W160" s="699">
        <v>0.01</v>
      </c>
      <c r="X160" s="801">
        <f t="shared" si="10"/>
        <v>399.2</v>
      </c>
      <c r="Y160" s="852" t="s">
        <v>1754</v>
      </c>
      <c r="Z160" s="1522" t="s">
        <v>1755</v>
      </c>
      <c r="AA160" s="1027">
        <v>94420</v>
      </c>
      <c r="AB160" s="700" t="s">
        <v>67</v>
      </c>
      <c r="AC160" s="700" t="s">
        <v>502</v>
      </c>
      <c r="AD160" s="852" t="s">
        <v>1756</v>
      </c>
      <c r="AE160" s="1530" t="s">
        <v>1743</v>
      </c>
      <c r="AF160" s="1530" t="s">
        <v>1757</v>
      </c>
      <c r="AG160" s="1373" t="s">
        <v>504</v>
      </c>
      <c r="AH160" s="704" t="s">
        <v>386</v>
      </c>
      <c r="AI160" s="1127" t="s">
        <v>1737</v>
      </c>
    </row>
    <row r="161" spans="1:35" s="1403" customFormat="1" ht="45" customHeight="1" thickBot="1">
      <c r="A161" s="595"/>
      <c r="B161" s="1627" t="s">
        <v>1719</v>
      </c>
      <c r="C161" s="1619" t="s">
        <v>503</v>
      </c>
      <c r="D161" s="1620" t="s">
        <v>511</v>
      </c>
      <c r="E161" s="1621" t="str">
        <f>+VLOOKUP(B161,'Consolidate TL'!$B$17:O452,2,FALSE)</f>
        <v>LD1723013624</v>
      </c>
      <c r="F161" s="1622">
        <f>+VLOOKUP(B161,'Consolidate TL'!$B$17:L451,9,FALSE)</f>
        <v>42965</v>
      </c>
      <c r="G161" s="1622">
        <f>+VLOOKUP(B161,'Consolidate TL'!$B$17:P452,10,FALSE)</f>
        <v>11919</v>
      </c>
      <c r="H161" s="695" t="s">
        <v>1595</v>
      </c>
      <c r="I161" s="1623" t="s">
        <v>524</v>
      </c>
      <c r="J161" s="1624">
        <v>9.5000000000000001E-2</v>
      </c>
      <c r="K161" s="1606" t="s">
        <v>1550</v>
      </c>
      <c r="L161" s="827">
        <f>+VLOOKUP(B161,'Consolidate TL'!$B$8:P1273,4,FALSE)</f>
        <v>96400</v>
      </c>
      <c r="M161" s="829"/>
      <c r="N161" s="1521"/>
      <c r="O161" s="1638">
        <f>+VLOOKUP(B161,'Consolidate TL'!$B$8:$S$525,8,FALSE)</f>
        <v>95433.42</v>
      </c>
      <c r="P161" s="1521"/>
      <c r="Q161" s="1521"/>
      <c r="R161" s="1521"/>
      <c r="S161" s="698">
        <f t="shared" si="12"/>
        <v>95433.42</v>
      </c>
      <c r="T161" s="827"/>
      <c r="U161" s="827"/>
      <c r="V161" s="630">
        <f>+VLOOKUP(B161,'Consolidate TL'!$B$3:P665,12,FALSE)</f>
        <v>356.14</v>
      </c>
      <c r="W161" s="699">
        <v>0.01</v>
      </c>
      <c r="X161" s="801">
        <f t="shared" si="10"/>
        <v>954.33420000000001</v>
      </c>
      <c r="Y161" s="852" t="s">
        <v>1767</v>
      </c>
      <c r="Z161" s="1522" t="s">
        <v>1769</v>
      </c>
      <c r="AA161" s="1027">
        <v>137750</v>
      </c>
      <c r="AB161" s="700" t="s">
        <v>67</v>
      </c>
      <c r="AC161" s="700" t="s">
        <v>502</v>
      </c>
      <c r="AD161" s="852" t="s">
        <v>1768</v>
      </c>
      <c r="AE161" s="1530" t="s">
        <v>581</v>
      </c>
      <c r="AF161" s="1530" t="s">
        <v>1770</v>
      </c>
      <c r="AG161" s="1373" t="s">
        <v>504</v>
      </c>
      <c r="AH161" s="704" t="s">
        <v>386</v>
      </c>
      <c r="AI161" s="1127" t="s">
        <v>1733</v>
      </c>
    </row>
    <row r="162" spans="1:35" s="1403" customFormat="1" ht="45" customHeight="1" thickBot="1">
      <c r="A162" s="595"/>
      <c r="B162" s="1627" t="s">
        <v>1720</v>
      </c>
      <c r="C162" s="1619" t="s">
        <v>503</v>
      </c>
      <c r="D162" s="1620" t="s">
        <v>511</v>
      </c>
      <c r="E162" s="1621" t="str">
        <f>+VLOOKUP(B162,'Consolidate TL'!$B$17:O453,2,FALSE)</f>
        <v>LD1724107080</v>
      </c>
      <c r="F162" s="1622">
        <f>+VLOOKUP(B162,'Consolidate TL'!$B$17:L452,9,FALSE)</f>
        <v>42976</v>
      </c>
      <c r="G162" s="1622">
        <f>+VLOOKUP(B162,'Consolidate TL'!$B$17:P453,10,FALSE)</f>
        <v>11930</v>
      </c>
      <c r="H162" s="695" t="s">
        <v>1595</v>
      </c>
      <c r="I162" s="1623" t="s">
        <v>524</v>
      </c>
      <c r="J162" s="1624">
        <v>0.105</v>
      </c>
      <c r="K162" s="1606" t="s">
        <v>1550</v>
      </c>
      <c r="L162" s="827">
        <f>+VLOOKUP(B162,'Consolidate TL'!$B$8:P1274,4,FALSE)</f>
        <v>36700</v>
      </c>
      <c r="M162" s="829"/>
      <c r="N162" s="1521"/>
      <c r="O162" s="1638">
        <f>+VLOOKUP(B162,'Consolidate TL'!$B$8:$S$525,8,FALSE)</f>
        <v>36192.92</v>
      </c>
      <c r="P162" s="1521"/>
      <c r="Q162" s="1521"/>
      <c r="R162" s="1521"/>
      <c r="S162" s="698">
        <f t="shared" si="12"/>
        <v>36192.92</v>
      </c>
      <c r="T162" s="827"/>
      <c r="U162" s="827"/>
      <c r="V162" s="630">
        <f>+VLOOKUP(B162,'Consolidate TL'!$B$3:P666,12,FALSE)</f>
        <v>32.11</v>
      </c>
      <c r="W162" s="699">
        <v>0.01</v>
      </c>
      <c r="X162" s="801">
        <f>+S162*W199</f>
        <v>0</v>
      </c>
      <c r="Y162" s="852" t="s">
        <v>1740</v>
      </c>
      <c r="Z162" s="1522" t="s">
        <v>1741</v>
      </c>
      <c r="AA162" s="1027">
        <v>52530</v>
      </c>
      <c r="AB162" s="700" t="s">
        <v>67</v>
      </c>
      <c r="AC162" s="700" t="s">
        <v>502</v>
      </c>
      <c r="AD162" s="852" t="s">
        <v>1742</v>
      </c>
      <c r="AE162" s="1530" t="s">
        <v>1743</v>
      </c>
      <c r="AF162" s="1530" t="s">
        <v>1744</v>
      </c>
      <c r="AG162" s="1373" t="s">
        <v>504</v>
      </c>
      <c r="AH162" s="704" t="s">
        <v>386</v>
      </c>
      <c r="AI162" s="1127" t="s">
        <v>1734</v>
      </c>
    </row>
    <row r="163" spans="1:35" s="1403" customFormat="1" ht="45" customHeight="1" thickBot="1">
      <c r="A163" s="595"/>
      <c r="B163" s="1627" t="s">
        <v>1772</v>
      </c>
      <c r="C163" s="1619" t="s">
        <v>503</v>
      </c>
      <c r="D163" s="1620" t="s">
        <v>511</v>
      </c>
      <c r="E163" s="1621" t="str">
        <f>+VLOOKUP(B163,'Consolidate TL'!$B$17:O454,2,FALSE)</f>
        <v>LD1725195006</v>
      </c>
      <c r="F163" s="1622">
        <f>+VLOOKUP(B163,'Consolidate TL'!$B$17:L453,9,FALSE)</f>
        <v>42986</v>
      </c>
      <c r="G163" s="1622">
        <f>+VLOOKUP(B163,'Consolidate TL'!$B$17:P454,10,FALSE)</f>
        <v>11940</v>
      </c>
      <c r="H163" s="695" t="s">
        <v>1595</v>
      </c>
      <c r="I163" s="1623"/>
      <c r="J163" s="1624"/>
      <c r="K163" s="1606" t="s">
        <v>1626</v>
      </c>
      <c r="L163" s="827">
        <f>+VLOOKUP(B163,'Consolidate TL'!$B$8:P1275,4,FALSE)</f>
        <v>45000</v>
      </c>
      <c r="M163" s="829"/>
      <c r="N163" s="1521"/>
      <c r="O163" s="1638">
        <f>+VLOOKUP(B163,'Consolidate TL'!$B$8:$S$525,8,FALSE)</f>
        <v>44326.11</v>
      </c>
      <c r="P163" s="1521"/>
      <c r="Q163" s="1521"/>
      <c r="R163" s="1521"/>
      <c r="S163" s="698"/>
      <c r="T163" s="827"/>
      <c r="U163" s="827"/>
      <c r="V163" s="630"/>
      <c r="W163" s="699"/>
      <c r="X163" s="801"/>
      <c r="Y163" s="852"/>
      <c r="Z163" s="1522"/>
      <c r="AA163" s="1027"/>
      <c r="AB163" s="700"/>
      <c r="AC163" s="700"/>
      <c r="AD163" s="852"/>
      <c r="AE163" s="1530"/>
      <c r="AF163" s="1530"/>
      <c r="AG163" s="1373"/>
      <c r="AH163" s="704"/>
      <c r="AI163" s="1127"/>
    </row>
    <row r="164" spans="1:35" s="1403" customFormat="1" ht="45" customHeight="1" thickBot="1">
      <c r="A164" s="595"/>
      <c r="B164" s="1627" t="s">
        <v>1773</v>
      </c>
      <c r="C164" s="1619" t="s">
        <v>503</v>
      </c>
      <c r="D164" s="1620" t="s">
        <v>511</v>
      </c>
      <c r="E164" s="1621" t="str">
        <f>+VLOOKUP(B164,'Consolidate TL'!$B$17:O455,2,FALSE)</f>
        <v>LD1725714875</v>
      </c>
      <c r="F164" s="1622">
        <f>+VLOOKUP(B164,'Consolidate TL'!$B$17:L454,9,FALSE)</f>
        <v>42992</v>
      </c>
      <c r="G164" s="1622">
        <f>+VLOOKUP(B164,'Consolidate TL'!$B$17:P455,10,FALSE)</f>
        <v>11946</v>
      </c>
      <c r="H164" s="695" t="s">
        <v>1595</v>
      </c>
      <c r="I164" s="1623"/>
      <c r="J164" s="1624"/>
      <c r="K164" s="1606" t="s">
        <v>1550</v>
      </c>
      <c r="L164" s="827">
        <f>+VLOOKUP(B164,'Consolidate TL'!$B$8:P1276,4,FALSE)</f>
        <v>300000</v>
      </c>
      <c r="M164" s="829"/>
      <c r="N164" s="1521"/>
      <c r="O164" s="1638">
        <f>+VLOOKUP(B164,'Consolidate TL'!$B$8:$S$525,8,FALSE)</f>
        <v>295301.71999999997</v>
      </c>
      <c r="P164" s="1521"/>
      <c r="Q164" s="1521"/>
      <c r="R164" s="1521"/>
      <c r="S164" s="698"/>
      <c r="T164" s="827"/>
      <c r="U164" s="827"/>
      <c r="V164" s="630"/>
      <c r="W164" s="699"/>
      <c r="X164" s="801"/>
      <c r="Y164" s="852"/>
      <c r="Z164" s="1522"/>
      <c r="AA164" s="1027"/>
      <c r="AB164" s="700"/>
      <c r="AC164" s="700"/>
      <c r="AD164" s="852"/>
      <c r="AE164" s="1530"/>
      <c r="AF164" s="1530"/>
      <c r="AG164" s="1373"/>
      <c r="AH164" s="704"/>
      <c r="AI164" s="1127"/>
    </row>
    <row r="165" spans="1:35" s="1403" customFormat="1" ht="45" customHeight="1" thickBot="1">
      <c r="A165" s="595"/>
      <c r="B165" s="1627" t="s">
        <v>1779</v>
      </c>
      <c r="C165" s="1619" t="s">
        <v>503</v>
      </c>
      <c r="D165" s="1620" t="s">
        <v>511</v>
      </c>
      <c r="E165" s="1621" t="str">
        <f>+VLOOKUP(B165,'Consolidate TL'!$B$17:O456,2,FALSE)</f>
        <v>LD1727125548</v>
      </c>
      <c r="F165" s="1622">
        <f>+VLOOKUP(B165,'Consolidate TL'!$B$17:L455,9,FALSE)</f>
        <v>43006</v>
      </c>
      <c r="G165" s="1622">
        <f>+VLOOKUP(B165,'Consolidate TL'!$B$17:P456,10,FALSE)</f>
        <v>45197</v>
      </c>
      <c r="H165" s="695" t="s">
        <v>1780</v>
      </c>
      <c r="I165" s="1623"/>
      <c r="J165" s="1624"/>
      <c r="K165" s="1606" t="s">
        <v>1550</v>
      </c>
      <c r="L165" s="827">
        <f>+VLOOKUP(B165,'Consolidate TL'!$B$8:P1277,4,FALSE)</f>
        <v>55000</v>
      </c>
      <c r="M165" s="829"/>
      <c r="N165" s="1521"/>
      <c r="O165" s="1638">
        <f>+VLOOKUP(B165,'Consolidate TL'!$B$8:$S$525,8,FALSE)</f>
        <v>51945.279999999999</v>
      </c>
      <c r="P165" s="1521"/>
      <c r="Q165" s="1521"/>
      <c r="R165" s="1521"/>
      <c r="S165" s="698"/>
      <c r="T165" s="827"/>
      <c r="U165" s="827"/>
      <c r="V165" s="630"/>
      <c r="W165" s="699"/>
      <c r="X165" s="801"/>
      <c r="Y165" s="852"/>
      <c r="Z165" s="1522"/>
      <c r="AA165" s="1027"/>
      <c r="AB165" s="700"/>
      <c r="AC165" s="700"/>
      <c r="AD165" s="852"/>
      <c r="AE165" s="1530"/>
      <c r="AF165" s="1530"/>
      <c r="AG165" s="1373"/>
      <c r="AH165" s="704"/>
      <c r="AI165" s="1127"/>
    </row>
    <row r="166" spans="1:35" s="1403" customFormat="1" ht="45" customHeight="1" thickBot="1">
      <c r="A166" s="595"/>
      <c r="B166" s="1627" t="s">
        <v>1774</v>
      </c>
      <c r="C166" s="1619" t="s">
        <v>503</v>
      </c>
      <c r="D166" s="1620" t="s">
        <v>511</v>
      </c>
      <c r="E166" s="1621" t="str">
        <f>+VLOOKUP(B166,'Consolidate TL'!$B$17:O457,2,FALSE)</f>
        <v>LD1727256962</v>
      </c>
      <c r="F166" s="1622">
        <f>+VLOOKUP(B166,'Consolidate TL'!$B$17:L456,9,FALSE)</f>
        <v>43007</v>
      </c>
      <c r="G166" s="1622">
        <f>+VLOOKUP(B166,'Consolidate TL'!$B$17:P457,10,FALSE)</f>
        <v>11961</v>
      </c>
      <c r="H166" s="695" t="s">
        <v>1595</v>
      </c>
      <c r="I166" s="1623"/>
      <c r="J166" s="1624"/>
      <c r="K166" s="1606" t="s">
        <v>1550</v>
      </c>
      <c r="L166" s="827">
        <f>+VLOOKUP(B166,'Consolidate TL'!$B$8:P1278,4,FALSE)</f>
        <v>39000</v>
      </c>
      <c r="M166" s="829"/>
      <c r="N166" s="1521"/>
      <c r="O166" s="1638">
        <f>+VLOOKUP(B166,'Consolidate TL'!$B$8:$S$525,8,FALSE)</f>
        <v>38259.53</v>
      </c>
      <c r="P166" s="1521"/>
      <c r="Q166" s="1521"/>
      <c r="R166" s="1521"/>
      <c r="S166" s="698"/>
      <c r="T166" s="827"/>
      <c r="U166" s="827"/>
      <c r="V166" s="630"/>
      <c r="W166" s="699"/>
      <c r="X166" s="801"/>
      <c r="Y166" s="852"/>
      <c r="Z166" s="1522"/>
      <c r="AA166" s="1027"/>
      <c r="AB166" s="700"/>
      <c r="AC166" s="700"/>
      <c r="AD166" s="852"/>
      <c r="AE166" s="1530"/>
      <c r="AF166" s="1530"/>
      <c r="AG166" s="1373"/>
      <c r="AH166" s="704"/>
      <c r="AI166" s="1127"/>
    </row>
    <row r="167" spans="1:35" s="1403" customFormat="1" ht="45" customHeight="1" thickBot="1">
      <c r="A167" s="595"/>
      <c r="B167" s="1670" t="s">
        <v>1781</v>
      </c>
      <c r="C167" s="1619" t="s">
        <v>503</v>
      </c>
      <c r="D167" s="1620" t="s">
        <v>511</v>
      </c>
      <c r="E167" s="1621" t="str">
        <f>+VLOOKUP(B167,'Consolidate TL'!$B$17:O458,2,FALSE)</f>
        <v>LD1727675871</v>
      </c>
      <c r="F167" s="1622">
        <f>+VLOOKUP(B167,'Consolidate TL'!$B$17:L457,9,FALSE)</f>
        <v>43011</v>
      </c>
      <c r="G167" s="1622">
        <f>+VLOOKUP(B167,'Consolidate TL'!$B$17:P458,10,FALSE)</f>
        <v>48490</v>
      </c>
      <c r="H167" s="695"/>
      <c r="I167" s="1623"/>
      <c r="J167" s="1624"/>
      <c r="K167" s="1606" t="s">
        <v>1550</v>
      </c>
      <c r="L167" s="827">
        <f>+VLOOKUP(B167,'Consolidate TL'!$B$8:P1279,4,FALSE)</f>
        <v>90000</v>
      </c>
      <c r="M167" s="829"/>
      <c r="N167" s="1521"/>
      <c r="O167" s="1638">
        <f>+VLOOKUP(B167,'Consolidate TL'!$B$8:$S$525,8,FALSE)</f>
        <v>88936.43</v>
      </c>
      <c r="P167" s="1521"/>
      <c r="Q167" s="1521"/>
      <c r="R167" s="1521"/>
      <c r="S167" s="698"/>
      <c r="T167" s="827"/>
      <c r="U167" s="827"/>
      <c r="V167" s="630"/>
      <c r="W167" s="699"/>
      <c r="X167" s="801"/>
      <c r="Y167" s="852"/>
      <c r="Z167" s="1522"/>
      <c r="AA167" s="1027"/>
      <c r="AB167" s="700"/>
      <c r="AC167" s="700"/>
      <c r="AD167" s="852"/>
      <c r="AE167" s="1530"/>
      <c r="AF167" s="1530"/>
      <c r="AG167" s="1373"/>
      <c r="AH167" s="704"/>
      <c r="AI167" s="1127"/>
    </row>
    <row r="168" spans="1:35" s="1403" customFormat="1" ht="45" customHeight="1" thickBot="1">
      <c r="A168" s="595"/>
      <c r="B168" s="1670" t="s">
        <v>1782</v>
      </c>
      <c r="C168" s="1619" t="s">
        <v>503</v>
      </c>
      <c r="D168" s="1620" t="s">
        <v>511</v>
      </c>
      <c r="E168" s="1621" t="str">
        <f>+VLOOKUP(B168,'Consolidate TL'!$B$17:O459,2,FALSE)</f>
        <v>LD1727706496</v>
      </c>
      <c r="F168" s="1622">
        <f>+VLOOKUP(B168,'Consolidate TL'!$B$17:L458,9,FALSE)</f>
        <v>43012</v>
      </c>
      <c r="G168" s="1622">
        <f>+VLOOKUP(B168,'Consolidate TL'!$B$17:P459,10,FALSE)</f>
        <v>48491</v>
      </c>
      <c r="H168" s="695"/>
      <c r="I168" s="1623"/>
      <c r="J168" s="1624"/>
      <c r="K168" s="1606" t="s">
        <v>1550</v>
      </c>
      <c r="L168" s="827">
        <f>+VLOOKUP(B168,'Consolidate TL'!$B$8:P1280,4,FALSE)</f>
        <v>297000</v>
      </c>
      <c r="M168" s="829"/>
      <c r="N168" s="1521"/>
      <c r="O168" s="1638">
        <f>+VLOOKUP(B168,'Consolidate TL'!$B$8:$S$525,8,FALSE)</f>
        <v>293490.28000000003</v>
      </c>
      <c r="P168" s="1521"/>
      <c r="Q168" s="1521"/>
      <c r="R168" s="1521"/>
      <c r="S168" s="698"/>
      <c r="T168" s="827"/>
      <c r="U168" s="827"/>
      <c r="V168" s="630"/>
      <c r="W168" s="699"/>
      <c r="X168" s="801"/>
      <c r="Y168" s="852"/>
      <c r="Z168" s="1522"/>
      <c r="AA168" s="1027"/>
      <c r="AB168" s="700"/>
      <c r="AC168" s="700"/>
      <c r="AD168" s="852"/>
      <c r="AE168" s="1530"/>
      <c r="AF168" s="1530"/>
      <c r="AG168" s="1373"/>
      <c r="AH168" s="704"/>
      <c r="AI168" s="1127"/>
    </row>
    <row r="169" spans="1:35" s="1403" customFormat="1" ht="45" customHeight="1" thickBot="1">
      <c r="A169" s="595"/>
      <c r="B169" s="1670" t="s">
        <v>1785</v>
      </c>
      <c r="C169" s="1619" t="s">
        <v>503</v>
      </c>
      <c r="D169" s="1620" t="s">
        <v>511</v>
      </c>
      <c r="E169" s="1621" t="str">
        <f>+VLOOKUP(B169,'Consolidate TL'!$B$17:O460,2,FALSE)</f>
        <v>LD1727707226</v>
      </c>
      <c r="F169" s="1622">
        <f>+VLOOKUP(B169,'Consolidate TL'!$B$17:L459,9,FALSE)</f>
        <v>43012</v>
      </c>
      <c r="G169" s="1622">
        <f>+VLOOKUP(B169,'Consolidate TL'!$B$17:P460,10,FALSE)</f>
        <v>46664</v>
      </c>
      <c r="H169" s="695"/>
      <c r="I169" s="1623"/>
      <c r="J169" s="1624"/>
      <c r="K169" s="1606" t="s">
        <v>1550</v>
      </c>
      <c r="L169" s="827">
        <f>+VLOOKUP(B169,'Consolidate TL'!$B$8:P1281,4,FALSE)</f>
        <v>30000</v>
      </c>
      <c r="M169" s="829"/>
      <c r="N169" s="1521"/>
      <c r="O169" s="1638">
        <f>+VLOOKUP(B169,'Consolidate TL'!$B$8:$S$525,8,FALSE)</f>
        <v>29000</v>
      </c>
      <c r="P169" s="1521"/>
      <c r="Q169" s="1521"/>
      <c r="R169" s="1521"/>
      <c r="S169" s="698"/>
      <c r="T169" s="827"/>
      <c r="U169" s="827"/>
      <c r="V169" s="630"/>
      <c r="W169" s="699"/>
      <c r="X169" s="801"/>
      <c r="Y169" s="852"/>
      <c r="Z169" s="1522"/>
      <c r="AA169" s="1027"/>
      <c r="AB169" s="700"/>
      <c r="AC169" s="700"/>
      <c r="AD169" s="852"/>
      <c r="AE169" s="1530"/>
      <c r="AF169" s="1530"/>
      <c r="AG169" s="1373"/>
      <c r="AH169" s="704"/>
      <c r="AI169" s="1127"/>
    </row>
    <row r="170" spans="1:35" s="1403" customFormat="1" ht="45" customHeight="1" thickBot="1">
      <c r="A170" s="595"/>
      <c r="B170" s="1670" t="s">
        <v>1783</v>
      </c>
      <c r="C170" s="1619" t="s">
        <v>503</v>
      </c>
      <c r="D170" s="1620" t="s">
        <v>511</v>
      </c>
      <c r="E170" s="1621" t="str">
        <f>+VLOOKUP(B170,'Consolidate TL'!$B$17:O461,2,FALSE)</f>
        <v>LD1728410488</v>
      </c>
      <c r="F170" s="1622">
        <f>+VLOOKUP(B170,'Consolidate TL'!$B$17:L460,9,FALSE)</f>
        <v>43019</v>
      </c>
      <c r="G170" s="1622">
        <f>+VLOOKUP(B170,'Consolidate TL'!$B$17:P461,10,FALSE)</f>
        <v>45210</v>
      </c>
      <c r="H170" s="695"/>
      <c r="I170" s="1623"/>
      <c r="J170" s="1624"/>
      <c r="K170" s="1606" t="s">
        <v>1550</v>
      </c>
      <c r="L170" s="827">
        <f>+VLOOKUP(B170,'Consolidate TL'!$B$8:P1282,4,FALSE)</f>
        <v>35000</v>
      </c>
      <c r="M170" s="829"/>
      <c r="N170" s="1521"/>
      <c r="O170" s="1638">
        <f>+VLOOKUP(B170,'Consolidate TL'!$B$8:$S$525,8,FALSE)</f>
        <v>33454.080000000002</v>
      </c>
      <c r="P170" s="1521"/>
      <c r="Q170" s="1521"/>
      <c r="R170" s="1521"/>
      <c r="S170" s="698"/>
      <c r="T170" s="827"/>
      <c r="U170" s="827"/>
      <c r="V170" s="630"/>
      <c r="W170" s="699"/>
      <c r="X170" s="801"/>
      <c r="Y170" s="852"/>
      <c r="Z170" s="1522"/>
      <c r="AA170" s="1027"/>
      <c r="AB170" s="700"/>
      <c r="AC170" s="700"/>
      <c r="AD170" s="852"/>
      <c r="AE170" s="1530"/>
      <c r="AF170" s="1530"/>
      <c r="AG170" s="1373"/>
      <c r="AH170" s="704"/>
      <c r="AI170" s="1127"/>
    </row>
    <row r="171" spans="1:35" s="1403" customFormat="1" ht="45" customHeight="1" thickBot="1">
      <c r="A171" s="595"/>
      <c r="B171" s="1670" t="s">
        <v>1784</v>
      </c>
      <c r="C171" s="1619" t="s">
        <v>503</v>
      </c>
      <c r="D171" s="1620" t="s">
        <v>511</v>
      </c>
      <c r="E171" s="1621" t="str">
        <f>+VLOOKUP(B171,'Consolidate TL'!$B$17:O462,2,FALSE)</f>
        <v>LD1729041052</v>
      </c>
      <c r="F171" s="1622">
        <f>+VLOOKUP(B171,'Consolidate TL'!$B$17:L461,9,FALSE)</f>
        <v>43025</v>
      </c>
      <c r="G171" s="1622">
        <f>+VLOOKUP(B171,'Consolidate TL'!$B$17:P462,10,FALSE)</f>
        <v>46677</v>
      </c>
      <c r="H171" s="695"/>
      <c r="I171" s="1623"/>
      <c r="J171" s="1624"/>
      <c r="K171" s="1606" t="s">
        <v>1550</v>
      </c>
      <c r="L171" s="827">
        <f>+VLOOKUP(B171,'Consolidate TL'!$B$8:P1283,4,FALSE)</f>
        <v>39200</v>
      </c>
      <c r="M171" s="829"/>
      <c r="N171" s="1521"/>
      <c r="O171" s="1638">
        <f>+VLOOKUP(B171,'Consolidate TL'!$B$8:$S$525,8,FALSE)</f>
        <v>37893.360000000001</v>
      </c>
      <c r="P171" s="1521"/>
      <c r="Q171" s="1521"/>
      <c r="R171" s="1521"/>
      <c r="S171" s="698"/>
      <c r="T171" s="827"/>
      <c r="U171" s="827"/>
      <c r="V171" s="630"/>
      <c r="W171" s="699"/>
      <c r="X171" s="801"/>
      <c r="Y171" s="852"/>
      <c r="Z171" s="1522"/>
      <c r="AA171" s="1027"/>
      <c r="AB171" s="700"/>
      <c r="AC171" s="700"/>
      <c r="AD171" s="852"/>
      <c r="AE171" s="1530"/>
      <c r="AF171" s="1530"/>
      <c r="AG171" s="1373"/>
      <c r="AH171" s="704"/>
      <c r="AI171" s="1127"/>
    </row>
    <row r="172" spans="1:35" s="1403" customFormat="1" ht="45" customHeight="1" thickBot="1">
      <c r="A172" s="595"/>
      <c r="B172" s="1670" t="s">
        <v>1786</v>
      </c>
      <c r="C172" s="1619" t="s">
        <v>503</v>
      </c>
      <c r="D172" s="1620" t="s">
        <v>511</v>
      </c>
      <c r="E172" s="1621" t="str">
        <f>+VLOOKUP(B172,'Consolidate TL'!$B$17:O463,2,FALSE)</f>
        <v>LD1729796836</v>
      </c>
      <c r="F172" s="1622">
        <f>+VLOOKUP(B172,'Consolidate TL'!$B$17:L462,9,FALSE)</f>
        <v>43032</v>
      </c>
      <c r="G172" s="1622">
        <f>+VLOOKUP(B172,'Consolidate TL'!$B$17:P463,10,FALSE)</f>
        <v>48511</v>
      </c>
      <c r="H172" s="695"/>
      <c r="I172" s="1623"/>
      <c r="J172" s="1624"/>
      <c r="K172" s="1606" t="s">
        <v>1550</v>
      </c>
      <c r="L172" s="827">
        <f>+VLOOKUP(B172,'Consolidate TL'!$B$8:P1284,4,FALSE)</f>
        <v>40500</v>
      </c>
      <c r="M172" s="829"/>
      <c r="N172" s="1521"/>
      <c r="O172" s="1638">
        <f>+VLOOKUP(B172,'Consolidate TL'!$B$8:$S$525,8,FALSE)</f>
        <v>40021.4</v>
      </c>
      <c r="P172" s="1521"/>
      <c r="Q172" s="1521"/>
      <c r="R172" s="1521"/>
      <c r="S172" s="698"/>
      <c r="T172" s="827"/>
      <c r="U172" s="827"/>
      <c r="V172" s="630"/>
      <c r="W172" s="699"/>
      <c r="X172" s="801"/>
      <c r="Y172" s="852"/>
      <c r="Z172" s="1522"/>
      <c r="AA172" s="1027"/>
      <c r="AB172" s="700"/>
      <c r="AC172" s="700"/>
      <c r="AD172" s="852"/>
      <c r="AE172" s="1530"/>
      <c r="AF172" s="1530"/>
      <c r="AG172" s="1373"/>
      <c r="AH172" s="704"/>
      <c r="AI172" s="1127"/>
    </row>
    <row r="173" spans="1:35" s="1403" customFormat="1" ht="45" customHeight="1" thickBot="1">
      <c r="A173" s="595"/>
      <c r="B173" s="1670" t="s">
        <v>1787</v>
      </c>
      <c r="C173" s="1619" t="s">
        <v>503</v>
      </c>
      <c r="D173" s="1620" t="s">
        <v>511</v>
      </c>
      <c r="E173" s="1621" t="str">
        <f>+VLOOKUP(B173,'Consolidate TL'!$B$17:O464,2,FALSE)</f>
        <v>LD1730007501</v>
      </c>
      <c r="F173" s="1622">
        <f>+VLOOKUP(B173,'Consolidate TL'!$B$17:L463,9,FALSE)</f>
        <v>43035</v>
      </c>
      <c r="G173" s="1622">
        <f>+VLOOKUP(B173,'Consolidate TL'!$B$17:P464,10,FALSE)</f>
        <v>48514</v>
      </c>
      <c r="H173" s="695"/>
      <c r="I173" s="1623"/>
      <c r="J173" s="1624"/>
      <c r="K173" s="1606" t="s">
        <v>1550</v>
      </c>
      <c r="L173" s="827">
        <f>+VLOOKUP(B173,'Consolidate TL'!$B$8:P1285,4,FALSE)</f>
        <v>150000</v>
      </c>
      <c r="M173" s="829"/>
      <c r="N173" s="1521"/>
      <c r="O173" s="1638">
        <f>+VLOOKUP(B173,'Consolidate TL'!$B$8:$S$525,8,FALSE)</f>
        <v>148227.42000000001</v>
      </c>
      <c r="P173" s="1521"/>
      <c r="Q173" s="1521"/>
      <c r="R173" s="1521"/>
      <c r="S173" s="698"/>
      <c r="T173" s="827"/>
      <c r="U173" s="827"/>
      <c r="V173" s="630"/>
      <c r="W173" s="699"/>
      <c r="X173" s="801"/>
      <c r="Y173" s="852"/>
      <c r="Z173" s="1522"/>
      <c r="AA173" s="1027"/>
      <c r="AB173" s="700"/>
      <c r="AC173" s="700"/>
      <c r="AD173" s="852"/>
      <c r="AE173" s="1530"/>
      <c r="AF173" s="1530"/>
      <c r="AG173" s="1373"/>
      <c r="AH173" s="704"/>
      <c r="AI173" s="1127"/>
    </row>
    <row r="174" spans="1:35" s="1403" customFormat="1" ht="45" customHeight="1" thickBot="1">
      <c r="A174" s="595"/>
      <c r="B174" s="1670" t="s">
        <v>1788</v>
      </c>
      <c r="C174" s="1619" t="s">
        <v>503</v>
      </c>
      <c r="D174" s="1620" t="s">
        <v>511</v>
      </c>
      <c r="E174" s="1621" t="str">
        <f>+VLOOKUP(B174,'Consolidate TL'!$B$17:O465,2,FALSE)</f>
        <v>LD1730450142</v>
      </c>
      <c r="F174" s="1622">
        <f>+VLOOKUP(B174,'Consolidate TL'!$B$17:L464,9,FALSE)</f>
        <v>43039</v>
      </c>
      <c r="G174" s="1622">
        <f>+VLOOKUP(B174,'Consolidate TL'!$B$17:P465,10,FALSE)</f>
        <v>46691</v>
      </c>
      <c r="H174" s="695"/>
      <c r="I174" s="1623"/>
      <c r="J174" s="1624"/>
      <c r="K174" s="1606" t="s">
        <v>1550</v>
      </c>
      <c r="L174" s="827">
        <f>+VLOOKUP(B174,'Consolidate TL'!$B$8:P1286,4,FALSE)</f>
        <v>44000</v>
      </c>
      <c r="M174" s="829"/>
      <c r="N174" s="1521"/>
      <c r="O174" s="1638">
        <f>+VLOOKUP(B174,'Consolidate TL'!$B$8:$S$525,8,FALSE)</f>
        <v>43092.75</v>
      </c>
      <c r="P174" s="1521"/>
      <c r="Q174" s="1521"/>
      <c r="R174" s="1521"/>
      <c r="S174" s="698"/>
      <c r="T174" s="827"/>
      <c r="U174" s="827"/>
      <c r="V174" s="630"/>
      <c r="W174" s="699"/>
      <c r="X174" s="801"/>
      <c r="Y174" s="852"/>
      <c r="Z174" s="1522"/>
      <c r="AA174" s="1027"/>
      <c r="AB174" s="700"/>
      <c r="AC174" s="700"/>
      <c r="AD174" s="852"/>
      <c r="AE174" s="1530"/>
      <c r="AF174" s="1530"/>
      <c r="AG174" s="1373"/>
      <c r="AH174" s="704"/>
      <c r="AI174" s="1127"/>
    </row>
    <row r="175" spans="1:35" s="1403" customFormat="1" ht="45" customHeight="1" thickBot="1">
      <c r="A175" s="595"/>
      <c r="B175" s="1670" t="s">
        <v>1797</v>
      </c>
      <c r="C175" s="1619" t="s">
        <v>503</v>
      </c>
      <c r="D175" s="1620" t="s">
        <v>511</v>
      </c>
      <c r="E175" s="1621" t="str">
        <f>+VLOOKUP(B175,'Consolidate TL'!$B$17:O466,2,FALSE)</f>
        <v>LD1729783362</v>
      </c>
      <c r="F175" s="1622">
        <f>+VLOOKUP(B175,'Consolidate TL'!$B$17:L465,9,FALSE)</f>
        <v>43032</v>
      </c>
      <c r="G175" s="1622">
        <f>+VLOOKUP(B175,'Consolidate TL'!$B$17:P466,10,FALSE)</f>
        <v>44493</v>
      </c>
      <c r="H175" s="695"/>
      <c r="I175" s="1623"/>
      <c r="J175" s="1624"/>
      <c r="K175" s="1606" t="s">
        <v>1550</v>
      </c>
      <c r="L175" s="827">
        <f>+VLOOKUP(B175,'Consolidate TL'!$B$8:P1287,4,FALSE)</f>
        <v>55000</v>
      </c>
      <c r="M175" s="829"/>
      <c r="N175" s="1521"/>
      <c r="O175" s="1638">
        <f>+VLOOKUP(B175,'Consolidate TL'!$B$8:$S$525,8,FALSE)</f>
        <v>50416</v>
      </c>
      <c r="P175" s="1521"/>
      <c r="Q175" s="1521"/>
      <c r="R175" s="1521"/>
      <c r="S175" s="698"/>
      <c r="T175" s="827"/>
      <c r="U175" s="827"/>
      <c r="V175" s="630"/>
      <c r="W175" s="699"/>
      <c r="X175" s="801"/>
      <c r="Y175" s="852"/>
      <c r="Z175" s="1522"/>
      <c r="AA175" s="1027"/>
      <c r="AB175" s="700"/>
      <c r="AC175" s="700"/>
      <c r="AD175" s="852"/>
      <c r="AE175" s="1530"/>
      <c r="AF175" s="1530"/>
      <c r="AG175" s="1373"/>
      <c r="AH175" s="704"/>
      <c r="AI175" s="1127"/>
    </row>
    <row r="176" spans="1:35" s="1403" customFormat="1" ht="45" customHeight="1" thickBot="1">
      <c r="A176" s="595"/>
      <c r="B176" s="1673" t="s">
        <v>1802</v>
      </c>
      <c r="C176" s="1619" t="s">
        <v>503</v>
      </c>
      <c r="D176" s="1620" t="s">
        <v>511</v>
      </c>
      <c r="E176" s="1621" t="str">
        <f>+VLOOKUP(B176,'Consolidate TL'!$B$17:O467,2,FALSE)</f>
        <v>LD1730501802</v>
      </c>
      <c r="F176" s="1622">
        <f>+VLOOKUP(B176,'Consolidate TL'!$B$17:L466,9,FALSE)</f>
        <v>43040</v>
      </c>
      <c r="G176" s="1622">
        <f>+VLOOKUP(B176,'Consolidate TL'!$B$17:P467,10,FALSE)</f>
        <v>45597</v>
      </c>
      <c r="H176" s="695"/>
      <c r="I176" s="1623"/>
      <c r="J176" s="1624"/>
      <c r="K176" s="1606" t="s">
        <v>1550</v>
      </c>
      <c r="L176" s="827">
        <f>+VLOOKUP(B176,'Consolidate TL'!$B$8:P1288,4,FALSE)</f>
        <v>25000</v>
      </c>
      <c r="M176" s="829"/>
      <c r="N176" s="1521"/>
      <c r="O176" s="1638">
        <f>+VLOOKUP(B176,'Consolidate TL'!$B$8:$S$525,8,FALSE)</f>
        <v>24320.51</v>
      </c>
      <c r="P176" s="1521"/>
      <c r="Q176" s="1521"/>
      <c r="R176" s="1521"/>
      <c r="S176" s="698"/>
      <c r="T176" s="827"/>
      <c r="U176" s="827"/>
      <c r="V176" s="630"/>
      <c r="W176" s="699"/>
      <c r="X176" s="801"/>
      <c r="Y176" s="852"/>
      <c r="Z176" s="1522"/>
      <c r="AA176" s="1027"/>
      <c r="AB176" s="700"/>
      <c r="AC176" s="700"/>
      <c r="AD176" s="852"/>
      <c r="AE176" s="1530"/>
      <c r="AF176" s="1530"/>
      <c r="AG176" s="1373"/>
      <c r="AH176" s="704"/>
      <c r="AI176" s="1127"/>
    </row>
    <row r="177" spans="1:35" s="1403" customFormat="1" ht="45" customHeight="1" thickBot="1">
      <c r="A177" s="595"/>
      <c r="B177" s="1673" t="s">
        <v>1803</v>
      </c>
      <c r="C177" s="1619" t="s">
        <v>503</v>
      </c>
      <c r="D177" s="1620" t="s">
        <v>511</v>
      </c>
      <c r="E177" s="1621" t="str">
        <f>+VLOOKUP(B177,'Consolidate TL'!$B$17:O468,2,FALSE)</f>
        <v>LD1731414007</v>
      </c>
      <c r="F177" s="1622">
        <f>+VLOOKUP(B177,'Consolidate TL'!$B$17:L467,9,FALSE)</f>
        <v>43049</v>
      </c>
      <c r="G177" s="1622">
        <f>+VLOOKUP(B177,'Consolidate TL'!$B$17:P468,10,FALSE)</f>
        <v>50369</v>
      </c>
      <c r="H177" s="695"/>
      <c r="I177" s="1623"/>
      <c r="J177" s="1624"/>
      <c r="K177" s="1606" t="s">
        <v>1523</v>
      </c>
      <c r="L177" s="827">
        <f>+VLOOKUP(B177,'Consolidate TL'!$B$8:P1289,4,FALSE)</f>
        <v>57000</v>
      </c>
      <c r="M177" s="829"/>
      <c r="N177" s="1521"/>
      <c r="O177" s="1638">
        <f>+VLOOKUP(B177,'Consolidate TL'!$B$8:$S$525,8,FALSE)</f>
        <v>56241.08</v>
      </c>
      <c r="P177" s="1521"/>
      <c r="Q177" s="1521"/>
      <c r="R177" s="1521"/>
      <c r="S177" s="698"/>
      <c r="T177" s="827"/>
      <c r="U177" s="827"/>
      <c r="V177" s="630"/>
      <c r="W177" s="699"/>
      <c r="X177" s="801"/>
      <c r="Y177" s="852"/>
      <c r="Z177" s="1522"/>
      <c r="AA177" s="1027"/>
      <c r="AB177" s="700"/>
      <c r="AC177" s="700"/>
      <c r="AD177" s="852"/>
      <c r="AE177" s="1530"/>
      <c r="AF177" s="1530"/>
      <c r="AG177" s="1373"/>
      <c r="AH177" s="704"/>
      <c r="AI177" s="1127"/>
    </row>
    <row r="178" spans="1:35" s="1403" customFormat="1" ht="45" customHeight="1" thickBot="1">
      <c r="A178" s="595"/>
      <c r="B178" s="1673" t="s">
        <v>1801</v>
      </c>
      <c r="C178" s="1619" t="s">
        <v>503</v>
      </c>
      <c r="D178" s="1620" t="s">
        <v>511</v>
      </c>
      <c r="E178" s="1621" t="str">
        <f>+VLOOKUP(B178,'Consolidate TL'!$B$17:O469,2,FALSE)</f>
        <v>LD1732501871</v>
      </c>
      <c r="F178" s="1622">
        <f>+VLOOKUP(B178,'Consolidate TL'!$B$17:L468,9,FALSE)</f>
        <v>43060</v>
      </c>
      <c r="G178" s="1622">
        <f>+VLOOKUP(B178,'Consolidate TL'!$B$17:P469,10,FALSE)</f>
        <v>46712</v>
      </c>
      <c r="H178" s="695"/>
      <c r="I178" s="1623"/>
      <c r="J178" s="1624"/>
      <c r="K178" s="1606" t="s">
        <v>1550</v>
      </c>
      <c r="L178" s="827">
        <f>+VLOOKUP(B178,'Consolidate TL'!$B$8:P1290,4,FALSE)</f>
        <v>35800</v>
      </c>
      <c r="M178" s="829"/>
      <c r="N178" s="1521"/>
      <c r="O178" s="1638">
        <f>+VLOOKUP(B178,'Consolidate TL'!$B$8:$S$525,8,FALSE)</f>
        <v>14805.01</v>
      </c>
      <c r="P178" s="1521"/>
      <c r="Q178" s="1521"/>
      <c r="R178" s="1521"/>
      <c r="S178" s="698"/>
      <c r="T178" s="827"/>
      <c r="U178" s="827"/>
      <c r="V178" s="630"/>
      <c r="W178" s="699"/>
      <c r="X178" s="801"/>
      <c r="Y178" s="852"/>
      <c r="Z178" s="1522"/>
      <c r="AA178" s="1027"/>
      <c r="AB178" s="700"/>
      <c r="AC178" s="700"/>
      <c r="AD178" s="852"/>
      <c r="AE178" s="1530"/>
      <c r="AF178" s="1530"/>
      <c r="AG178" s="1373"/>
      <c r="AH178" s="704"/>
      <c r="AI178" s="1127"/>
    </row>
    <row r="179" spans="1:35" s="1403" customFormat="1" ht="45" customHeight="1" thickBot="1">
      <c r="A179" s="595"/>
      <c r="B179" s="1673" t="s">
        <v>1807</v>
      </c>
      <c r="C179" s="1619" t="s">
        <v>503</v>
      </c>
      <c r="D179" s="1620" t="s">
        <v>511</v>
      </c>
      <c r="E179" s="1621" t="str">
        <f>+VLOOKUP(B179,'Consolidate TL'!$B$17:O470,2,FALSE)</f>
        <v>LD1003700163</v>
      </c>
      <c r="F179" s="1622">
        <f>+VLOOKUP(B179,'Consolidate TL'!$B$17:L469,9,FALSE)</f>
        <v>43066</v>
      </c>
      <c r="G179" s="1622">
        <f>+VLOOKUP(B179,'Consolidate TL'!$B$17:P470,10,FALSE)</f>
        <v>48545</v>
      </c>
      <c r="H179" s="695"/>
      <c r="I179" s="1623"/>
      <c r="J179" s="1624">
        <v>8.5000000000000006E-2</v>
      </c>
      <c r="K179" s="1606" t="s">
        <v>1550</v>
      </c>
      <c r="L179" s="827">
        <f>+VLOOKUP(B179,'Consolidate TL'!$B$8:P1291,4,FALSE)</f>
        <v>35000</v>
      </c>
      <c r="M179" s="829"/>
      <c r="N179" s="1521"/>
      <c r="O179" s="1638">
        <f>+VLOOKUP(B179,'Consolidate TL'!$B$8:$S$525,8,FALSE)</f>
        <v>34716.699999999997</v>
      </c>
      <c r="P179" s="1521"/>
      <c r="Q179" s="1521"/>
      <c r="R179" s="1521"/>
      <c r="S179" s="698"/>
      <c r="T179" s="827"/>
      <c r="U179" s="827"/>
      <c r="V179" s="630"/>
      <c r="W179" s="699"/>
      <c r="X179" s="801"/>
      <c r="Y179" s="852"/>
      <c r="Z179" s="1522"/>
      <c r="AA179" s="1027"/>
      <c r="AB179" s="700"/>
      <c r="AC179" s="700"/>
      <c r="AD179" s="852"/>
      <c r="AE179" s="1530"/>
      <c r="AF179" s="1530"/>
      <c r="AG179" s="1373"/>
      <c r="AH179" s="704"/>
      <c r="AI179" s="1127"/>
    </row>
    <row r="180" spans="1:35" s="1403" customFormat="1" ht="45" customHeight="1" thickBot="1">
      <c r="A180" s="595"/>
      <c r="B180" s="1684" t="s">
        <v>1816</v>
      </c>
      <c r="C180" s="1619" t="s">
        <v>503</v>
      </c>
      <c r="D180" s="1620" t="s">
        <v>511</v>
      </c>
      <c r="E180" s="1621" t="str">
        <f>+VLOOKUP(B180,'Consolidate TL'!$B$17:O471,2,FALSE)</f>
        <v>LD1003700235</v>
      </c>
      <c r="F180" s="1622">
        <f>+VLOOKUP(B180,'Consolidate TL'!$B$17:L470,9,FALSE)</f>
        <v>43074</v>
      </c>
      <c r="G180" s="1622">
        <f>+VLOOKUP(B180,'Consolidate TL'!$B$17:P471,10,FALSE)</f>
        <v>48553</v>
      </c>
      <c r="H180" s="695"/>
      <c r="I180" s="1623"/>
      <c r="J180" s="1624">
        <v>7.4999999999999997E-2</v>
      </c>
      <c r="K180" s="1606" t="s">
        <v>1550</v>
      </c>
      <c r="L180" s="827">
        <f>+VLOOKUP(B180,'Consolidate TL'!$B$8:P1292,4,FALSE)</f>
        <v>37500</v>
      </c>
      <c r="M180" s="829"/>
      <c r="N180" s="1521"/>
      <c r="O180" s="1638">
        <f>+VLOOKUP(B180,'Consolidate TL'!$B$8:$S$525,8,FALSE)</f>
        <v>37781.83</v>
      </c>
      <c r="P180" s="1521"/>
      <c r="Q180" s="1521"/>
      <c r="R180" s="1521"/>
      <c r="S180" s="698"/>
      <c r="T180" s="827"/>
      <c r="U180" s="827"/>
      <c r="V180" s="630"/>
      <c r="W180" s="699"/>
      <c r="X180" s="801"/>
      <c r="Y180" s="852"/>
      <c r="Z180" s="1522"/>
      <c r="AA180" s="1027"/>
      <c r="AB180" s="700"/>
      <c r="AC180" s="700"/>
      <c r="AD180" s="852"/>
      <c r="AE180" s="1530"/>
      <c r="AF180" s="1530"/>
      <c r="AG180" s="1373"/>
      <c r="AH180" s="704"/>
      <c r="AI180" s="1127"/>
    </row>
    <row r="181" spans="1:35" s="1403" customFormat="1" ht="45" customHeight="1" thickBot="1">
      <c r="A181" s="595"/>
      <c r="B181" s="1684" t="s">
        <v>1809</v>
      </c>
      <c r="C181" s="1619" t="s">
        <v>503</v>
      </c>
      <c r="D181" s="1620" t="s">
        <v>511</v>
      </c>
      <c r="E181" s="1621" t="str">
        <f>+VLOOKUP(B181,'Consolidate TL'!$B$17:O472,2,FALSE)</f>
        <v>LD1734705533</v>
      </c>
      <c r="F181" s="1622">
        <f>+VLOOKUP(B181,'Consolidate TL'!$B$17:L471,9,FALSE)</f>
        <v>43082</v>
      </c>
      <c r="G181" s="1622">
        <f>+VLOOKUP(B181,'Consolidate TL'!$B$17:P472,10,FALSE)</f>
        <v>48561</v>
      </c>
      <c r="H181" s="695"/>
      <c r="I181" s="1623"/>
      <c r="J181" s="1624">
        <v>7.4999999999999997E-2</v>
      </c>
      <c r="K181" s="1606" t="s">
        <v>1550</v>
      </c>
      <c r="L181" s="827">
        <f>+VLOOKUP(B181,'Consolidate TL'!$B$8:P1293,4,FALSE)</f>
        <v>39000</v>
      </c>
      <c r="M181" s="829"/>
      <c r="N181" s="1521"/>
      <c r="O181" s="1638">
        <f>+VLOOKUP(B181,'Consolidate TL'!$B$8:$S$525,8,FALSE)</f>
        <v>38765.269999999997</v>
      </c>
      <c r="P181" s="1521"/>
      <c r="Q181" s="1521"/>
      <c r="R181" s="1521"/>
      <c r="S181" s="698"/>
      <c r="T181" s="827"/>
      <c r="U181" s="827"/>
      <c r="V181" s="630"/>
      <c r="W181" s="699"/>
      <c r="X181" s="801"/>
      <c r="Y181" s="852"/>
      <c r="Z181" s="1522"/>
      <c r="AA181" s="1027"/>
      <c r="AB181" s="700"/>
      <c r="AC181" s="700"/>
      <c r="AD181" s="852"/>
      <c r="AE181" s="1530"/>
      <c r="AF181" s="1530"/>
      <c r="AG181" s="1373"/>
      <c r="AH181" s="704"/>
      <c r="AI181" s="1127"/>
    </row>
    <row r="182" spans="1:35" s="1403" customFormat="1" ht="45" customHeight="1" thickBot="1">
      <c r="A182" s="595"/>
      <c r="B182" s="1684" t="s">
        <v>1813</v>
      </c>
      <c r="C182" s="1619" t="s">
        <v>503</v>
      </c>
      <c r="D182" s="1620" t="s">
        <v>511</v>
      </c>
      <c r="E182" s="1621" t="str">
        <f>+VLOOKUP(B182,'Consolidate TL'!$B$17:O473,2,FALSE)</f>
        <v>LD1003700473</v>
      </c>
      <c r="F182" s="1622">
        <f>+VLOOKUP(B182,'Consolidate TL'!$B$17:L472,9,FALSE)</f>
        <v>43084</v>
      </c>
      <c r="G182" s="1622">
        <f>+VLOOKUP(B182,'Consolidate TL'!$B$17:P473,10,FALSE)</f>
        <v>48563</v>
      </c>
      <c r="H182" s="695"/>
      <c r="I182" s="1623"/>
      <c r="J182" s="1624">
        <v>7.4999999999999997E-2</v>
      </c>
      <c r="K182" s="1606" t="s">
        <v>1550</v>
      </c>
      <c r="L182" s="827">
        <f>+VLOOKUP(B182,'Consolidate TL'!$B$8:P1294,4,FALSE)</f>
        <v>30000</v>
      </c>
      <c r="M182" s="829"/>
      <c r="N182" s="1521"/>
      <c r="O182" s="1638">
        <f>+VLOOKUP(B182,'Consolidate TL'!$B$8:$S$525,8,FALSE)</f>
        <v>29827.02</v>
      </c>
      <c r="P182" s="1521"/>
      <c r="Q182" s="1521"/>
      <c r="R182" s="1521"/>
      <c r="S182" s="698"/>
      <c r="T182" s="827"/>
      <c r="U182" s="827"/>
      <c r="V182" s="630"/>
      <c r="W182" s="699"/>
      <c r="X182" s="801"/>
      <c r="Y182" s="852"/>
      <c r="Z182" s="1522"/>
      <c r="AA182" s="1027"/>
      <c r="AB182" s="700"/>
      <c r="AC182" s="700"/>
      <c r="AD182" s="852"/>
      <c r="AE182" s="1530"/>
      <c r="AF182" s="1530"/>
      <c r="AG182" s="1373"/>
      <c r="AH182" s="704"/>
      <c r="AI182" s="1127"/>
    </row>
    <row r="183" spans="1:35" s="1403" customFormat="1" ht="45" customHeight="1" thickBot="1">
      <c r="A183" s="595"/>
      <c r="B183" s="1684" t="s">
        <v>1811</v>
      </c>
      <c r="C183" s="1619" t="s">
        <v>503</v>
      </c>
      <c r="D183" s="1620" t="s">
        <v>511</v>
      </c>
      <c r="E183" s="1621" t="str">
        <f>+VLOOKUP(B183,'Consolidate TL'!$B$17:O474,2,FALSE)</f>
        <v>LD1736036929</v>
      </c>
      <c r="F183" s="1622">
        <f>+VLOOKUP(B183,'Consolidate TL'!$B$17:L473,9,FALSE)</f>
        <v>43095</v>
      </c>
      <c r="G183" s="1622">
        <f>+VLOOKUP(B183,'Consolidate TL'!$B$17:P474,10,FALSE)</f>
        <v>44190</v>
      </c>
      <c r="H183" s="695"/>
      <c r="I183" s="1623"/>
      <c r="J183" s="1624">
        <v>0.06</v>
      </c>
      <c r="K183" s="1606" t="s">
        <v>1549</v>
      </c>
      <c r="L183" s="827">
        <f>+VLOOKUP(B183,'Consolidate TL'!$B$8:P1295,4,FALSE)</f>
        <v>2400</v>
      </c>
      <c r="M183" s="829"/>
      <c r="N183" s="1521"/>
      <c r="O183" s="1638">
        <f>+VLOOKUP(B183,'Consolidate TL'!$B$8:$S$525,8,FALSE)</f>
        <v>2277.9</v>
      </c>
      <c r="P183" s="1521"/>
      <c r="Q183" s="1521"/>
      <c r="R183" s="1521"/>
      <c r="S183" s="698"/>
      <c r="T183" s="827"/>
      <c r="U183" s="827"/>
      <c r="V183" s="630"/>
      <c r="W183" s="699"/>
      <c r="X183" s="801"/>
      <c r="Y183" s="852"/>
      <c r="Z183" s="1522"/>
      <c r="AA183" s="1027"/>
      <c r="AB183" s="700"/>
      <c r="AC183" s="700"/>
      <c r="AD183" s="852"/>
      <c r="AE183" s="1530"/>
      <c r="AF183" s="1530"/>
      <c r="AG183" s="1373"/>
      <c r="AH183" s="704"/>
      <c r="AI183" s="1127"/>
    </row>
    <row r="184" spans="1:35" s="1403" customFormat="1" ht="45" customHeight="1" thickBot="1">
      <c r="A184" s="595"/>
      <c r="B184" s="1684" t="s">
        <v>1810</v>
      </c>
      <c r="C184" s="1619" t="s">
        <v>503</v>
      </c>
      <c r="D184" s="1620" t="s">
        <v>511</v>
      </c>
      <c r="E184" s="1621" t="str">
        <f>+VLOOKUP(B184,'Consolidate TL'!$B$17:O475,2,FALSE)</f>
        <v>LD1736145013</v>
      </c>
      <c r="F184" s="1622">
        <f>+VLOOKUP(B184,'Consolidate TL'!$B$17:L474,9,FALSE)</f>
        <v>43096</v>
      </c>
      <c r="G184" s="1622">
        <f>+VLOOKUP(B184,'Consolidate TL'!$B$17:P475,10,FALSE)</f>
        <v>48575</v>
      </c>
      <c r="H184" s="695"/>
      <c r="I184" s="1623"/>
      <c r="J184" s="1624">
        <v>7.4999999999999997E-2</v>
      </c>
      <c r="K184" s="1606" t="s">
        <v>1821</v>
      </c>
      <c r="L184" s="827">
        <f>+VLOOKUP(B184,'Consolidate TL'!$B$8:P1296,4,FALSE)</f>
        <v>50000</v>
      </c>
      <c r="M184" s="829"/>
      <c r="N184" s="1521"/>
      <c r="O184" s="1638">
        <f>+VLOOKUP(B184,'Consolidate TL'!$B$8:$S$525,8,FALSE)</f>
        <v>49711.73</v>
      </c>
      <c r="P184" s="1521"/>
      <c r="Q184" s="1521"/>
      <c r="R184" s="1521"/>
      <c r="S184" s="698"/>
      <c r="T184" s="827"/>
      <c r="U184" s="827"/>
      <c r="V184" s="630"/>
      <c r="W184" s="699"/>
      <c r="X184" s="801"/>
      <c r="Y184" s="852"/>
      <c r="Z184" s="1522"/>
      <c r="AA184" s="1027"/>
      <c r="AB184" s="700"/>
      <c r="AC184" s="700"/>
      <c r="AD184" s="852"/>
      <c r="AE184" s="1530"/>
      <c r="AF184" s="1530"/>
      <c r="AG184" s="1373"/>
      <c r="AH184" s="704"/>
      <c r="AI184" s="1127"/>
    </row>
    <row r="185" spans="1:35" s="1403" customFormat="1" ht="45" customHeight="1" thickBot="1">
      <c r="A185" s="595"/>
      <c r="B185" s="1685" t="s">
        <v>1822</v>
      </c>
      <c r="C185" s="1619" t="s">
        <v>503</v>
      </c>
      <c r="D185" s="1620" t="s">
        <v>511</v>
      </c>
      <c r="E185" s="1621" t="str">
        <f>+VLOOKUP(B185,'Consolidate TL'!$B$17:O476,2,FALSE)</f>
        <v>LD1801599270</v>
      </c>
      <c r="F185" s="1622">
        <f>+VLOOKUP(B185,'Consolidate TL'!$B$17:L475,9,FALSE)</f>
        <v>43115</v>
      </c>
      <c r="G185" s="1622">
        <f>+VLOOKUP(B185,'Consolidate TL'!$B$17:P476,10,FALSE)</f>
        <v>12059</v>
      </c>
      <c r="H185" s="695"/>
      <c r="I185" s="1623"/>
      <c r="J185" s="1624">
        <v>8.5000000000000006E-2</v>
      </c>
      <c r="K185" s="1606" t="s">
        <v>1550</v>
      </c>
      <c r="L185" s="827">
        <f>+VLOOKUP(B185,'Consolidate TL'!$B$8:P1297,4,FALSE)</f>
        <v>35280</v>
      </c>
      <c r="M185" s="829"/>
      <c r="N185" s="1521"/>
      <c r="O185" s="1638">
        <f>+VLOOKUP(B185,'Consolidate TL'!$B$8:$S$525,8,FALSE)</f>
        <v>35188.32</v>
      </c>
      <c r="P185" s="1521"/>
      <c r="Q185" s="1521"/>
      <c r="R185" s="1521"/>
      <c r="S185" s="698"/>
      <c r="T185" s="827"/>
      <c r="U185" s="827"/>
      <c r="V185" s="630"/>
      <c r="W185" s="699"/>
      <c r="X185" s="801"/>
      <c r="Y185" s="852"/>
      <c r="Z185" s="1522"/>
      <c r="AA185" s="1027"/>
      <c r="AB185" s="700"/>
      <c r="AC185" s="700"/>
      <c r="AD185" s="852"/>
      <c r="AE185" s="1530"/>
      <c r="AF185" s="1530"/>
      <c r="AG185" s="1373"/>
      <c r="AH185" s="704"/>
      <c r="AI185" s="1127"/>
    </row>
    <row r="186" spans="1:35" s="1403" customFormat="1" ht="45" customHeight="1" thickBot="1">
      <c r="A186" s="595"/>
      <c r="B186" s="1685" t="s">
        <v>1823</v>
      </c>
      <c r="C186" s="1619" t="s">
        <v>503</v>
      </c>
      <c r="D186" s="1620" t="s">
        <v>511</v>
      </c>
      <c r="E186" s="1621" t="str">
        <f>+VLOOKUP(B186,'Consolidate TL'!$B$17:O477,2,FALSE)</f>
        <v>LD1801601357</v>
      </c>
      <c r="F186" s="1622">
        <f>+VLOOKUP(B186,'Consolidate TL'!$B$17:L476,9,FALSE)</f>
        <v>43116</v>
      </c>
      <c r="G186" s="1622">
        <f>+VLOOKUP(B186,'Consolidate TL'!$B$17:P477,10,FALSE)</f>
        <v>46758</v>
      </c>
      <c r="H186" s="695"/>
      <c r="I186" s="1623"/>
      <c r="J186" s="1624">
        <v>7.4999999999999997E-2</v>
      </c>
      <c r="K186" s="1606" t="s">
        <v>1821</v>
      </c>
      <c r="L186" s="827">
        <f>+VLOOKUP(B186,'Consolidate TL'!$B$8:P1298,4,FALSE)</f>
        <v>30900</v>
      </c>
      <c r="M186" s="829"/>
      <c r="N186" s="1521"/>
      <c r="O186" s="1638">
        <f>+VLOOKUP(B186,'Consolidate TL'!$B$8:$S$525,8,FALSE)</f>
        <v>30731.07</v>
      </c>
      <c r="P186" s="1521"/>
      <c r="Q186" s="1521"/>
      <c r="R186" s="1521"/>
      <c r="S186" s="698"/>
      <c r="T186" s="827"/>
      <c r="U186" s="827"/>
      <c r="V186" s="630"/>
      <c r="W186" s="699"/>
      <c r="X186" s="801"/>
      <c r="Y186" s="852"/>
      <c r="Z186" s="1522"/>
      <c r="AA186" s="1027"/>
      <c r="AB186" s="700"/>
      <c r="AC186" s="700"/>
      <c r="AD186" s="852"/>
      <c r="AE186" s="1530"/>
      <c r="AF186" s="1530"/>
      <c r="AG186" s="1373"/>
      <c r="AH186" s="704"/>
      <c r="AI186" s="1127"/>
    </row>
    <row r="187" spans="1:35" s="1403" customFormat="1" ht="45" customHeight="1" thickBot="1">
      <c r="A187" s="595"/>
      <c r="B187" s="1685" t="s">
        <v>1824</v>
      </c>
      <c r="C187" s="1619" t="s">
        <v>503</v>
      </c>
      <c r="D187" s="1620" t="s">
        <v>511</v>
      </c>
      <c r="E187" s="1621" t="str">
        <f>+VLOOKUP(B187,'Consolidate TL'!$B$17:O478,2,FALSE)</f>
        <v>LD1802900567</v>
      </c>
      <c r="F187" s="1622">
        <f>+VLOOKUP(B187,'Consolidate TL'!$B$17:L477,9,FALSE)</f>
        <v>43129</v>
      </c>
      <c r="G187" s="1622">
        <f>+VLOOKUP(B187,'Consolidate TL'!$B$17:P478,10,FALSE)</f>
        <v>12063</v>
      </c>
      <c r="H187" s="695"/>
      <c r="I187" s="1623"/>
      <c r="J187" s="1624">
        <v>7.4999999999999997E-2</v>
      </c>
      <c r="K187" s="1606" t="s">
        <v>1821</v>
      </c>
      <c r="L187" s="827">
        <f>+VLOOKUP(B187,'Consolidate TL'!$B$8:P1299,4,FALSE)</f>
        <v>82600</v>
      </c>
      <c r="M187" s="829"/>
      <c r="N187" s="1521"/>
      <c r="O187" s="1638">
        <f>+VLOOKUP(B187,'Consolidate TL'!$B$8:$S$525,8,FALSE)</f>
        <v>82345.539999999994</v>
      </c>
      <c r="P187" s="1521"/>
      <c r="Q187" s="1521"/>
      <c r="R187" s="1521"/>
      <c r="S187" s="698"/>
      <c r="T187" s="827"/>
      <c r="U187" s="827"/>
      <c r="V187" s="630"/>
      <c r="W187" s="699"/>
      <c r="X187" s="801"/>
      <c r="Y187" s="852"/>
      <c r="Z187" s="1522"/>
      <c r="AA187" s="1027"/>
      <c r="AB187" s="700"/>
      <c r="AC187" s="700"/>
      <c r="AD187" s="852"/>
      <c r="AE187" s="1530"/>
      <c r="AF187" s="1530"/>
      <c r="AG187" s="1373"/>
      <c r="AH187" s="704"/>
      <c r="AI187" s="1127"/>
    </row>
    <row r="188" spans="1:35" s="1403" customFormat="1" ht="45" customHeight="1" thickBot="1">
      <c r="A188" s="595"/>
      <c r="B188" s="1685" t="s">
        <v>1825</v>
      </c>
      <c r="C188" s="1619" t="s">
        <v>503</v>
      </c>
      <c r="D188" s="1620" t="s">
        <v>511</v>
      </c>
      <c r="E188" s="1621" t="str">
        <f>+VLOOKUP(B188,'Consolidate TL'!$B$17:O479,2,FALSE)</f>
        <v>LD1802940877</v>
      </c>
      <c r="F188" s="1622">
        <f>+VLOOKUP(B188,'Consolidate TL'!$B$17:L478,9,FALSE)</f>
        <v>43129</v>
      </c>
      <c r="G188" s="1622">
        <f>+VLOOKUP(B188,'Consolidate TL'!$B$17:P479,10,FALSE)</f>
        <v>12063</v>
      </c>
      <c r="H188" s="695"/>
      <c r="I188" s="1623"/>
      <c r="J188" s="1624">
        <v>7.4999999999999997E-2</v>
      </c>
      <c r="K188" s="1606" t="s">
        <v>1821</v>
      </c>
      <c r="L188" s="827">
        <f>+VLOOKUP(B188,'Consolidate TL'!$B$8:P1300,4,FALSE)</f>
        <v>50000</v>
      </c>
      <c r="M188" s="829"/>
      <c r="N188" s="1521"/>
      <c r="O188" s="1638">
        <f>+VLOOKUP(B188,'Consolidate TL'!$B$8:$S$525,8,FALSE)</f>
        <v>49722.23</v>
      </c>
      <c r="P188" s="1521"/>
      <c r="Q188" s="1521"/>
      <c r="R188" s="1521"/>
      <c r="S188" s="698"/>
      <c r="T188" s="827"/>
      <c r="U188" s="827"/>
      <c r="V188" s="630"/>
      <c r="W188" s="699"/>
      <c r="X188" s="801"/>
      <c r="Y188" s="852"/>
      <c r="Z188" s="1522"/>
      <c r="AA188" s="1027"/>
      <c r="AB188" s="700"/>
      <c r="AC188" s="700"/>
      <c r="AD188" s="852"/>
      <c r="AE188" s="1530"/>
      <c r="AF188" s="1530"/>
      <c r="AG188" s="1373"/>
      <c r="AH188" s="704"/>
      <c r="AI188" s="1127"/>
    </row>
    <row r="189" spans="1:35" s="1403" customFormat="1" ht="45" customHeight="1" thickBot="1">
      <c r="A189" s="595"/>
      <c r="B189" s="1685" t="s">
        <v>1826</v>
      </c>
      <c r="C189" s="1619" t="s">
        <v>503</v>
      </c>
      <c r="D189" s="1620" t="s">
        <v>511</v>
      </c>
      <c r="E189" s="1621" t="str">
        <f>+VLOOKUP(B189,'Consolidate TL'!$B$17:O480,2,FALSE)</f>
        <v>LD1802957420</v>
      </c>
      <c r="F189" s="1622">
        <f>+VLOOKUP(B189,'Consolidate TL'!$B$17:L479,9,FALSE)</f>
        <v>43129</v>
      </c>
      <c r="G189" s="1622">
        <f>+VLOOKUP(B189,'Consolidate TL'!$B$17:P480,10,FALSE)</f>
        <v>46761</v>
      </c>
      <c r="H189" s="695"/>
      <c r="I189" s="1623"/>
      <c r="J189" s="1624">
        <v>8.5000000000000006E-2</v>
      </c>
      <c r="K189" s="1606" t="s">
        <v>1550</v>
      </c>
      <c r="L189" s="827">
        <f>+VLOOKUP(B189,'Consolidate TL'!$B$8:P1301,4,FALSE)</f>
        <v>37000</v>
      </c>
      <c r="M189" s="829"/>
      <c r="N189" s="1521"/>
      <c r="O189" s="1638">
        <f>+VLOOKUP(B189,'Consolidate TL'!$B$8:$S$525,8,FALSE)</f>
        <v>36800.980000000003</v>
      </c>
      <c r="P189" s="1521"/>
      <c r="Q189" s="1521"/>
      <c r="R189" s="1521"/>
      <c r="S189" s="698"/>
      <c r="T189" s="827"/>
      <c r="U189" s="827"/>
      <c r="V189" s="630"/>
      <c r="W189" s="699"/>
      <c r="X189" s="801"/>
      <c r="Y189" s="852"/>
      <c r="Z189" s="1522"/>
      <c r="AA189" s="1027"/>
      <c r="AB189" s="700"/>
      <c r="AC189" s="700"/>
      <c r="AD189" s="852"/>
      <c r="AE189" s="1530"/>
      <c r="AF189" s="1530"/>
      <c r="AG189" s="1373"/>
      <c r="AH189" s="704"/>
      <c r="AI189" s="1127"/>
    </row>
    <row r="190" spans="1:35" s="1403" customFormat="1" ht="45" customHeight="1" thickBot="1">
      <c r="A190" s="595"/>
      <c r="B190" s="1684" t="s">
        <v>1827</v>
      </c>
      <c r="C190" s="1619" t="s">
        <v>503</v>
      </c>
      <c r="D190" s="1620" t="s">
        <v>511</v>
      </c>
      <c r="E190" s="1621" t="str">
        <f>+VLOOKUP(B190,'Consolidate TL'!$B$17:O481,2,FALSE)</f>
        <v>LD1803052816</v>
      </c>
      <c r="F190" s="1622">
        <f>+VLOOKUP(B190,'Consolidate TL'!$B$17:L480,9,FALSE)</f>
        <v>43130</v>
      </c>
      <c r="G190" s="1622">
        <f>+VLOOKUP(B190,'Consolidate TL'!$B$17:P481,10,FALSE)</f>
        <v>48609</v>
      </c>
      <c r="H190" s="695"/>
      <c r="I190" s="1623"/>
      <c r="J190" s="1624">
        <v>7.4999999999999997E-2</v>
      </c>
      <c r="K190" s="1606" t="s">
        <v>1550</v>
      </c>
      <c r="L190" s="827">
        <f>+VLOOKUP(B190,'Consolidate TL'!$B$8:P1302,4,FALSE)</f>
        <v>40000</v>
      </c>
      <c r="M190" s="829"/>
      <c r="N190" s="1521"/>
      <c r="O190" s="1638">
        <f>+VLOOKUP(B190,'Consolidate TL'!$B$8:$S$525,8,FALSE)</f>
        <v>39868.449999999997</v>
      </c>
      <c r="P190" s="1521"/>
      <c r="Q190" s="1521"/>
      <c r="R190" s="1521"/>
      <c r="S190" s="698"/>
      <c r="T190" s="827"/>
      <c r="U190" s="827"/>
      <c r="V190" s="630"/>
      <c r="W190" s="699"/>
      <c r="X190" s="801"/>
      <c r="Y190" s="852"/>
      <c r="Z190" s="1522"/>
      <c r="AA190" s="1027"/>
      <c r="AB190" s="700"/>
      <c r="AC190" s="700"/>
      <c r="AD190" s="852"/>
      <c r="AE190" s="1530"/>
      <c r="AF190" s="1530"/>
      <c r="AG190" s="1373"/>
      <c r="AH190" s="704"/>
      <c r="AI190" s="1127"/>
    </row>
    <row r="191" spans="1:35" s="1403" customFormat="1" ht="45" customHeight="1" thickBot="1">
      <c r="A191" s="595"/>
      <c r="B191" s="1692" t="s">
        <v>1835</v>
      </c>
      <c r="C191" s="1619" t="s">
        <v>503</v>
      </c>
      <c r="D191" s="1620" t="s">
        <v>511</v>
      </c>
      <c r="E191" s="1621" t="str">
        <f>+VLOOKUP(B191,'Consolidate TL'!$B$17:O482,2,FALSE)</f>
        <v>LD1803360676</v>
      </c>
      <c r="F191" s="1622">
        <f>+VLOOKUP(B191,'Consolidate TL'!$B$17:L481,9,FALSE)</f>
        <v>43133</v>
      </c>
      <c r="G191" s="1622">
        <f>+VLOOKUP(B191,'Consolidate TL'!$B$17:P482,10,FALSE)</f>
        <v>48612</v>
      </c>
      <c r="H191" s="695"/>
      <c r="I191" s="1623"/>
      <c r="J191" s="1624">
        <v>6.5000000000000002E-2</v>
      </c>
      <c r="K191" s="1606" t="s">
        <v>1821</v>
      </c>
      <c r="L191" s="827">
        <f>+VLOOKUP(B191,'Consolidate TL'!$B$8:P1303,4,FALSE)</f>
        <v>70000</v>
      </c>
      <c r="M191" s="829"/>
      <c r="N191" s="1521"/>
      <c r="O191" s="1638">
        <f>+VLOOKUP(B191,'Consolidate TL'!$B$8:$S$525,8,FALSE)</f>
        <v>70000</v>
      </c>
      <c r="P191" s="1521"/>
      <c r="Q191" s="1521"/>
      <c r="R191" s="1521"/>
      <c r="S191" s="698"/>
      <c r="T191" s="827"/>
      <c r="U191" s="827"/>
      <c r="V191" s="630"/>
      <c r="W191" s="699"/>
      <c r="X191" s="801"/>
      <c r="Y191" s="852"/>
      <c r="Z191" s="1522"/>
      <c r="AA191" s="1027"/>
      <c r="AB191" s="700"/>
      <c r="AC191" s="700"/>
      <c r="AD191" s="852"/>
      <c r="AE191" s="1530"/>
      <c r="AF191" s="1530"/>
      <c r="AG191" s="1373"/>
      <c r="AH191" s="704"/>
      <c r="AI191" s="1127"/>
    </row>
    <row r="192" spans="1:35" s="1403" customFormat="1" ht="45" customHeight="1" thickBot="1">
      <c r="A192" s="595"/>
      <c r="B192" s="1692" t="s">
        <v>1836</v>
      </c>
      <c r="C192" s="1619" t="s">
        <v>503</v>
      </c>
      <c r="D192" s="1620" t="s">
        <v>511</v>
      </c>
      <c r="E192" s="1621" t="str">
        <f>+VLOOKUP(B192,'Consolidate TL'!$B$17:O483,2,FALSE)</f>
        <v>LD1803605585</v>
      </c>
      <c r="F192" s="1622">
        <f>+VLOOKUP(B192,'Consolidate TL'!$B$17:L482,9,FALSE)</f>
        <v>43136</v>
      </c>
      <c r="G192" s="1622">
        <f>+VLOOKUP(B192,'Consolidate TL'!$B$17:P483,10,FALSE)</f>
        <v>46788</v>
      </c>
      <c r="H192" s="695"/>
      <c r="I192" s="1623"/>
      <c r="J192" s="1624">
        <v>7.4999999999999997E-2</v>
      </c>
      <c r="K192" s="1606" t="s">
        <v>1821</v>
      </c>
      <c r="L192" s="827">
        <f>+VLOOKUP(B192,'Consolidate TL'!$B$8:P1304,4,FALSE)</f>
        <v>20000</v>
      </c>
      <c r="M192" s="829"/>
      <c r="N192" s="1521"/>
      <c r="O192" s="1638">
        <f>+VLOOKUP(B192,'Consolidate TL'!$B$8:$S$525,8,FALSE)</f>
        <v>20000</v>
      </c>
      <c r="P192" s="1521"/>
      <c r="Q192" s="1521"/>
      <c r="R192" s="1521"/>
      <c r="S192" s="698"/>
      <c r="T192" s="827"/>
      <c r="U192" s="827"/>
      <c r="V192" s="630"/>
      <c r="W192" s="699"/>
      <c r="X192" s="801"/>
      <c r="Y192" s="852"/>
      <c r="Z192" s="1522"/>
      <c r="AA192" s="1027"/>
      <c r="AB192" s="700"/>
      <c r="AC192" s="700"/>
      <c r="AD192" s="852"/>
      <c r="AE192" s="1530"/>
      <c r="AF192" s="1530"/>
      <c r="AG192" s="1373"/>
      <c r="AH192" s="704"/>
      <c r="AI192" s="1127"/>
    </row>
    <row r="193" spans="1:35" s="1403" customFormat="1" ht="45" customHeight="1" thickBot="1">
      <c r="A193" s="595"/>
      <c r="B193" s="1692" t="s">
        <v>1837</v>
      </c>
      <c r="C193" s="1619" t="s">
        <v>503</v>
      </c>
      <c r="D193" s="1620" t="s">
        <v>511</v>
      </c>
      <c r="E193" s="1621" t="str">
        <f>+VLOOKUP(B193,'Consolidate TL'!$B$17:O484,2,FALSE)</f>
        <v>LD1803667611</v>
      </c>
      <c r="F193" s="1622">
        <f>+VLOOKUP(B193,'Consolidate TL'!$B$17:L483,9,FALSE)</f>
        <v>43136</v>
      </c>
      <c r="G193" s="1622">
        <f>+VLOOKUP(B193,'Consolidate TL'!$B$17:P484,10,FALSE)</f>
        <v>48615</v>
      </c>
      <c r="H193" s="695"/>
      <c r="I193" s="1623"/>
      <c r="J193" s="1624">
        <v>9.5000000000000001E-2</v>
      </c>
      <c r="K193" s="1606" t="s">
        <v>1821</v>
      </c>
      <c r="L193" s="827">
        <f>+VLOOKUP(B193,'Consolidate TL'!$B$8:P1305,4,FALSE)</f>
        <v>82680</v>
      </c>
      <c r="M193" s="829"/>
      <c r="N193" s="1521"/>
      <c r="O193" s="1638">
        <f>+VLOOKUP(B193,'Consolidate TL'!$B$8:$S$525,8,FALSE)</f>
        <v>82680</v>
      </c>
      <c r="P193" s="1521"/>
      <c r="Q193" s="1521"/>
      <c r="R193" s="1521"/>
      <c r="S193" s="698"/>
      <c r="T193" s="827"/>
      <c r="U193" s="827"/>
      <c r="V193" s="630"/>
      <c r="W193" s="699"/>
      <c r="X193" s="801"/>
      <c r="Y193" s="852"/>
      <c r="Z193" s="1522"/>
      <c r="AA193" s="1027"/>
      <c r="AB193" s="700"/>
      <c r="AC193" s="700"/>
      <c r="AD193" s="852"/>
      <c r="AE193" s="1530"/>
      <c r="AF193" s="1530"/>
      <c r="AG193" s="1373"/>
      <c r="AH193" s="704"/>
      <c r="AI193" s="1127"/>
    </row>
    <row r="194" spans="1:35" s="1403" customFormat="1" ht="45" customHeight="1" thickBot="1">
      <c r="A194" s="595"/>
      <c r="B194" s="1692" t="s">
        <v>1838</v>
      </c>
      <c r="C194" s="1619" t="s">
        <v>503</v>
      </c>
      <c r="D194" s="1620" t="s">
        <v>511</v>
      </c>
      <c r="E194" s="1621" t="str">
        <f>+VLOOKUP(B194,'Consolidate TL'!$B$17:O485,2,FALSE)</f>
        <v>LD1804389003</v>
      </c>
      <c r="F194" s="1622">
        <f>+VLOOKUP(B194,'Consolidate TL'!$B$17:L484,9,FALSE)</f>
        <v>43143</v>
      </c>
      <c r="G194" s="1622">
        <f>+VLOOKUP(B194,'Consolidate TL'!$B$17:P485,10,FALSE)</f>
        <v>48622</v>
      </c>
      <c r="H194" s="695"/>
      <c r="I194" s="1623"/>
      <c r="J194" s="1624">
        <v>9.5000000000000001E-2</v>
      </c>
      <c r="K194" s="1606" t="s">
        <v>1821</v>
      </c>
      <c r="L194" s="827">
        <f>+VLOOKUP(B194,'Consolidate TL'!$B$8:P1306,4,FALSE)</f>
        <v>82000</v>
      </c>
      <c r="M194" s="829"/>
      <c r="N194" s="1521"/>
      <c r="O194" s="1638">
        <f>+VLOOKUP(B194,'Consolidate TL'!$B$8:$S$525,8,FALSE)</f>
        <v>82000</v>
      </c>
      <c r="P194" s="1521"/>
      <c r="Q194" s="1521"/>
      <c r="R194" s="1521"/>
      <c r="S194" s="698"/>
      <c r="T194" s="827"/>
      <c r="U194" s="827"/>
      <c r="V194" s="630"/>
      <c r="W194" s="699"/>
      <c r="X194" s="801"/>
      <c r="Y194" s="852"/>
      <c r="Z194" s="1522"/>
      <c r="AA194" s="1027"/>
      <c r="AB194" s="700"/>
      <c r="AC194" s="700"/>
      <c r="AD194" s="852"/>
      <c r="AE194" s="1530"/>
      <c r="AF194" s="1530"/>
      <c r="AG194" s="1373"/>
      <c r="AH194" s="704"/>
      <c r="AI194" s="1127"/>
    </row>
    <row r="195" spans="1:35" s="1403" customFormat="1" ht="45" customHeight="1" thickBot="1">
      <c r="A195" s="595"/>
      <c r="B195" s="1692" t="s">
        <v>1839</v>
      </c>
      <c r="C195" s="1619" t="s">
        <v>503</v>
      </c>
      <c r="D195" s="1620" t="s">
        <v>511</v>
      </c>
      <c r="E195" s="1621" t="str">
        <f>+VLOOKUP(B195,'Consolidate TL'!$B$17:O486,2,FALSE)</f>
        <v>LD1804533758</v>
      </c>
      <c r="F195" s="1622">
        <f>+VLOOKUP(B195,'Consolidate TL'!$B$17:L485,9,FALSE)</f>
        <v>43145</v>
      </c>
      <c r="G195" s="1622">
        <f>+VLOOKUP(B195,'Consolidate TL'!$B$17:P486,10,FALSE)</f>
        <v>48624</v>
      </c>
      <c r="H195" s="695"/>
      <c r="I195" s="1623"/>
      <c r="J195" s="1624">
        <v>7.4999999999999997E-2</v>
      </c>
      <c r="K195" s="1606" t="s">
        <v>1821</v>
      </c>
      <c r="L195" s="827">
        <f>+VLOOKUP(B195,'Consolidate TL'!$B$8:P1307,4,FALSE)</f>
        <v>45000</v>
      </c>
      <c r="M195" s="829"/>
      <c r="N195" s="1521"/>
      <c r="O195" s="1638">
        <f>+VLOOKUP(B195,'Consolidate TL'!$B$8:$S$525,8,FALSE)</f>
        <v>45000</v>
      </c>
      <c r="P195" s="1521"/>
      <c r="Q195" s="1521"/>
      <c r="R195" s="1521"/>
      <c r="S195" s="698"/>
      <c r="T195" s="827"/>
      <c r="U195" s="827"/>
      <c r="V195" s="630"/>
      <c r="W195" s="699"/>
      <c r="X195" s="801"/>
      <c r="Y195" s="852"/>
      <c r="Z195" s="1522"/>
      <c r="AA195" s="1027"/>
      <c r="AB195" s="700"/>
      <c r="AC195" s="700"/>
      <c r="AD195" s="852"/>
      <c r="AE195" s="1530"/>
      <c r="AF195" s="1530"/>
      <c r="AG195" s="1373"/>
      <c r="AH195" s="704"/>
      <c r="AI195" s="1127"/>
    </row>
    <row r="196" spans="1:35" s="1403" customFormat="1" ht="45" customHeight="1" thickBot="1">
      <c r="A196" s="595"/>
      <c r="B196" s="1692" t="s">
        <v>1840</v>
      </c>
      <c r="C196" s="1619" t="s">
        <v>503</v>
      </c>
      <c r="D196" s="1620" t="s">
        <v>511</v>
      </c>
      <c r="E196" s="1621" t="str">
        <f>+VLOOKUP(B196,'Consolidate TL'!$B$17:O487,2,FALSE)</f>
        <v>LD1805287587</v>
      </c>
      <c r="F196" s="1622">
        <f>+VLOOKUP(B196,'Consolidate TL'!$B$17:L486,9,FALSE)</f>
        <v>43152</v>
      </c>
      <c r="G196" s="1622">
        <f>+VLOOKUP(B196,'Consolidate TL'!$B$17:P487,10,FALSE)</f>
        <v>12106</v>
      </c>
      <c r="H196" s="695"/>
      <c r="I196" s="1623"/>
      <c r="J196" s="1624">
        <v>9.5000000000000001E-2</v>
      </c>
      <c r="K196" s="1606" t="s">
        <v>1821</v>
      </c>
      <c r="L196" s="827">
        <f>+VLOOKUP(B196,'Consolidate TL'!$B$8:P1308,4,FALSE)</f>
        <v>59000</v>
      </c>
      <c r="M196" s="829"/>
      <c r="N196" s="1521"/>
      <c r="O196" s="1638">
        <f>+VLOOKUP(B196,'Consolidate TL'!$B$8:$S$525,8,FALSE)</f>
        <v>59000</v>
      </c>
      <c r="P196" s="1521"/>
      <c r="Q196" s="1521"/>
      <c r="R196" s="1521"/>
      <c r="S196" s="698"/>
      <c r="T196" s="827"/>
      <c r="U196" s="827"/>
      <c r="V196" s="630"/>
      <c r="W196" s="699"/>
      <c r="X196" s="801"/>
      <c r="Y196" s="852"/>
      <c r="Z196" s="1522"/>
      <c r="AA196" s="1027"/>
      <c r="AB196" s="700"/>
      <c r="AC196" s="700"/>
      <c r="AD196" s="852"/>
      <c r="AE196" s="1530"/>
      <c r="AF196" s="1530"/>
      <c r="AG196" s="1373"/>
      <c r="AH196" s="704"/>
      <c r="AI196" s="1127"/>
    </row>
    <row r="197" spans="1:35" s="1403" customFormat="1" ht="45" customHeight="1" thickBot="1">
      <c r="A197" s="595"/>
      <c r="B197" s="1692" t="s">
        <v>1841</v>
      </c>
      <c r="C197" s="1619" t="s">
        <v>503</v>
      </c>
      <c r="D197" s="1620" t="s">
        <v>511</v>
      </c>
      <c r="E197" s="1621" t="str">
        <f>+VLOOKUP(B197,'Consolidate TL'!$B$17:O488,2,FALSE)</f>
        <v>LD1805318205</v>
      </c>
      <c r="F197" s="1622">
        <f>+VLOOKUP(B197,'Consolidate TL'!$B$17:L487,9,FALSE)</f>
        <v>43153</v>
      </c>
      <c r="G197" s="1622">
        <f>+VLOOKUP(B197,'Consolidate TL'!$B$17:P488,10,FALSE)</f>
        <v>48632</v>
      </c>
      <c r="H197" s="695"/>
      <c r="I197" s="1623"/>
      <c r="J197" s="1624">
        <v>7.4999999999999997E-2</v>
      </c>
      <c r="K197" s="1606" t="s">
        <v>1821</v>
      </c>
      <c r="L197" s="827">
        <f>+VLOOKUP(B197,'Consolidate TL'!$B$8:P1309,4,FALSE)</f>
        <v>36000</v>
      </c>
      <c r="M197" s="829"/>
      <c r="N197" s="1521"/>
      <c r="O197" s="1638">
        <f>+VLOOKUP(B197,'Consolidate TL'!$B$8:$S$525,8,FALSE)</f>
        <v>36000</v>
      </c>
      <c r="P197" s="1521"/>
      <c r="Q197" s="1521"/>
      <c r="R197" s="1521"/>
      <c r="S197" s="698"/>
      <c r="T197" s="827"/>
      <c r="U197" s="827"/>
      <c r="V197" s="630"/>
      <c r="W197" s="699"/>
      <c r="X197" s="801"/>
      <c r="Y197" s="852"/>
      <c r="Z197" s="1522"/>
      <c r="AA197" s="1027"/>
      <c r="AB197" s="700"/>
      <c r="AC197" s="700"/>
      <c r="AD197" s="852"/>
      <c r="AE197" s="1530"/>
      <c r="AF197" s="1530"/>
      <c r="AG197" s="1373"/>
      <c r="AH197" s="704"/>
      <c r="AI197" s="1127"/>
    </row>
    <row r="198" spans="1:35" s="1403" customFormat="1" ht="45" customHeight="1" thickBot="1">
      <c r="A198" s="595"/>
      <c r="B198" s="1692" t="s">
        <v>1850</v>
      </c>
      <c r="C198" s="1619" t="s">
        <v>503</v>
      </c>
      <c r="D198" s="1620" t="s">
        <v>511</v>
      </c>
      <c r="E198" s="1621" t="str">
        <f>+VLOOKUP(B198,'Consolidate TL'!$B$17:O489,2,FALSE)</f>
        <v>LD1804593099</v>
      </c>
      <c r="F198" s="1622">
        <f>+VLOOKUP(B198,'Consolidate TL'!$B$17:L488,9,FALSE)</f>
        <v>43145</v>
      </c>
      <c r="G198" s="1622">
        <f>+VLOOKUP(B198,'Consolidate TL'!$B$17:P489,10,FALSE)</f>
        <v>45336</v>
      </c>
      <c r="H198" s="695"/>
      <c r="I198" s="1623"/>
      <c r="J198" s="1624">
        <v>9.5000000000000001E-2</v>
      </c>
      <c r="K198" s="1606" t="s">
        <v>1821</v>
      </c>
      <c r="L198" s="827">
        <f>+VLOOKUP(B198,'Consolidate TL'!$B$8:P1310,4,FALSE)</f>
        <v>65000</v>
      </c>
      <c r="M198" s="829"/>
      <c r="N198" s="1521"/>
      <c r="O198" s="1638">
        <f>+VLOOKUP(B198,'Consolidate TL'!$B$8:$S$525,8,FALSE)</f>
        <v>52018.57</v>
      </c>
      <c r="P198" s="1521"/>
      <c r="Q198" s="1521"/>
      <c r="R198" s="1521"/>
      <c r="S198" s="698"/>
      <c r="T198" s="827"/>
      <c r="U198" s="827"/>
      <c r="V198" s="630"/>
      <c r="W198" s="699"/>
      <c r="X198" s="801"/>
      <c r="Y198" s="852"/>
      <c r="Z198" s="1522"/>
      <c r="AA198" s="1027"/>
      <c r="AB198" s="700"/>
      <c r="AC198" s="700"/>
      <c r="AD198" s="852"/>
      <c r="AE198" s="1530"/>
      <c r="AF198" s="1530"/>
      <c r="AG198" s="1373"/>
      <c r="AH198" s="704"/>
      <c r="AI198" s="1127"/>
    </row>
    <row r="199" spans="1:35" s="508" customFormat="1" ht="30.75" customHeight="1" thickBot="1">
      <c r="A199" s="595"/>
      <c r="B199" s="1580"/>
      <c r="C199" s="1417"/>
      <c r="D199" s="693"/>
      <c r="E199" s="1439"/>
      <c r="F199" s="1440"/>
      <c r="G199" s="1441"/>
      <c r="H199" s="828"/>
      <c r="I199" s="1061"/>
      <c r="J199" s="1062" t="s">
        <v>557</v>
      </c>
      <c r="K199" s="1063"/>
      <c r="L199" s="1136">
        <f>SUM(L134:L198)</f>
        <v>3923460</v>
      </c>
      <c r="M199" s="1136">
        <f>SUM(M14:M147)</f>
        <v>48399.07</v>
      </c>
      <c r="N199" s="1136">
        <f>SUM(N14:N162)</f>
        <v>460755.21000000008</v>
      </c>
      <c r="O199" s="1136">
        <f>SUM(O150:O198)</f>
        <v>2837624.3</v>
      </c>
      <c r="P199" s="1136">
        <f>SUM(P14:P70)</f>
        <v>0</v>
      </c>
      <c r="Q199" s="1136">
        <f>SUM(Q14:Q70)</f>
        <v>0</v>
      </c>
      <c r="R199" s="1136">
        <f>SUM(R14:R70)</f>
        <v>0</v>
      </c>
      <c r="S199" s="1136" t="e">
        <f>SUM(S15:S162)</f>
        <v>#N/A</v>
      </c>
      <c r="T199" s="1136">
        <f>SUM(T14:T70)</f>
        <v>0</v>
      </c>
      <c r="U199" s="1136">
        <f>SUM(U14:U70)</f>
        <v>0</v>
      </c>
      <c r="V199" s="1136" t="e">
        <f>SUM(V14:V162)</f>
        <v>#N/A</v>
      </c>
      <c r="W199" s="1136">
        <v>0</v>
      </c>
      <c r="X199" s="1136">
        <f>SUM(W199)</f>
        <v>0</v>
      </c>
      <c r="Y199" s="852"/>
      <c r="Z199" s="1053"/>
      <c r="AA199" s="1027"/>
      <c r="AB199" s="1053"/>
      <c r="AC199" s="1053"/>
      <c r="AD199" s="1064"/>
      <c r="AE199" s="1064"/>
      <c r="AF199" s="1064"/>
      <c r="AG199" s="1064"/>
      <c r="AH199" s="1053"/>
      <c r="AI199" s="1127"/>
    </row>
    <row r="200" spans="1:35" s="450" customFormat="1" ht="15.75" thickBot="1">
      <c r="A200" s="595"/>
      <c r="B200" s="1065"/>
      <c r="C200" s="1065"/>
      <c r="D200" s="1065"/>
      <c r="E200" s="628"/>
      <c r="F200" s="621"/>
      <c r="G200" s="621"/>
      <c r="H200" s="594"/>
      <c r="I200" s="608"/>
      <c r="J200" s="1066"/>
      <c r="K200" s="608"/>
      <c r="L200" s="613"/>
      <c r="M200" s="613"/>
      <c r="N200" s="608"/>
      <c r="O200" s="622"/>
      <c r="P200" s="608"/>
      <c r="Q200" s="1067"/>
      <c r="R200" s="622"/>
      <c r="S200" s="622"/>
      <c r="T200" s="624"/>
      <c r="U200" s="624"/>
      <c r="V200" s="1199"/>
      <c r="W200" s="613"/>
      <c r="X200" s="613"/>
      <c r="Y200" s="646"/>
      <c r="Z200" s="646"/>
      <c r="AA200" s="646"/>
      <c r="AB200" s="1068"/>
      <c r="AC200" s="646"/>
      <c r="AD200" s="608"/>
      <c r="AE200" s="608"/>
      <c r="AF200" s="608"/>
      <c r="AG200" s="602"/>
      <c r="AH200" s="646"/>
      <c r="AI200" s="646"/>
    </row>
    <row r="201" spans="1:35" s="450" customFormat="1" ht="15.75" thickBot="1">
      <c r="A201" s="617" t="s">
        <v>69</v>
      </c>
      <c r="B201" s="616"/>
      <c r="C201" s="615"/>
      <c r="D201" s="468"/>
      <c r="E201" s="234"/>
      <c r="F201" s="18"/>
      <c r="G201" s="18"/>
      <c r="H201" s="583"/>
      <c r="I201" s="21"/>
      <c r="J201" s="945"/>
      <c r="K201" s="21"/>
      <c r="L201" s="201"/>
      <c r="M201" s="967"/>
      <c r="N201" s="966"/>
      <c r="O201" s="972"/>
      <c r="P201" s="857"/>
      <c r="Q201" s="972"/>
      <c r="R201" s="226"/>
      <c r="S201" s="226"/>
      <c r="T201" s="226"/>
      <c r="U201" s="226"/>
      <c r="V201" s="1200"/>
      <c r="W201" s="201"/>
      <c r="X201" s="201"/>
      <c r="AB201" s="429"/>
      <c r="AD201" s="21"/>
      <c r="AE201" s="21"/>
      <c r="AF201" s="21"/>
      <c r="AG201" s="211"/>
    </row>
    <row r="202" spans="1:35" s="450" customFormat="1" ht="15.75" thickBot="1">
      <c r="A202" s="1705" t="s">
        <v>497</v>
      </c>
      <c r="B202" s="1706"/>
      <c r="C202" s="1707"/>
      <c r="D202" s="21"/>
      <c r="E202" s="23"/>
      <c r="F202" s="19"/>
      <c r="G202" s="19"/>
      <c r="H202" s="583"/>
      <c r="I202" s="18"/>
      <c r="J202" s="945"/>
      <c r="K202" s="18"/>
      <c r="L202" s="539"/>
      <c r="M202" s="539"/>
      <c r="N202" s="18"/>
      <c r="O202" s="18"/>
      <c r="P202" s="209"/>
      <c r="Q202" s="330"/>
      <c r="R202" s="210"/>
      <c r="S202" s="210"/>
      <c r="T202" s="210"/>
      <c r="U202" s="210"/>
      <c r="V202" s="1201"/>
      <c r="W202" s="200"/>
      <c r="X202" s="200"/>
      <c r="AB202" s="429"/>
      <c r="AD202" s="22"/>
      <c r="AE202" s="22"/>
      <c r="AF202" s="24"/>
      <c r="AG202" s="230"/>
    </row>
    <row r="205" spans="1:35" s="1374" customFormat="1" ht="27.75" customHeight="1" thickBot="1">
      <c r="A205" s="1664"/>
      <c r="B205" s="1400"/>
      <c r="C205" s="1665"/>
      <c r="D205" s="1437"/>
      <c r="E205" s="694"/>
      <c r="F205" s="1367"/>
      <c r="G205" s="1367"/>
      <c r="H205" s="695"/>
      <c r="I205" s="696"/>
      <c r="J205" s="1368"/>
      <c r="K205" s="697"/>
      <c r="L205" s="698"/>
      <c r="M205" s="801"/>
      <c r="N205" s="1369"/>
      <c r="O205" s="597"/>
      <c r="P205" s="1369"/>
      <c r="Q205" s="1369"/>
      <c r="R205" s="1369"/>
      <c r="S205" s="698"/>
      <c r="T205" s="698"/>
      <c r="U205" s="698"/>
      <c r="V205" s="630"/>
      <c r="W205" s="699"/>
      <c r="X205" s="801"/>
      <c r="Y205" s="1370"/>
      <c r="Z205" s="1436"/>
      <c r="AA205" s="1371"/>
      <c r="AB205" s="700"/>
      <c r="AC205" s="700"/>
      <c r="AD205" s="1370"/>
      <c r="AE205" s="1372"/>
      <c r="AF205" s="919"/>
      <c r="AG205" s="1373"/>
      <c r="AH205" s="704"/>
      <c r="AI205" s="1127"/>
    </row>
    <row r="206" spans="1:35" s="1374" customFormat="1" ht="27.75" customHeight="1" thickBot="1">
      <c r="A206" s="595">
        <v>2</v>
      </c>
      <c r="B206" s="1514"/>
      <c r="C206" s="1417"/>
      <c r="D206" s="693"/>
      <c r="E206" s="694"/>
      <c r="F206" s="1367"/>
      <c r="G206" s="1367"/>
      <c r="H206" s="695"/>
      <c r="I206" s="696"/>
      <c r="J206" s="1368"/>
      <c r="K206" s="697"/>
      <c r="L206" s="698"/>
      <c r="M206" s="801"/>
      <c r="N206" s="1369"/>
      <c r="O206" s="597"/>
      <c r="P206" s="1369"/>
      <c r="Q206" s="1369"/>
      <c r="R206" s="1369"/>
      <c r="S206" s="698"/>
      <c r="T206" s="698"/>
      <c r="U206" s="698"/>
      <c r="V206" s="630"/>
      <c r="W206" s="699"/>
      <c r="X206" s="801"/>
      <c r="Y206" s="1370"/>
      <c r="Z206" s="1436"/>
      <c r="AA206" s="1371"/>
      <c r="AB206" s="700"/>
      <c r="AC206" s="700"/>
      <c r="AD206" s="1370"/>
      <c r="AE206" s="1372"/>
      <c r="AF206" s="919"/>
      <c r="AG206" s="1373"/>
      <c r="AH206" s="704"/>
      <c r="AI206" s="1127"/>
    </row>
    <row r="207" spans="1:35" s="429" customFormat="1" ht="15.75" thickBot="1">
      <c r="A207" s="595"/>
      <c r="B207" s="736"/>
      <c r="C207" s="693"/>
      <c r="D207" s="693"/>
      <c r="E207" s="1025"/>
      <c r="F207" s="695"/>
      <c r="G207" s="695"/>
      <c r="H207" s="695"/>
      <c r="I207" s="696"/>
      <c r="J207" s="937"/>
      <c r="K207" s="697"/>
      <c r="L207" s="1628"/>
      <c r="M207" s="1628"/>
      <c r="N207" s="1628"/>
      <c r="O207" s="1628"/>
      <c r="P207" s="1628"/>
      <c r="Q207" s="1628"/>
      <c r="R207" s="1628"/>
      <c r="S207" s="1628"/>
      <c r="T207" s="1629"/>
      <c r="U207" s="1629"/>
      <c r="V207" s="1629"/>
      <c r="W207" s="1630"/>
      <c r="X207" s="1631"/>
      <c r="Y207" s="758"/>
      <c r="Z207" s="1024"/>
      <c r="AA207" s="756"/>
      <c r="AB207" s="700"/>
      <c r="AC207" s="700"/>
      <c r="AD207" s="701"/>
      <c r="AE207" s="702"/>
      <c r="AF207" s="757"/>
      <c r="AG207" s="703"/>
      <c r="AH207" s="704"/>
      <c r="AI207" s="919"/>
    </row>
    <row r="208" spans="1:35" s="450" customFormat="1" ht="15.75" thickBot="1">
      <c r="A208" s="26"/>
      <c r="B208" s="33"/>
      <c r="C208" s="33"/>
      <c r="D208" s="33"/>
      <c r="E208" s="27"/>
      <c r="F208" s="32"/>
      <c r="G208" s="32"/>
      <c r="H208" s="583"/>
      <c r="I208" s="18"/>
      <c r="J208" s="943" t="s">
        <v>558</v>
      </c>
      <c r="K208" s="590"/>
      <c r="L208" s="591">
        <f>L205</f>
        <v>0</v>
      </c>
      <c r="M208" s="591"/>
      <c r="N208" s="591"/>
      <c r="O208" s="591">
        <f>O205</f>
        <v>0</v>
      </c>
      <c r="P208" s="591">
        <f>SUM(P40:P207)</f>
        <v>0</v>
      </c>
      <c r="Q208" s="591">
        <f>SUM(Q40:Q207)</f>
        <v>0</v>
      </c>
      <c r="R208" s="591">
        <f>SUM(R40:R207)</f>
        <v>0</v>
      </c>
      <c r="S208" s="591">
        <f>S205</f>
        <v>0</v>
      </c>
      <c r="T208" s="591">
        <v>0</v>
      </c>
      <c r="U208" s="591">
        <v>0</v>
      </c>
      <c r="V208" s="1198">
        <f>V205</f>
        <v>0</v>
      </c>
      <c r="W208" s="462"/>
      <c r="X208" s="591">
        <f>SUM(X205:X205)</f>
        <v>0</v>
      </c>
      <c r="AB208" s="664"/>
      <c r="AD208" s="334"/>
      <c r="AE208" s="26"/>
      <c r="AF208" s="31"/>
      <c r="AG208" s="229"/>
    </row>
    <row r="209" spans="1:35" s="450" customFormat="1">
      <c r="A209" s="43"/>
      <c r="B209" s="468"/>
      <c r="C209" s="468"/>
      <c r="D209" s="468"/>
      <c r="E209" s="234"/>
      <c r="F209" s="18"/>
      <c r="G209" s="18"/>
      <c r="H209" s="583"/>
      <c r="I209" s="21"/>
      <c r="J209" s="945"/>
      <c r="K209" s="21"/>
      <c r="L209" s="201"/>
      <c r="M209" s="201"/>
      <c r="N209" s="21"/>
      <c r="O209" s="21"/>
      <c r="P209" s="21"/>
      <c r="Q209" s="329"/>
      <c r="R209" s="226"/>
      <c r="S209" s="226"/>
      <c r="T209" s="226"/>
      <c r="U209" s="226"/>
      <c r="V209" s="1200"/>
      <c r="W209" s="201"/>
      <c r="X209" s="201"/>
      <c r="AB209" s="665"/>
      <c r="AD209" s="21"/>
      <c r="AE209" s="21"/>
      <c r="AF209" s="21"/>
      <c r="AG209" s="211"/>
    </row>
    <row r="210" spans="1:35" s="450" customFormat="1" ht="15.75" thickBot="1">
      <c r="A210" s="43"/>
      <c r="B210" s="468"/>
      <c r="C210" s="468"/>
      <c r="D210" s="468"/>
      <c r="E210" s="234"/>
      <c r="F210" s="18"/>
      <c r="G210" s="18"/>
      <c r="H210" s="583"/>
      <c r="I210" s="21"/>
      <c r="J210" s="945"/>
      <c r="K210" s="21"/>
      <c r="L210" s="201"/>
      <c r="M210" s="201"/>
      <c r="N210" s="21"/>
      <c r="O210" s="21"/>
      <c r="P210" s="21"/>
      <c r="Q210" s="329"/>
      <c r="R210" s="226"/>
      <c r="S210" s="226"/>
      <c r="T210" s="226"/>
      <c r="U210" s="226"/>
      <c r="V210" s="1200"/>
      <c r="W210" s="201"/>
      <c r="X210" s="201"/>
      <c r="AB210" s="665"/>
      <c r="AD210" s="21"/>
      <c r="AE210" s="21"/>
      <c r="AF210" s="21"/>
      <c r="AG210" s="211"/>
    </row>
    <row r="211" spans="1:35" s="237" customFormat="1" ht="15.75" thickBot="1">
      <c r="A211" s="618" t="s">
        <v>70</v>
      </c>
      <c r="B211" s="619"/>
      <c r="C211" s="620"/>
      <c r="D211" s="20"/>
      <c r="E211" s="20"/>
      <c r="F211" s="19"/>
      <c r="G211" s="19"/>
      <c r="H211" s="584"/>
      <c r="I211" s="18"/>
      <c r="J211" s="945"/>
      <c r="K211" s="18"/>
      <c r="L211" s="201"/>
      <c r="M211" s="201"/>
      <c r="N211" s="18"/>
      <c r="O211" s="18"/>
      <c r="P211" s="209"/>
      <c r="Q211" s="330"/>
      <c r="R211" s="588"/>
      <c r="S211" s="588"/>
      <c r="T211" s="588"/>
      <c r="U211" s="588"/>
      <c r="V211" s="680"/>
      <c r="W211" s="200"/>
      <c r="X211" s="200"/>
      <c r="Y211" s="450"/>
      <c r="Z211" s="450"/>
      <c r="AA211" s="450"/>
      <c r="AB211" s="665"/>
      <c r="AC211" s="450"/>
      <c r="AD211" s="25"/>
      <c r="AE211" s="18"/>
      <c r="AF211" s="24"/>
      <c r="AG211" s="211"/>
      <c r="AH211" s="450"/>
      <c r="AI211" s="450"/>
    </row>
    <row r="212" spans="1:35" s="1374" customFormat="1" ht="27.75" customHeight="1" thickBot="1">
      <c r="A212" s="1664">
        <v>1</v>
      </c>
      <c r="B212" s="1400" t="s">
        <v>785</v>
      </c>
      <c r="C212" s="1665" t="s">
        <v>503</v>
      </c>
      <c r="D212" s="1437" t="s">
        <v>511</v>
      </c>
      <c r="E212" s="694" t="str">
        <f>+VLOOKUP(B212,'Consolidate TL'!$B$17:O400,2,FALSE)</f>
        <v>LD1002400082</v>
      </c>
      <c r="F212" s="1367">
        <f>+VLOOKUP(B212,'Consolidate TL'!$B$17:L399,9,FALSE)</f>
        <v>42319</v>
      </c>
      <c r="G212" s="1367">
        <f>+VLOOKUP(B212,'Consolidate TL'!$B$17:P400,10,FALSE)</f>
        <v>44876</v>
      </c>
      <c r="H212" s="695" t="str">
        <f>(YEAR(G212)-YEAR(F212)-IF(OR(MONTH(G212)&lt;MONTH(F212),AND(MONTH(G212)=MONTH(F212),DAY(G212)&lt;DAY(F212))),1,0))*12+(MONTH(G212)-MONTH(F212)+IF(AND(MONTH(G212)&lt;=MONTH(F212),DAY(G212)&lt;DAY(F212)),11,IF(AND(MONTH(G212)&lt;MONTH(F212),DAY(G212)&gt;=DAY(F212)),12,IF(AND(MONTH(G212)&gt;MONTH(F212),DAY(G212)&lt;DAY(F212)),-1))))&amp;"month,"&amp;G212-DATE(YEAR(G212),MONTH(G212)-IF(DAY(G212)&lt;DAY(F212),1,0),DAY(F212))&amp;"days"</f>
        <v>84month,0days</v>
      </c>
      <c r="I212" s="696" t="s">
        <v>524</v>
      </c>
      <c r="J212" s="1368">
        <f>++VLOOKUP(B212,'Consolidate TL'!$B$17:L401,3,FALSE)</f>
        <v>0.12</v>
      </c>
      <c r="K212" s="697" t="s">
        <v>394</v>
      </c>
      <c r="L212" s="698">
        <f>+VLOOKUP(B212,'Consolidate TL'!$B$8:P1221,4,FALSE)</f>
        <v>70000</v>
      </c>
      <c r="M212" s="801"/>
      <c r="N212" s="1369"/>
      <c r="O212" s="597">
        <f>+VLOOKUP(B212,'Consolidate TL'!$B$8:$S$525,8,FALSE)</f>
        <v>53506.37</v>
      </c>
      <c r="P212" s="1369"/>
      <c r="Q212" s="1369"/>
      <c r="R212" s="1369"/>
      <c r="S212" s="698">
        <f>+SUM(M212:R212)</f>
        <v>53506.37</v>
      </c>
      <c r="T212" s="698"/>
      <c r="U212" s="698"/>
      <c r="V212" s="630">
        <f>+VLOOKUP(B212,'Consolidate TL'!$B$3:P614,12,FALSE)</f>
        <v>2345.31</v>
      </c>
      <c r="W212" s="699">
        <v>0.2</v>
      </c>
      <c r="X212" s="801">
        <f>S212*W212</f>
        <v>10701.274000000001</v>
      </c>
      <c r="Y212" s="1370" t="s">
        <v>787</v>
      </c>
      <c r="Z212" s="1436" t="s">
        <v>788</v>
      </c>
      <c r="AA212" s="1371">
        <v>151439</v>
      </c>
      <c r="AB212" s="700" t="s">
        <v>67</v>
      </c>
      <c r="AC212" s="700" t="s">
        <v>502</v>
      </c>
      <c r="AD212" s="1370" t="s">
        <v>789</v>
      </c>
      <c r="AE212" s="1372" t="s">
        <v>790</v>
      </c>
      <c r="AF212" s="919" t="s">
        <v>791</v>
      </c>
      <c r="AG212" s="1373" t="s">
        <v>504</v>
      </c>
      <c r="AH212" s="704" t="s">
        <v>374</v>
      </c>
      <c r="AI212" s="1127" t="s">
        <v>1080</v>
      </c>
    </row>
    <row r="213" spans="1:35" s="450" customFormat="1" ht="15.75" thickBot="1">
      <c r="A213" s="641"/>
      <c r="B213" s="642"/>
      <c r="C213" s="642"/>
      <c r="D213" s="642"/>
      <c r="E213" s="643"/>
      <c r="F213" s="644"/>
      <c r="G213" s="644"/>
      <c r="H213" s="594"/>
      <c r="I213" s="641"/>
      <c r="J213" s="946"/>
      <c r="K213" s="650"/>
      <c r="L213" s="595"/>
      <c r="M213" s="610"/>
      <c r="N213" s="641"/>
      <c r="O213" s="610"/>
      <c r="P213" s="651"/>
      <c r="Q213" s="645"/>
      <c r="R213" s="645"/>
      <c r="S213" s="645"/>
      <c r="T213" s="642"/>
      <c r="U213" s="645"/>
      <c r="V213" s="1202"/>
      <c r="W213" s="653">
        <v>0.2</v>
      </c>
      <c r="X213" s="654">
        <f>+S213*W213</f>
        <v>0</v>
      </c>
      <c r="Y213" s="646"/>
      <c r="Z213" s="646"/>
      <c r="AA213" s="646"/>
      <c r="AB213" s="646"/>
      <c r="AC213" s="646"/>
      <c r="AD213" s="631"/>
      <c r="AE213" s="642"/>
      <c r="AF213" s="598"/>
      <c r="AG213" s="656"/>
      <c r="AH213" s="646"/>
      <c r="AI213" s="646"/>
    </row>
    <row r="214" spans="1:35" s="450" customFormat="1" ht="15.75" thickBot="1">
      <c r="A214" s="26"/>
      <c r="B214" s="33"/>
      <c r="C214" s="33"/>
      <c r="D214" s="33"/>
      <c r="E214" s="27"/>
      <c r="F214" s="32"/>
      <c r="G214" s="32"/>
      <c r="H214" s="583"/>
      <c r="I214" s="18"/>
      <c r="J214" s="943" t="s">
        <v>559</v>
      </c>
      <c r="K214" s="590"/>
      <c r="L214" s="591">
        <f>SUM(L212:L213)</f>
        <v>70000</v>
      </c>
      <c r="M214" s="591">
        <f t="shared" ref="M214:R214" si="15">SUM(M213:M213)</f>
        <v>0</v>
      </c>
      <c r="N214" s="591">
        <f t="shared" si="15"/>
        <v>0</v>
      </c>
      <c r="O214" s="591">
        <f t="shared" si="15"/>
        <v>0</v>
      </c>
      <c r="P214" s="591">
        <f t="shared" si="15"/>
        <v>0</v>
      </c>
      <c r="Q214" s="591">
        <f t="shared" si="15"/>
        <v>0</v>
      </c>
      <c r="R214" s="591">
        <f t="shared" si="15"/>
        <v>0</v>
      </c>
      <c r="S214" s="591">
        <f>SUM(S212)</f>
        <v>53506.37</v>
      </c>
      <c r="T214" s="591">
        <f>SUM(T213:T213)</f>
        <v>0</v>
      </c>
      <c r="U214" s="591">
        <f>SUM(U213:U213)</f>
        <v>0</v>
      </c>
      <c r="V214" s="1198">
        <f>SUM(V212:V213)</f>
        <v>2345.31</v>
      </c>
      <c r="W214" s="462"/>
      <c r="X214" s="591">
        <f>SUM(X212:X213)</f>
        <v>10701.274000000001</v>
      </c>
      <c r="AD214" s="334"/>
      <c r="AE214" s="26"/>
      <c r="AF214" s="31"/>
      <c r="AG214" s="229"/>
    </row>
    <row r="215" spans="1:35" s="450" customFormat="1" ht="15.75" thickBot="1">
      <c r="A215" s="26"/>
      <c r="B215" s="29"/>
      <c r="C215" s="29"/>
      <c r="D215" s="29"/>
      <c r="E215" s="27"/>
      <c r="F215" s="28"/>
      <c r="G215" s="28"/>
      <c r="H215" s="583"/>
      <c r="I215" s="26"/>
      <c r="J215" s="945"/>
      <c r="K215" s="26"/>
      <c r="L215" s="458"/>
      <c r="M215" s="458"/>
      <c r="N215" s="26"/>
      <c r="O215" s="26"/>
      <c r="P215" s="227"/>
      <c r="Q215" s="331"/>
      <c r="R215" s="228"/>
      <c r="S215" s="228"/>
      <c r="T215" s="587"/>
      <c r="U215" s="587"/>
      <c r="V215" s="1201"/>
      <c r="W215" s="462"/>
      <c r="X215" s="200"/>
      <c r="AD215" s="30"/>
      <c r="AE215" s="26"/>
      <c r="AF215" s="31"/>
      <c r="AG215" s="229"/>
    </row>
    <row r="216" spans="1:35" s="450" customFormat="1" ht="15.75" thickBot="1">
      <c r="A216" s="1261" t="s">
        <v>76</v>
      </c>
      <c r="B216" s="1365"/>
      <c r="C216" s="1365"/>
      <c r="D216" s="21"/>
      <c r="E216" s="23"/>
      <c r="F216" s="19"/>
      <c r="G216" s="19"/>
      <c r="H216" s="583"/>
      <c r="I216" s="18"/>
      <c r="J216" s="945"/>
      <c r="K216" s="18"/>
      <c r="L216" s="1262"/>
      <c r="M216" s="1262"/>
      <c r="N216" s="18"/>
      <c r="O216" s="18"/>
      <c r="P216" s="209"/>
      <c r="Q216" s="330"/>
      <c r="R216" s="210"/>
      <c r="S216" s="210"/>
      <c r="T216" s="210"/>
      <c r="U216" s="210"/>
      <c r="V216" s="1201"/>
      <c r="W216" s="200"/>
      <c r="X216" s="200"/>
      <c r="AD216" s="1263"/>
      <c r="AE216" s="22"/>
      <c r="AF216" s="24"/>
      <c r="AG216" s="230"/>
    </row>
    <row r="217" spans="1:35" s="554" customFormat="1" ht="15.75" thickBot="1">
      <c r="A217" s="1260">
        <v>1</v>
      </c>
      <c r="B217" s="1264" t="s">
        <v>33</v>
      </c>
      <c r="C217" s="1265"/>
      <c r="D217" s="1265"/>
      <c r="E217" s="1266" t="s">
        <v>33</v>
      </c>
      <c r="F217" s="1267" t="s">
        <v>33</v>
      </c>
      <c r="G217" s="1267" t="s">
        <v>33</v>
      </c>
      <c r="H217" s="1268"/>
      <c r="I217" s="1267"/>
      <c r="J217" s="1269"/>
      <c r="K217" s="1270" t="s">
        <v>33</v>
      </c>
      <c r="L217" s="1271" t="s">
        <v>33</v>
      </c>
      <c r="M217" s="1271"/>
      <c r="N217" s="1272"/>
      <c r="O217" s="1272" t="s">
        <v>33</v>
      </c>
      <c r="P217" s="1272"/>
      <c r="Q217" s="1272"/>
      <c r="R217" s="1271"/>
      <c r="S217" s="1273">
        <f>+SUM(M217:R217)</f>
        <v>0</v>
      </c>
      <c r="T217" s="1274">
        <v>0</v>
      </c>
      <c r="U217" s="1275">
        <v>0</v>
      </c>
      <c r="V217" s="1276">
        <v>0</v>
      </c>
      <c r="W217" s="1277">
        <v>0</v>
      </c>
      <c r="X217" s="1278">
        <v>0</v>
      </c>
      <c r="Y217" s="1302" t="s">
        <v>33</v>
      </c>
      <c r="Z217" s="1279" t="s">
        <v>33</v>
      </c>
      <c r="AA217" s="1280" t="s">
        <v>33</v>
      </c>
      <c r="AB217" s="1281"/>
      <c r="AC217" s="1281"/>
      <c r="AD217" s="1282"/>
      <c r="AE217" s="1283"/>
      <c r="AF217" s="1282"/>
      <c r="AG217" s="1284"/>
      <c r="AH217" s="1285"/>
      <c r="AI217" s="1286"/>
    </row>
    <row r="218" spans="1:35" s="554" customFormat="1" ht="15.75" thickBot="1">
      <c r="A218" s="1287"/>
      <c r="B218" s="1288"/>
      <c r="C218" s="1288"/>
      <c r="D218" s="1288"/>
      <c r="E218" s="1289"/>
      <c r="F218" s="1290"/>
      <c r="G218" s="1290"/>
      <c r="H218" s="1291"/>
      <c r="I218" s="1292"/>
      <c r="J218" s="1293" t="s">
        <v>609</v>
      </c>
      <c r="K218" s="1294"/>
      <c r="L218" s="1295">
        <f t="shared" ref="L218:X218" si="16">SUM(L217:L217)</f>
        <v>0</v>
      </c>
      <c r="M218" s="1295">
        <f t="shared" si="16"/>
        <v>0</v>
      </c>
      <c r="N218" s="1295">
        <f t="shared" si="16"/>
        <v>0</v>
      </c>
      <c r="O218" s="1295">
        <f t="shared" si="16"/>
        <v>0</v>
      </c>
      <c r="P218" s="1295">
        <f t="shared" si="16"/>
        <v>0</v>
      </c>
      <c r="Q218" s="1296">
        <f t="shared" si="16"/>
        <v>0</v>
      </c>
      <c r="R218" s="1295">
        <f t="shared" si="16"/>
        <v>0</v>
      </c>
      <c r="S218" s="1295">
        <f t="shared" si="16"/>
        <v>0</v>
      </c>
      <c r="T218" s="1295">
        <f t="shared" si="16"/>
        <v>0</v>
      </c>
      <c r="U218" s="1295">
        <f t="shared" si="16"/>
        <v>0</v>
      </c>
      <c r="V218" s="1297">
        <f t="shared" si="16"/>
        <v>0</v>
      </c>
      <c r="W218" s="1295">
        <f t="shared" si="16"/>
        <v>0</v>
      </c>
      <c r="X218" s="1298">
        <f t="shared" si="16"/>
        <v>0</v>
      </c>
      <c r="AD218" s="1299"/>
      <c r="AE218" s="1287"/>
      <c r="AF218" s="1300"/>
      <c r="AG218" s="1301"/>
    </row>
    <row r="219" spans="1:35" s="450" customFormat="1" ht="15.75" thickBot="1">
      <c r="A219" s="1705" t="s">
        <v>86</v>
      </c>
      <c r="B219" s="1706"/>
      <c r="C219" s="1707"/>
      <c r="D219" s="21"/>
      <c r="E219" s="23"/>
      <c r="F219" s="19"/>
      <c r="G219" s="19"/>
      <c r="H219" s="583"/>
      <c r="I219" s="18"/>
      <c r="J219" s="945"/>
      <c r="K219" s="18"/>
      <c r="L219" s="539"/>
      <c r="M219" s="539"/>
      <c r="N219" s="18"/>
      <c r="O219" s="18"/>
      <c r="P219" s="209"/>
      <c r="Q219" s="330"/>
      <c r="R219" s="210"/>
      <c r="S219" s="210"/>
      <c r="T219" s="210"/>
      <c r="U219" s="210"/>
      <c r="V219" s="1201"/>
      <c r="W219" s="200"/>
      <c r="X219" s="200"/>
      <c r="AD219" s="22"/>
      <c r="AE219" s="22"/>
      <c r="AF219" s="24"/>
      <c r="AG219" s="230"/>
    </row>
    <row r="220" spans="1:35" s="554" customFormat="1" ht="15.75" thickBot="1">
      <c r="A220" s="606"/>
      <c r="B220" s="657"/>
      <c r="C220" s="647"/>
      <c r="D220" s="647"/>
      <c r="E220" s="648"/>
      <c r="F220" s="594"/>
      <c r="G220" s="594"/>
      <c r="H220" s="594"/>
      <c r="I220" s="649"/>
      <c r="J220" s="936"/>
      <c r="K220" s="674"/>
      <c r="L220" s="651"/>
      <c r="M220" s="651"/>
      <c r="N220" s="651"/>
      <c r="O220" s="651"/>
      <c r="P220" s="651"/>
      <c r="Q220" s="651"/>
      <c r="R220" s="651"/>
      <c r="S220" s="652"/>
      <c r="T220" s="651"/>
      <c r="U220" s="688"/>
      <c r="V220" s="1131"/>
      <c r="W220" s="653"/>
      <c r="X220" s="654"/>
      <c r="Y220" s="658"/>
      <c r="Z220" s="659"/>
      <c r="AA220" s="660"/>
      <c r="AB220" s="662"/>
      <c r="AC220" s="662"/>
      <c r="AD220" s="661"/>
      <c r="AE220" s="655"/>
      <c r="AF220" s="661"/>
      <c r="AG220" s="656"/>
      <c r="AH220" s="640"/>
      <c r="AI220" s="676"/>
    </row>
    <row r="221" spans="1:35" ht="15.75" thickBot="1">
      <c r="A221" s="26"/>
      <c r="B221" s="33"/>
      <c r="C221" s="33"/>
      <c r="D221" s="33"/>
      <c r="E221" s="27"/>
      <c r="F221" s="32"/>
      <c r="G221" s="32"/>
      <c r="H221" s="583"/>
      <c r="I221" s="18"/>
      <c r="J221" s="943" t="s">
        <v>560</v>
      </c>
      <c r="K221" s="590"/>
      <c r="L221" s="591">
        <f>SUM(L220:L220)</f>
        <v>0</v>
      </c>
      <c r="M221" s="591">
        <f t="shared" ref="M221:T221" si="17">SUM(M220:M220)</f>
        <v>0</v>
      </c>
      <c r="N221" s="591">
        <f t="shared" si="17"/>
        <v>0</v>
      </c>
      <c r="O221" s="591">
        <f>SUM(O220:O220)</f>
        <v>0</v>
      </c>
      <c r="P221" s="591">
        <f t="shared" si="17"/>
        <v>0</v>
      </c>
      <c r="Q221" s="591">
        <f t="shared" si="17"/>
        <v>0</v>
      </c>
      <c r="R221" s="591">
        <f t="shared" si="17"/>
        <v>0</v>
      </c>
      <c r="S221" s="591">
        <f>SUM(S220:S220)</f>
        <v>0</v>
      </c>
      <c r="T221" s="591">
        <f t="shared" si="17"/>
        <v>0</v>
      </c>
      <c r="U221" s="591">
        <f>SUM(U220:U220)</f>
        <v>0</v>
      </c>
      <c r="V221" s="1198">
        <f>SUM(V220:V220)</f>
        <v>0</v>
      </c>
      <c r="W221" s="591">
        <f>SUM(W220:W220)</f>
        <v>0</v>
      </c>
      <c r="X221" s="591">
        <f>SUM(X220:X220)</f>
        <v>0</v>
      </c>
      <c r="Y221" s="450"/>
      <c r="Z221" s="450"/>
      <c r="AA221" s="450"/>
      <c r="AB221" s="450"/>
      <c r="AC221" s="450"/>
      <c r="AD221" s="334"/>
      <c r="AE221" s="26"/>
      <c r="AF221" s="31"/>
      <c r="AG221" s="229"/>
      <c r="AH221" s="450"/>
      <c r="AI221" s="450"/>
    </row>
    <row r="222" spans="1:35" ht="15.75" thickBot="1">
      <c r="A222" s="1705" t="s">
        <v>566</v>
      </c>
      <c r="B222" s="1706"/>
      <c r="C222" s="1707"/>
      <c r="D222" s="35"/>
      <c r="E222" s="36"/>
      <c r="F222" s="34"/>
      <c r="G222" s="34"/>
      <c r="H222" s="585"/>
      <c r="I222" s="37"/>
      <c r="J222" s="947"/>
      <c r="K222" s="37"/>
      <c r="L222" s="210"/>
      <c r="M222" s="459"/>
      <c r="N222" s="37"/>
      <c r="O222" s="37"/>
      <c r="P222" s="37"/>
      <c r="Q222" s="332"/>
      <c r="R222" s="210"/>
      <c r="S222" s="210"/>
      <c r="T222" s="210"/>
      <c r="U222" s="210"/>
      <c r="V222" s="1201"/>
      <c r="W222" s="202"/>
      <c r="X222" s="210"/>
      <c r="Y222" s="450"/>
      <c r="Z222" s="450"/>
      <c r="AA222" s="450"/>
      <c r="AB222" s="450"/>
      <c r="AC222" s="450"/>
      <c r="AD222" s="38"/>
      <c r="AE222" s="37"/>
      <c r="AF222" s="39"/>
      <c r="AG222" s="211"/>
      <c r="AH222" s="450"/>
      <c r="AI222" s="450"/>
    </row>
    <row r="223" spans="1:35" ht="15.75" thickBot="1">
      <c r="A223" s="621"/>
      <c r="B223" s="602"/>
      <c r="C223" s="602"/>
      <c r="D223" s="602"/>
      <c r="E223" s="608"/>
      <c r="F223" s="593"/>
      <c r="G223" s="593"/>
      <c r="H223" s="594"/>
      <c r="I223" s="595"/>
      <c r="J223" s="948"/>
      <c r="K223" s="650"/>
      <c r="L223" s="622"/>
      <c r="M223" s="622"/>
      <c r="N223" s="595"/>
      <c r="O223" s="622"/>
      <c r="P223" s="651"/>
      <c r="Q223" s="600"/>
      <c r="R223" s="623"/>
      <c r="S223" s="652"/>
      <c r="T223" s="624"/>
      <c r="U223" s="625"/>
      <c r="V223" s="1202"/>
      <c r="W223" s="653"/>
      <c r="X223" s="654"/>
      <c r="Y223" s="626"/>
      <c r="Z223" s="604"/>
      <c r="AA223" s="627"/>
      <c r="AB223" s="666"/>
      <c r="AC223" s="667"/>
      <c r="AD223" s="628"/>
      <c r="AE223" s="600"/>
      <c r="AF223" s="613"/>
      <c r="AG223" s="656"/>
      <c r="AH223" s="601"/>
      <c r="AI223" s="685"/>
    </row>
    <row r="224" spans="1:35" ht="15.75" thickBot="1">
      <c r="A224" s="629"/>
      <c r="B224" s="602"/>
      <c r="C224" s="602"/>
      <c r="D224" s="592"/>
      <c r="E224" s="602"/>
      <c r="F224" s="593"/>
      <c r="G224" s="593"/>
      <c r="H224" s="594"/>
      <c r="I224" s="595"/>
      <c r="J224" s="938"/>
      <c r="K224" s="650"/>
      <c r="L224" s="632"/>
      <c r="M224" s="632"/>
      <c r="N224" s="595"/>
      <c r="O224" s="614"/>
      <c r="P224" s="651"/>
      <c r="Q224" s="603"/>
      <c r="R224" s="623"/>
      <c r="S224" s="652"/>
      <c r="T224" s="630"/>
      <c r="U224" s="625"/>
      <c r="V224" s="1202"/>
      <c r="W224" s="653"/>
      <c r="X224" s="654"/>
      <c r="Y224" s="614"/>
      <c r="Z224" s="614"/>
      <c r="AA224" s="633"/>
      <c r="AB224" s="666"/>
      <c r="AC224" s="667"/>
      <c r="AD224" s="614"/>
      <c r="AE224" s="603"/>
      <c r="AF224" s="614"/>
      <c r="AG224" s="656"/>
      <c r="AH224" s="601"/>
      <c r="AI224" s="686"/>
    </row>
    <row r="225" spans="1:35" ht="15.75" thickBot="1">
      <c r="A225" s="629"/>
      <c r="B225" s="602"/>
      <c r="C225" s="602"/>
      <c r="D225" s="592"/>
      <c r="E225" s="602"/>
      <c r="F225" s="593"/>
      <c r="G225" s="593"/>
      <c r="H225" s="594"/>
      <c r="I225" s="595"/>
      <c r="J225" s="938"/>
      <c r="K225" s="650"/>
      <c r="L225" s="632"/>
      <c r="M225" s="632"/>
      <c r="N225" s="595"/>
      <c r="O225" s="632"/>
      <c r="P225" s="651"/>
      <c r="Q225" s="610"/>
      <c r="R225" s="623"/>
      <c r="S225" s="652"/>
      <c r="T225" s="630"/>
      <c r="U225" s="625"/>
      <c r="V225" s="1202"/>
      <c r="W225" s="653"/>
      <c r="X225" s="654"/>
      <c r="Y225" s="611"/>
      <c r="Z225" s="611"/>
      <c r="AA225" s="631"/>
      <c r="AB225" s="666"/>
      <c r="AC225" s="667"/>
      <c r="AD225" s="614"/>
      <c r="AE225" s="603"/>
      <c r="AF225" s="614"/>
      <c r="AG225" s="656"/>
      <c r="AH225" s="634"/>
      <c r="AI225" s="675"/>
    </row>
    <row r="226" spans="1:35" ht="15.75" thickBot="1">
      <c r="A226" s="635"/>
      <c r="B226" s="605"/>
      <c r="C226" s="602"/>
      <c r="D226" s="592"/>
      <c r="E226" s="592"/>
      <c r="F226" s="593"/>
      <c r="G226" s="593"/>
      <c r="H226" s="594"/>
      <c r="I226" s="595"/>
      <c r="J226" s="938"/>
      <c r="K226" s="650"/>
      <c r="L226" s="630"/>
      <c r="M226" s="630"/>
      <c r="N226" s="595"/>
      <c r="O226" s="630"/>
      <c r="P226" s="651"/>
      <c r="Q226" s="610"/>
      <c r="R226" s="623"/>
      <c r="S226" s="652"/>
      <c r="T226" s="630"/>
      <c r="U226" s="636"/>
      <c r="V226" s="1202"/>
      <c r="W226" s="653"/>
      <c r="X226" s="654"/>
      <c r="Y226" s="611"/>
      <c r="Z226" s="611"/>
      <c r="AA226" s="631"/>
      <c r="AB226" s="666"/>
      <c r="AC226" s="667"/>
      <c r="AD226" s="614"/>
      <c r="AE226" s="610"/>
      <c r="AF226" s="613"/>
      <c r="AG226" s="656"/>
      <c r="AH226" s="601"/>
      <c r="AI226" s="687"/>
    </row>
    <row r="227" spans="1:35" ht="15.75" thickBot="1">
      <c r="A227" s="637"/>
      <c r="B227" s="638"/>
      <c r="C227" s="602"/>
      <c r="D227" s="592"/>
      <c r="E227" s="607"/>
      <c r="F227" s="593"/>
      <c r="G227" s="593"/>
      <c r="H227" s="594"/>
      <c r="I227" s="595"/>
      <c r="J227" s="938"/>
      <c r="K227" s="650"/>
      <c r="L227" s="597"/>
      <c r="M227" s="597"/>
      <c r="N227" s="595"/>
      <c r="O227" s="597"/>
      <c r="P227" s="651"/>
      <c r="Q227" s="610"/>
      <c r="R227" s="596"/>
      <c r="S227" s="652"/>
      <c r="T227" s="639"/>
      <c r="U227" s="636"/>
      <c r="V227" s="1202"/>
      <c r="W227" s="653"/>
      <c r="X227" s="654"/>
      <c r="Y227" s="614"/>
      <c r="Z227" s="609"/>
      <c r="AA227" s="612"/>
      <c r="AB227" s="666"/>
      <c r="AC227" s="667"/>
      <c r="AD227" s="609"/>
      <c r="AE227" s="610"/>
      <c r="AF227" s="610"/>
      <c r="AG227" s="656"/>
      <c r="AH227" s="601"/>
      <c r="AI227" s="686"/>
    </row>
    <row r="228" spans="1:35" ht="15.75" thickBot="1">
      <c r="A228" s="211"/>
      <c r="B228" s="211"/>
      <c r="C228" s="211"/>
      <c r="D228" s="211"/>
      <c r="E228" s="211"/>
      <c r="F228" s="211"/>
      <c r="G228" s="211"/>
      <c r="H228" s="211"/>
      <c r="I228" s="231"/>
      <c r="J228" s="949" t="s">
        <v>561</v>
      </c>
      <c r="K228" s="589"/>
      <c r="L228" s="586">
        <f t="shared" ref="L228:U228" si="18">SUM(L223:L227)</f>
        <v>0</v>
      </c>
      <c r="M228" s="586">
        <f t="shared" si="18"/>
        <v>0</v>
      </c>
      <c r="N228" s="586">
        <f t="shared" si="18"/>
        <v>0</v>
      </c>
      <c r="O228" s="586">
        <f t="shared" si="18"/>
        <v>0</v>
      </c>
      <c r="P228" s="586">
        <f t="shared" si="18"/>
        <v>0</v>
      </c>
      <c r="Q228" s="586">
        <f t="shared" si="18"/>
        <v>0</v>
      </c>
      <c r="R228" s="586">
        <f t="shared" si="18"/>
        <v>0</v>
      </c>
      <c r="S228" s="586">
        <f t="shared" si="18"/>
        <v>0</v>
      </c>
      <c r="T228" s="586">
        <f t="shared" si="18"/>
        <v>0</v>
      </c>
      <c r="U228" s="586">
        <f t="shared" si="18"/>
        <v>0</v>
      </c>
      <c r="V228" s="1203">
        <f>SUM(V223:V227)</f>
        <v>0</v>
      </c>
      <c r="W228" s="211"/>
      <c r="X228" s="586">
        <f>SUM(X223:X227)</f>
        <v>0</v>
      </c>
      <c r="AD228" s="211"/>
    </row>
    <row r="229" spans="1:35" ht="15.75" thickBot="1">
      <c r="A229" s="211"/>
      <c r="B229" s="211"/>
      <c r="C229" s="211"/>
      <c r="D229" s="211"/>
      <c r="E229" s="211"/>
      <c r="F229" s="211"/>
      <c r="G229" s="211"/>
      <c r="H229" s="211"/>
      <c r="I229" s="231"/>
      <c r="J229" s="1708" t="s">
        <v>96</v>
      </c>
      <c r="K229" s="1709"/>
      <c r="L229" s="40">
        <f>SUM(L8,L199,L208,L214,L221,L228)</f>
        <v>4193460</v>
      </c>
      <c r="M229" s="40"/>
      <c r="N229" s="40"/>
      <c r="O229" s="40">
        <v>0</v>
      </c>
      <c r="P229" s="40">
        <f>SUM(P8,P199,P208,P214,P221,P228)</f>
        <v>0</v>
      </c>
      <c r="Q229" s="40">
        <f>SUM(Q8,Q199,Q208,Q214,Q221,Q228)</f>
        <v>0</v>
      </c>
      <c r="R229" s="40">
        <f>SUM(R8,R199,R208,R214,R221,R228)</f>
        <v>0</v>
      </c>
      <c r="S229" s="40">
        <v>0</v>
      </c>
      <c r="T229" s="40">
        <f>SUM(T8,T199,T208,T214,T221,T228)</f>
        <v>0</v>
      </c>
      <c r="U229" s="40">
        <f>SUM(U8,U199,U208,U214,U221,U228)</f>
        <v>0</v>
      </c>
      <c r="V229" s="1204" t="e">
        <f>SUM(V8,V199,V208,V214,V221,V228)</f>
        <v>#N/A</v>
      </c>
      <c r="W229" s="211"/>
      <c r="X229" s="40">
        <f>SUM(X8,X199,X208,X214,X221,X228)</f>
        <v>12579.592200000001</v>
      </c>
      <c r="AD229" s="211"/>
    </row>
    <row r="230" spans="1:35">
      <c r="A230" s="43"/>
      <c r="B230" s="232"/>
      <c r="C230" s="232"/>
      <c r="D230" s="232"/>
      <c r="E230" s="234"/>
      <c r="I230" s="233"/>
      <c r="J230" s="950"/>
      <c r="K230" s="333"/>
      <c r="L230" s="41"/>
      <c r="M230" s="41"/>
      <c r="N230" s="41"/>
      <c r="O230" s="41"/>
      <c r="P230" s="203"/>
      <c r="Q230" s="877"/>
      <c r="R230" s="42"/>
      <c r="S230" s="878"/>
      <c r="T230" s="409"/>
      <c r="V230" s="1205"/>
      <c r="W230" s="211"/>
      <c r="X230" s="232"/>
      <c r="AD230" s="232"/>
    </row>
    <row r="231" spans="1:35" ht="16.5" thickBot="1">
      <c r="O231" s="879"/>
      <c r="P231" s="880"/>
      <c r="Q231" s="880"/>
      <c r="R231" s="881"/>
      <c r="S231" s="878"/>
      <c r="T231" s="876"/>
      <c r="U231" s="461"/>
      <c r="V231" s="1206"/>
    </row>
    <row r="232" spans="1:35">
      <c r="M232" s="781" t="s">
        <v>26</v>
      </c>
      <c r="N232" s="882"/>
      <c r="O232" s="882"/>
      <c r="P232" s="882" t="s">
        <v>71</v>
      </c>
      <c r="Q232" s="882" t="s">
        <v>77</v>
      </c>
      <c r="R232" s="882" t="s">
        <v>72</v>
      </c>
      <c r="S232" s="882" t="s">
        <v>78</v>
      </c>
      <c r="T232" s="882" t="s">
        <v>389</v>
      </c>
      <c r="U232" s="782" t="s">
        <v>73</v>
      </c>
      <c r="V232" s="782" t="s">
        <v>74</v>
      </c>
    </row>
    <row r="233" spans="1:35">
      <c r="M233" s="1702" t="s">
        <v>79</v>
      </c>
      <c r="N233" s="1704" t="s">
        <v>66</v>
      </c>
      <c r="O233" s="783" t="s">
        <v>550</v>
      </c>
      <c r="P233" s="1194">
        <f>SUMIF(K7:K7,"O/D",L7:L7)</f>
        <v>200000</v>
      </c>
      <c r="Q233" s="1194">
        <f>SUMIF(K7:K7,"O/D",M7:M7)</f>
        <v>187831.82</v>
      </c>
      <c r="R233" s="1194">
        <v>0</v>
      </c>
      <c r="S233" s="1194">
        <v>0</v>
      </c>
      <c r="T233" s="1195">
        <v>0</v>
      </c>
      <c r="U233" s="1196">
        <v>0.01</v>
      </c>
      <c r="V233" s="1208">
        <f>SUMIF(K7:K7,"O/D",X7:X7)</f>
        <v>1878.3182000000002</v>
      </c>
      <c r="W233" s="875"/>
    </row>
    <row r="234" spans="1:35">
      <c r="B234" s="841"/>
      <c r="K234" s="840"/>
      <c r="M234" s="1703"/>
      <c r="N234" s="1704"/>
      <c r="O234" s="786" t="s">
        <v>551</v>
      </c>
      <c r="P234" s="1194">
        <f ca="1">SUMIF(K14:K548,"O/D",L14:L358)</f>
        <v>50000</v>
      </c>
      <c r="Q234" s="1194">
        <f>SUMIF(K14:K358,"O/D",M14:M358)</f>
        <v>48399.07</v>
      </c>
      <c r="R234" s="1194">
        <f>SUMIF(K14:K358,"O/D",T14:T358)</f>
        <v>0</v>
      </c>
      <c r="S234" s="1194">
        <f>SUMIF(K14:K358,"O/D",U14:U358)</f>
        <v>0</v>
      </c>
      <c r="T234" s="1195">
        <f>SUMIF(K14:K358,"O/D",V14:V358)</f>
        <v>0</v>
      </c>
      <c r="U234" s="1196">
        <v>0.01</v>
      </c>
      <c r="V234" s="1208">
        <f>SUMIF(K14:K14,"O/D",X14:X14)</f>
        <v>483.9907</v>
      </c>
    </row>
    <row r="235" spans="1:35">
      <c r="B235" s="841"/>
      <c r="K235" s="840"/>
      <c r="M235" s="1702" t="s">
        <v>80</v>
      </c>
      <c r="N235" s="1704" t="s">
        <v>514</v>
      </c>
      <c r="O235" s="783" t="s">
        <v>552</v>
      </c>
      <c r="P235" s="1194">
        <f>SUMIF(K7:K7,"T/L",L7:L7)+SUMIF(K7:K7,"S/L",L7:L7)</f>
        <v>0</v>
      </c>
      <c r="Q235" s="1194">
        <v>0</v>
      </c>
      <c r="R235" s="1194">
        <v>0</v>
      </c>
      <c r="S235" s="1194">
        <v>0</v>
      </c>
      <c r="T235" s="1195">
        <v>0</v>
      </c>
      <c r="U235" s="1196">
        <v>0.01</v>
      </c>
      <c r="V235" s="1208">
        <v>0</v>
      </c>
    </row>
    <row r="236" spans="1:35">
      <c r="B236" s="409"/>
      <c r="K236" s="840"/>
      <c r="M236" s="1703"/>
      <c r="N236" s="1704"/>
      <c r="O236" s="786" t="s">
        <v>553</v>
      </c>
      <c r="P236" s="1194">
        <f>L199</f>
        <v>3923460</v>
      </c>
      <c r="Q236" s="1194">
        <f>O199+N199</f>
        <v>3298379.51</v>
      </c>
      <c r="R236" s="1194">
        <f>SUMIF(K14:K429,"T/L",T14:T429)+SUMIF(K14:K429,"S/L",T14:T429)</f>
        <v>0</v>
      </c>
      <c r="S236" s="1194">
        <f>SUMIF(K14:K429,"T/L",U14:U429)+SUMIF(K14:K429,"S/L",U14:U429)</f>
        <v>0</v>
      </c>
      <c r="T236" s="1195" t="e">
        <f>V199</f>
        <v>#N/A</v>
      </c>
      <c r="U236" s="1196">
        <v>0.01</v>
      </c>
      <c r="V236" s="1208">
        <v>56790.92</v>
      </c>
      <c r="W236" s="490"/>
    </row>
    <row r="237" spans="1:35">
      <c r="K237" s="840"/>
      <c r="M237" s="1702" t="s">
        <v>81</v>
      </c>
      <c r="N237" s="1704" t="s">
        <v>554</v>
      </c>
      <c r="O237" s="783" t="s">
        <v>548</v>
      </c>
      <c r="P237" s="784"/>
      <c r="Q237" s="784"/>
      <c r="R237" s="784"/>
      <c r="S237" s="784"/>
      <c r="T237" s="784"/>
      <c r="U237" s="785">
        <v>0.03</v>
      </c>
      <c r="V237" s="1207"/>
    </row>
    <row r="238" spans="1:35">
      <c r="K238" s="840"/>
      <c r="M238" s="1703"/>
      <c r="N238" s="1704"/>
      <c r="O238" s="786" t="s">
        <v>551</v>
      </c>
      <c r="P238" s="784">
        <f>L208</f>
        <v>0</v>
      </c>
      <c r="Q238" s="784">
        <f>S208</f>
        <v>0</v>
      </c>
      <c r="R238" s="784">
        <f>T208</f>
        <v>0</v>
      </c>
      <c r="S238" s="784">
        <f>U208</f>
        <v>0</v>
      </c>
      <c r="T238" s="784">
        <f>V208</f>
        <v>0</v>
      </c>
      <c r="U238" s="785">
        <v>0.03</v>
      </c>
      <c r="V238" s="1207">
        <f>X208</f>
        <v>0</v>
      </c>
    </row>
    <row r="239" spans="1:35">
      <c r="M239" s="1702" t="s">
        <v>83</v>
      </c>
      <c r="N239" s="1704" t="s">
        <v>82</v>
      </c>
      <c r="O239" s="783" t="s">
        <v>555</v>
      </c>
      <c r="P239" s="784">
        <f>L214</f>
        <v>70000</v>
      </c>
      <c r="Q239" s="784">
        <f>S214</f>
        <v>53506.37</v>
      </c>
      <c r="R239" s="784">
        <v>0</v>
      </c>
      <c r="S239" s="784">
        <f>U214</f>
        <v>0</v>
      </c>
      <c r="T239" s="784">
        <f>V214</f>
        <v>2345.31</v>
      </c>
      <c r="U239" s="785">
        <v>0.2</v>
      </c>
      <c r="V239" s="1207">
        <f>X214</f>
        <v>10701.274000000001</v>
      </c>
    </row>
    <row r="240" spans="1:35">
      <c r="K240" s="840"/>
      <c r="M240" s="1703"/>
      <c r="N240" s="1704"/>
      <c r="O240" s="786" t="s">
        <v>551</v>
      </c>
      <c r="P240" s="797">
        <v>0</v>
      </c>
      <c r="Q240" s="784">
        <v>0</v>
      </c>
      <c r="R240" s="784">
        <v>0</v>
      </c>
      <c r="S240" s="784">
        <v>0</v>
      </c>
      <c r="T240" s="784">
        <v>0</v>
      </c>
      <c r="U240" s="785">
        <v>0.2</v>
      </c>
      <c r="V240" s="1207">
        <v>0</v>
      </c>
    </row>
    <row r="241" spans="11:22">
      <c r="K241" s="840"/>
      <c r="M241" s="1702" t="s">
        <v>85</v>
      </c>
      <c r="N241" s="1704" t="s">
        <v>84</v>
      </c>
      <c r="O241" s="783" t="s">
        <v>550</v>
      </c>
      <c r="P241" s="784">
        <v>0</v>
      </c>
      <c r="Q241" s="784">
        <v>0</v>
      </c>
      <c r="R241" s="784">
        <v>0</v>
      </c>
      <c r="S241" s="784">
        <v>0</v>
      </c>
      <c r="T241" s="784">
        <f>S241</f>
        <v>0</v>
      </c>
      <c r="U241" s="785">
        <v>0.5</v>
      </c>
      <c r="V241" s="1207">
        <f>Q241*0.5</f>
        <v>0</v>
      </c>
    </row>
    <row r="242" spans="11:22">
      <c r="M242" s="1703"/>
      <c r="N242" s="1704"/>
      <c r="O242" s="786" t="s">
        <v>551</v>
      </c>
      <c r="P242" s="784">
        <v>0</v>
      </c>
      <c r="Q242" s="784">
        <v>0</v>
      </c>
      <c r="R242" s="784">
        <v>0</v>
      </c>
      <c r="S242" s="784">
        <v>0</v>
      </c>
      <c r="T242" s="784">
        <v>0</v>
      </c>
      <c r="U242" s="785">
        <v>0.5</v>
      </c>
      <c r="V242" s="1207">
        <v>0</v>
      </c>
    </row>
    <row r="243" spans="11:22">
      <c r="K243" s="840"/>
      <c r="M243" s="1702" t="s">
        <v>87</v>
      </c>
      <c r="N243" s="1704" t="s">
        <v>86</v>
      </c>
      <c r="O243" s="783" t="s">
        <v>548</v>
      </c>
      <c r="P243" s="784">
        <f>L221</f>
        <v>0</v>
      </c>
      <c r="Q243" s="784">
        <f>S221</f>
        <v>0</v>
      </c>
      <c r="R243" s="784">
        <v>0</v>
      </c>
      <c r="S243" s="784">
        <f>U221</f>
        <v>0</v>
      </c>
      <c r="T243" s="784">
        <f>V221</f>
        <v>0</v>
      </c>
      <c r="U243" s="785">
        <v>1</v>
      </c>
      <c r="V243" s="1207">
        <f>X221</f>
        <v>0</v>
      </c>
    </row>
    <row r="244" spans="11:22" ht="15.75" thickBot="1">
      <c r="M244" s="1703"/>
      <c r="N244" s="1712"/>
      <c r="O244" s="787" t="s">
        <v>556</v>
      </c>
      <c r="P244" s="784">
        <v>0</v>
      </c>
      <c r="Q244" s="784">
        <v>0</v>
      </c>
      <c r="R244" s="784">
        <v>0</v>
      </c>
      <c r="S244" s="784">
        <v>0</v>
      </c>
      <c r="T244" s="784">
        <v>0</v>
      </c>
      <c r="U244" s="785">
        <v>1</v>
      </c>
      <c r="V244" s="1207">
        <v>0</v>
      </c>
    </row>
    <row r="245" spans="11:22" ht="15.75" thickBot="1">
      <c r="M245" s="788"/>
      <c r="N245" s="789" t="s">
        <v>34</v>
      </c>
      <c r="O245" s="790"/>
      <c r="P245" s="791">
        <f ca="1">SUM(P233:P244)</f>
        <v>4243460</v>
      </c>
      <c r="Q245" s="791">
        <f>SUM(Q233:Q244)</f>
        <v>3588116.77</v>
      </c>
      <c r="R245" s="791">
        <f>SUM(R233:R244)</f>
        <v>0</v>
      </c>
      <c r="S245" s="791">
        <f>SUM(S233:S244)</f>
        <v>0</v>
      </c>
      <c r="T245" s="792" t="e">
        <f>SUM(T233:T244)</f>
        <v>#N/A</v>
      </c>
      <c r="U245" s="791"/>
      <c r="V245" s="1209">
        <f>SUM(V233:V244)</f>
        <v>69854.502900000007</v>
      </c>
    </row>
  </sheetData>
  <autoFilter ref="A13:AI199"/>
  <sortState ref="A300:BW484">
    <sortCondition ref="B300:B484"/>
  </sortState>
  <dataConsolidate/>
  <customSheetViews>
    <customSheetView guid="{E4D8AEA0-7D37-4CF1-9F19-1F9F3CB7E99E}" scale="115" showAutoFilter="1" topLeftCell="A4">
      <pane xSplit="2" ySplit="2" topLeftCell="C544" activePane="bottomRight" state="frozen"/>
      <selection pane="bottomRight" activeCell="B420" sqref="B420"/>
      <rowBreaks count="9" manualBreakCount="9">
        <brk id="18" max="26" man="1"/>
        <brk id="155" max="26" man="1"/>
        <brk id="36" max="26" man="1"/>
        <brk id="175" max="26" man="1"/>
        <brk id="55" max="26" man="1"/>
        <brk id="240" max="26" man="1"/>
        <brk id="94" max="26" man="1"/>
        <brk id="99" max="26" man="1"/>
        <brk id="331" max="26" man="1"/>
      </rowBreaks>
      <pageMargins left="0.45" right="0.2" top="0.25" bottom="0.25" header="0.3" footer="0.3"/>
      <printOptions horizontalCentered="1"/>
      <pageSetup scale="89" orientation="landscape" r:id="rId1"/>
      <autoFilter ref="A5:AU162"/>
    </customSheetView>
    <customSheetView guid="{AD634856-FDF7-4DD8-8DC5-36C324FF0C87}" scale="115">
      <pane xSplit="2" ySplit="5" topLeftCell="G552" activePane="bottomRight" state="frozen"/>
      <selection pane="bottomRight" activeCell="O553" sqref="O553"/>
      <rowBreaks count="8" manualBreakCount="8">
        <brk id="17" max="26" man="1"/>
        <brk id="37" max="26" man="1"/>
        <brk id="54" max="26" man="1"/>
        <brk id="94" max="26" man="1"/>
        <brk id="189" max="26" man="1"/>
        <brk id="252" max="26" man="1"/>
        <brk id="339" max="26" man="1"/>
        <brk id="400" max="26" man="1"/>
      </rowBreaks>
      <pageMargins left="0.45" right="0.2" top="0.25" bottom="0.25" header="0.3" footer="0.3"/>
      <printOptions horizontalCentered="1"/>
      <pageSetup scale="89" orientation="landscape" r:id="rId2"/>
    </customSheetView>
    <customSheetView guid="{61CE75AA-B849-4D18-8838-F82995C6B087}" showAutoFilter="1" topLeftCell="A4">
      <pane xSplit="2" ySplit="2" topLeftCell="AD548" activePane="bottomRight" state="frozen"/>
      <selection pane="bottomRight" activeCell="B548" sqref="B548"/>
      <rowBreaks count="7" manualBreakCount="7">
        <brk id="19" max="26" man="1"/>
        <brk id="155" max="26" man="1"/>
        <brk id="37" max="26" man="1"/>
        <brk id="173" max="26" man="1"/>
        <brk id="56" max="26" man="1"/>
        <brk id="97" max="26" man="1"/>
        <brk id="102" max="26" man="1"/>
      </rowBreaks>
      <pageMargins left="0.45" right="0.2" top="0.25" bottom="0.25" header="0.3" footer="0.3"/>
      <printOptions horizontalCentered="1"/>
      <pageSetup scale="89" orientation="landscape" r:id="rId3"/>
      <autoFilter ref="A168:BW556"/>
    </customSheetView>
    <customSheetView guid="{7D95FE88-52D3-4AF2-A747-7A28402A32C2}" showPageBreaks="1" filter="1" showAutoFilter="1">
      <pane xSplit="2" ySplit="5" topLeftCell="N457" activePane="bottomRight" state="frozen"/>
      <selection pane="bottomRight" activeCell="A153" sqref="A153:XFD153"/>
      <rowBreaks count="9" manualBreakCount="9">
        <brk id="19" max="26" man="1"/>
        <brk id="38" max="26" man="1"/>
        <brk id="58" max="26" man="1"/>
        <brk id="74" max="26" man="1"/>
        <brk id="95" max="26" man="1"/>
        <brk id="163" max="26" man="1"/>
        <brk id="183" max="26" man="1"/>
        <brk id="194" max="26" man="1"/>
        <brk id="266" max="26" man="1"/>
      </rowBreaks>
      <pageMargins left="0.45" right="0.2" top="0.25" bottom="0.25" header="0.3" footer="0.3"/>
      <printOptions horizontalCentered="1"/>
      <pageSetup scale="89" orientation="landscape" r:id="rId4"/>
      <autoFilter ref="A167:BW553">
        <filterColumn colId="10">
          <filters>
            <filter val="S/L"/>
            <filter val="T/L"/>
          </filters>
        </filterColumn>
      </autoFilter>
    </customSheetView>
    <customSheetView guid="{6EF26E68-1B9A-4748-A66C-9D8C184CAF14}" showAutoFilter="1" topLeftCell="G1">
      <selection activeCell="L415" sqref="L415"/>
      <rowBreaks count="9" manualBreakCount="9">
        <brk id="19" max="26" man="1"/>
        <brk id="38" max="26" man="1"/>
        <brk id="56" max="26" man="1"/>
        <brk id="72" max="26" man="1"/>
        <brk id="93" max="26" man="1"/>
        <brk id="158" max="26" man="1"/>
        <brk id="179" max="26" man="1"/>
        <brk id="190" max="26" man="1"/>
        <brk id="262" max="26" man="1"/>
      </rowBreaks>
      <pageMargins left="0.45" right="0.2" top="0.25" bottom="0.25" header="0.3" footer="0.3"/>
      <printOptions horizontalCentered="1"/>
      <pageSetup scale="89" orientation="landscape" r:id="rId5"/>
      <autoFilter ref="A5:AU152"/>
    </customSheetView>
    <customSheetView guid="{B8A1874B-3BEF-4479-AD53-0D9BAC54C7CD}" scale="115" showAutoFilter="1" topLeftCell="A4">
      <pane xSplit="2" ySplit="2" topLeftCell="O161" activePane="bottomRight" state="frozen"/>
      <selection pane="bottomRight" activeCell="S163" sqref="S163"/>
      <rowBreaks count="9" manualBreakCount="9">
        <brk id="18" max="26" man="1"/>
        <brk id="149" max="26" man="1"/>
        <brk id="36" max="26" man="1"/>
        <brk id="169" max="26" man="1"/>
        <brk id="54" max="26" man="1"/>
        <brk id="234" max="26" man="1"/>
        <brk id="93" max="26" man="1"/>
        <brk id="98" max="26" man="1"/>
        <brk id="322" max="26" man="1"/>
      </rowBreaks>
      <pageMargins left="0.45" right="0.2" top="0.25" bottom="0.25" header="0.3" footer="0.3"/>
      <printOptions horizontalCentered="1"/>
      <pageSetup scale="89" orientation="landscape" r:id="rId6"/>
      <autoFilter ref="A5:AU152"/>
    </customSheetView>
    <customSheetView guid="{E5BCC4B4-F1B1-40C1-B93E-A6184E1EF716}" showAutoFilter="1" topLeftCell="A4">
      <pane xSplit="2" ySplit="2" topLeftCell="AE301" activePane="bottomRight" state="frozen"/>
      <selection pane="bottomRight" activeCell="A158" sqref="A158:XFD158"/>
      <rowBreaks count="9" manualBreakCount="9">
        <brk id="18" max="26" man="1"/>
        <brk id="149" max="26" man="1"/>
        <brk id="39" max="26" man="1"/>
        <brk id="170" max="26" man="1"/>
        <brk id="57" max="26" man="1"/>
        <brk id="236" max="26" man="1"/>
        <brk id="96" max="26" man="1"/>
        <brk id="101" max="26" man="1"/>
        <brk id="342" max="26" man="1"/>
      </rowBreaks>
      <pageMargins left="0.45" right="0.2" top="0.25" bottom="0.25" header="0.3" footer="0.3"/>
      <printOptions horizontalCentered="1"/>
      <pageSetup scale="89" orientation="landscape" r:id="rId7"/>
      <autoFilter ref="A147:BW448"/>
    </customSheetView>
    <customSheetView guid="{994961F8-B63E-47F6-B0C5-98F862423FE5}" scale="115" showPageBreaks="1" showAutoFilter="1" topLeftCell="A4">
      <pane xSplit="2" ySplit="2" topLeftCell="F187" activePane="bottomRight" state="frozen"/>
      <selection pane="bottomRight" activeCell="B191" sqref="B191"/>
      <rowBreaks count="9" manualBreakCount="9">
        <brk id="18" max="26" man="1"/>
        <brk id="150" max="26" man="1"/>
        <brk id="39" max="26" man="1"/>
        <brk id="170" max="26" man="1"/>
        <brk id="57" max="26" man="1"/>
        <brk id="233" max="26" man="1"/>
        <brk id="96" max="26" man="1"/>
        <brk id="101" max="26" man="1"/>
        <brk id="339" max="26" man="1"/>
      </rowBreaks>
      <pageMargins left="0.45" right="0.2" top="0.25" bottom="0.25" header="0.3" footer="0.3"/>
      <printOptions horizontalCentered="1"/>
      <pageSetup scale="89" orientation="landscape" r:id="rId8"/>
      <autoFilter ref="A147:BW448"/>
    </customSheetView>
    <customSheetView guid="{F89B8433-E453-4FDE-8E2A-E7E816BD4DFD}" showAutoFilter="1">
      <pane xSplit="4" ySplit="5" topLeftCell="Y323" activePane="bottomRight" state="frozen"/>
      <selection pane="bottomRight" activeCell="AA327" sqref="AA327"/>
      <rowBreaks count="9" manualBreakCount="9">
        <brk id="19" max="26" man="1"/>
        <brk id="38" max="26" man="1"/>
        <brk id="58" max="26" man="1"/>
        <brk id="74" max="26" man="1"/>
        <brk id="95" max="26" man="1"/>
        <brk id="164" max="26" man="1"/>
        <brk id="184" max="26" man="1"/>
        <brk id="195" max="26" man="1"/>
        <brk id="267" max="26" man="1"/>
      </rowBreaks>
      <pageMargins left="0.45" right="0.2" top="0.25" bottom="0.25" header="0.3" footer="0.3"/>
      <printOptions horizontalCentered="1"/>
      <pageSetup scale="89" orientation="landscape" r:id="rId9"/>
      <autoFilter ref="A5:AU143"/>
    </customSheetView>
    <customSheetView guid="{9BA226E9-1840-4D58-8634-C7CD130BA9DE}" showAutoFilter="1" topLeftCell="A4">
      <pane xSplit="2" ySplit="2" topLeftCell="C6" activePane="bottomRight" state="frozen"/>
      <selection pane="bottomRight" activeCell="J7" sqref="J7"/>
      <rowBreaks count="9" manualBreakCount="9">
        <brk id="18" max="26" man="1"/>
        <brk id="148" max="26" man="1"/>
        <brk id="39" max="26" man="1"/>
        <brk id="169" max="26" man="1"/>
        <brk id="57" max="26" man="1"/>
        <brk id="234" max="26" man="1"/>
        <brk id="96" max="26" man="1"/>
        <brk id="101" max="26" man="1"/>
        <brk id="311" max="26" man="1"/>
      </rowBreaks>
      <pageMargins left="0.45" right="0.2" top="0.25" bottom="0.25" header="0.3" footer="0.3"/>
      <printOptions horizontalCentered="1"/>
      <pageSetup scale="89" orientation="landscape" r:id="rId10"/>
      <autoFilter ref="A5:AU133"/>
    </customSheetView>
    <customSheetView guid="{ECC2632F-F62A-4FAF-AECC-1DDADB5FC34F}" filter="1" showAutoFilter="1" topLeftCell="Y1">
      <selection activeCell="AB14" sqref="AB14"/>
      <rowBreaks count="9" manualBreakCount="9">
        <brk id="19" max="26" man="1"/>
        <brk id="38" max="26" man="1"/>
        <brk id="56" max="26" man="1"/>
        <brk id="72" max="26" man="1"/>
        <brk id="93" max="26" man="1"/>
        <brk id="158" max="26" man="1"/>
        <brk id="179" max="26" man="1"/>
        <brk id="190" max="26" man="1"/>
        <brk id="262" max="26" man="1"/>
      </rowBreaks>
      <pageMargins left="0.45" right="0.2" top="0.25" bottom="0.25" header="0.3" footer="0.3"/>
      <printOptions horizontalCentered="1"/>
      <pageSetup scale="89" orientation="landscape" r:id="rId11"/>
      <autoFilter ref="A4:AK243">
        <filterColumn colId="10">
          <filters>
            <filter val="L/C"/>
            <filter val="L/C&amp;T/R"/>
            <filter val="L/C&amp;T/R&amp;B/G"/>
          </filters>
        </filterColumn>
      </autoFilter>
    </customSheetView>
    <customSheetView guid="{FB80B360-98B3-4D7B-B530-099144659D3A}" showPageBreaks="1" filter="1" showAutoFilter="1" topLeftCell="P230">
      <selection activeCell="Y235" sqref="Y235"/>
      <rowBreaks count="9" manualBreakCount="9">
        <brk id="19" max="26" man="1"/>
        <brk id="38" max="26" man="1"/>
        <brk id="56" max="26" man="1"/>
        <brk id="72" max="26" man="1"/>
        <brk id="93" max="26" man="1"/>
        <brk id="158" max="26" man="1"/>
        <brk id="178" max="26" man="1"/>
        <brk id="190" max="26" man="1"/>
        <brk id="262" max="26" man="1"/>
      </rowBreaks>
      <pageMargins left="0.45" right="0.2" top="0.25" bottom="0.25" header="0.3" footer="0.3"/>
      <printOptions horizontalCentered="1"/>
      <pageSetup scale="89" orientation="landscape" r:id="rId12"/>
      <autoFilter ref="A4:AK243">
        <filterColumn colId="10">
          <filters>
            <filter val="O/D"/>
          </filters>
        </filterColumn>
      </autoFilter>
    </customSheetView>
    <customSheetView guid="{7F784530-9B10-42D7-8F54-8EB6B060482F}" showPageBreaks="1" showAutoFilter="1">
      <pane xSplit="2" ySplit="5" topLeftCell="C6" activePane="bottomRight" state="frozen"/>
      <selection pane="bottomRight" activeCell="C6" sqref="C6"/>
      <rowBreaks count="19" manualBreakCount="19">
        <brk id="23" max="26" man="1"/>
        <brk id="41" max="16383" man="1"/>
        <brk id="42" max="26" man="1"/>
        <brk id="60" max="26" man="1"/>
        <brk id="75" max="26" man="1"/>
        <brk id="92" max="26" man="1"/>
        <brk id="106" max="16383" man="1"/>
        <brk id="120" max="26" man="1"/>
        <brk id="134" max="16383" man="1"/>
        <brk id="151" max="26" man="1"/>
        <brk id="170" max="16383" man="1"/>
        <brk id="171" max="16383" man="1"/>
        <brk id="177" max="26" man="1"/>
        <brk id="195" max="16383" man="1"/>
        <brk id="202" max="26" man="1"/>
        <brk id="216" max="26" man="1"/>
        <brk id="242" max="16383" man="1"/>
        <brk id="250" max="26" man="1"/>
        <brk id="272" max="26" man="1"/>
      </rowBreaks>
      <pageMargins left="0.45" right="0.2" top="0.25" bottom="0.25" header="0.3" footer="0.3"/>
      <printOptions horizontalCentered="1"/>
      <pageSetup scale="89" orientation="landscape" r:id="rId13"/>
      <autoFilter ref="A4:AL243"/>
    </customSheetView>
    <customSheetView guid="{8AF18E21-1031-46CF-B2BC-F1B32D8B514B}" scale="115" showPageBreaks="1">
      <pane xSplit="6" ySplit="6" topLeftCell="R265" activePane="bottomRight" state="frozen"/>
      <selection pane="bottomRight" activeCell="S273" sqref="S273"/>
      <pageMargins left="0.7" right="0.7" top="0.75" bottom="0.75" header="0.3" footer="0.3"/>
      <pageSetup orientation="portrait" r:id="rId14"/>
    </customSheetView>
    <customSheetView guid="{E4837792-4A99-499B-8EC2-DE4E4D167510}" showPageBreaks="1" printArea="1">
      <pane xSplit="6" ySplit="6" topLeftCell="G90" activePane="bottomRight" state="frozen"/>
      <selection pane="bottomRight" activeCell="A97" sqref="A97"/>
      <rowBreaks count="7" manualBreakCount="7">
        <brk id="24" max="34" man="1"/>
        <brk id="44" max="34" man="1"/>
        <brk id="66" max="34" man="1"/>
        <brk id="87" max="34" man="1"/>
        <brk id="102" max="34" man="1"/>
        <brk id="238" max="26" man="1"/>
        <brk id="282" max="26" man="1"/>
      </rowBreaks>
      <pageMargins left="0.45" right="0.2" top="0.25" bottom="0.25" header="0.3" footer="0.3"/>
      <printOptions horizontalCentered="1"/>
      <pageSetup scale="89" orientation="landscape" r:id="rId15"/>
    </customSheetView>
    <customSheetView guid="{16D4A374-74B9-406B-A5BA-2D573E6A0CF2}" filter="1" showAutoFilter="1" topLeftCell="S235">
      <selection activeCell="AA250" sqref="AA250"/>
      <rowBreaks count="9" manualBreakCount="9">
        <brk id="19" max="26" man="1"/>
        <brk id="38" max="26" man="1"/>
        <brk id="56" max="26" man="1"/>
        <brk id="72" max="26" man="1"/>
        <brk id="93" max="26" man="1"/>
        <brk id="158" max="26" man="1"/>
        <brk id="178" max="26" man="1"/>
        <brk id="190" max="26" man="1"/>
        <brk id="262" max="26" man="1"/>
      </rowBreaks>
      <pageMargins left="0.45" right="0.2" top="0.25" bottom="0.25" header="0.3" footer="0.3"/>
      <printOptions horizontalCentered="1"/>
      <pageSetup scale="89" orientation="landscape" r:id="rId16"/>
      <autoFilter ref="A4:AK243">
        <filterColumn colId="10">
          <filters>
            <filter val="O/D"/>
          </filters>
        </filterColumn>
      </autoFilter>
    </customSheetView>
    <customSheetView guid="{F729E7D6-6F09-4AEC-8A8D-5BB0CE563030}" filter="1" showAutoFilter="1">
      <pane xSplit="4" ySplit="6" topLeftCell="I300" activePane="bottomRight" state="frozen"/>
      <selection pane="bottomRight" activeCell="K310" sqref="K310"/>
      <rowBreaks count="9" manualBreakCount="9">
        <brk id="20" max="26" man="1"/>
        <brk id="36" max="26" man="1"/>
        <brk id="59" max="26" man="1"/>
        <brk id="79" max="26" man="1"/>
        <brk id="101" max="26" man="1"/>
        <brk id="184" max="26" man="1"/>
        <brk id="211" max="26" man="1"/>
        <brk id="222" max="26" man="1"/>
        <brk id="298" max="26" man="1"/>
      </rowBreaks>
      <pageMargins left="0.45" right="0.2" top="0.25" bottom="0.25" header="0.3" footer="0.3"/>
      <printOptions horizontalCentered="1"/>
      <pageSetup scale="89" orientation="landscape" r:id="rId17"/>
      <autoFilter ref="A4:AK287">
        <filterColumn colId="10">
          <filters>
            <filter val="L/C&amp;B/G"/>
          </filters>
        </filterColumn>
      </autoFilter>
    </customSheetView>
    <customSheetView guid="{2896A421-8E5B-4BF0-9CC6-B6380E0DB314}" showAutoFilter="1" topLeftCell="A137">
      <selection activeCell="B147" sqref="B147"/>
      <rowBreaks count="9" manualBreakCount="9">
        <brk id="19" max="26" man="1"/>
        <brk id="38" max="26" man="1"/>
        <brk id="56" max="26" man="1"/>
        <brk id="72" max="26" man="1"/>
        <brk id="93" max="26" man="1"/>
        <brk id="157" max="26" man="1"/>
        <brk id="178" max="26" man="1"/>
        <brk id="189" max="26" man="1"/>
        <brk id="261" max="26" man="1"/>
      </rowBreaks>
      <pageMargins left="0.45" right="0.2" top="0.25" bottom="0.25" header="0.3" footer="0.3"/>
      <printOptions horizontalCentered="1"/>
      <pageSetup scale="89" orientation="landscape" r:id="rId18"/>
      <autoFilter ref="A5:AU135"/>
    </customSheetView>
    <customSheetView guid="{98D3DDB6-797A-47DD-9C96-BB16B2207A0C}" scale="115" showAutoFilter="1" topLeftCell="A4">
      <pane xSplit="2" ySplit="2" topLeftCell="X419" activePane="bottomRight" state="frozen"/>
      <selection pane="bottomRight" activeCell="A114" sqref="A114:XFD114"/>
      <rowBreaks count="9" manualBreakCount="9">
        <brk id="18" max="26" man="1"/>
        <brk id="146" max="26" man="1"/>
        <brk id="36" max="26" man="1"/>
        <brk id="167" max="26" man="1"/>
        <brk id="54" max="26" man="1"/>
        <brk id="233" max="26" man="1"/>
        <brk id="93" max="26" man="1"/>
        <brk id="98" max="26" man="1"/>
        <brk id="323" max="26" man="1"/>
      </rowBreaks>
      <pageMargins left="0.45" right="0.2" top="0.25" bottom="0.25" header="0.3" footer="0.3"/>
      <printOptions horizontalCentered="1"/>
      <pageSetup scale="89" orientation="landscape" r:id="rId19"/>
      <autoFilter ref="A5:AU141"/>
    </customSheetView>
    <customSheetView guid="{A1D515A7-1E5B-4509-BA26-4ABAA82FF869}" scale="115" filter="1" showAutoFilter="1" topLeftCell="A4">
      <pane xSplit="2" ySplit="127" topLeftCell="S446" activePane="bottomRight" state="frozen"/>
      <selection pane="bottomRight" activeCell="W455" sqref="W455"/>
      <rowBreaks count="9" manualBreakCount="9">
        <brk id="18" max="26" man="1"/>
        <brk id="148" max="26" man="1"/>
        <brk id="39" max="26" man="1"/>
        <brk id="169" max="26" man="1"/>
        <brk id="57" max="26" man="1"/>
        <brk id="234" max="26" man="1"/>
        <brk id="96" max="26" man="1"/>
        <brk id="101" max="26" man="1"/>
        <brk id="312" max="26" man="1"/>
      </rowBreaks>
      <pageMargins left="0.45" right="0.2" top="0.25" bottom="0.25" header="0.3" footer="0.3"/>
      <printOptions horizontalCentered="1"/>
      <pageSetup scale="89" orientation="landscape" r:id="rId20"/>
      <autoFilter ref="A5:AU142">
        <filterColumn colId="21">
          <filters>
            <filter val="634.60"/>
          </filters>
        </filterColumn>
      </autoFilter>
    </customSheetView>
    <customSheetView guid="{80E06DBA-C6F3-475B-8D63-21743367E2AD}" showAutoFilter="1" topLeftCell="A4">
      <pane xSplit="2" ySplit="6" topLeftCell="C10" activePane="bottomRight" state="frozen"/>
      <selection pane="bottomRight" activeCell="L59" sqref="L59"/>
      <rowBreaks count="8" manualBreakCount="8">
        <brk id="18" max="26" man="1"/>
        <brk id="152" max="26" man="1"/>
        <brk id="36" max="26" man="1"/>
        <brk id="169" max="26" man="1"/>
        <brk id="55" max="26" man="1"/>
        <brk id="235" max="26" man="1"/>
        <brk id="94" max="26" man="1"/>
        <brk id="98" max="26" man="1"/>
      </rowBreaks>
      <pageMargins left="0.45" right="0.2" top="0.25" bottom="0.25" header="0.3" footer="0.3"/>
      <printOptions horizontalCentered="1"/>
      <pageSetup scale="89" orientation="landscape" r:id="rId21"/>
      <autoFilter ref="A152:BW463"/>
    </customSheetView>
    <customSheetView guid="{9ED09EA6-4579-48A9-AD5B-8A08B9AAA8BE}" showPageBreaks="1" printArea="1">
      <pane xSplit="6" ySplit="6" topLeftCell="G7" activePane="bottomRight" state="frozen"/>
      <selection pane="bottomRight" activeCell="L6" sqref="L6"/>
      <rowBreaks count="12" manualBreakCount="12">
        <brk id="26" max="34" man="1"/>
        <brk id="42" max="34" man="1"/>
        <brk id="65" max="34" man="1"/>
        <brk id="88" max="34" man="1"/>
        <brk id="101" max="34" man="1"/>
        <brk id="120" max="34" man="1"/>
        <brk id="134" max="34" man="1"/>
        <brk id="158" max="34" man="1"/>
        <brk id="174" max="34" man="1"/>
        <brk id="193" max="34" man="1"/>
        <brk id="216" max="26" man="1"/>
        <brk id="271" max="26" man="1"/>
      </rowBreaks>
      <pageMargins left="0.45" right="0.2" top="0.25" bottom="0.25" header="0.3" footer="0.3"/>
      <printOptions horizontalCentered="1"/>
      <pageSetup scale="89" orientation="landscape" r:id="rId22"/>
    </customSheetView>
    <customSheetView guid="{7631AB21-BAD4-410B-9EB7-37E4C039E55D}" scale="115" showAutoFilter="1" topLeftCell="A4">
      <pane xSplit="2" ySplit="2" topLeftCell="C458" activePane="bottomRight" state="frozen"/>
      <selection pane="bottomRight" activeCell="B459" sqref="B459"/>
      <rowBreaks count="9" manualBreakCount="9">
        <brk id="18" max="26" man="1"/>
        <brk id="149" max="26" man="1"/>
        <brk id="36" max="26" man="1"/>
        <brk id="169" max="26" man="1"/>
        <brk id="54" max="26" man="1"/>
        <brk id="234" max="26" man="1"/>
        <brk id="93" max="26" man="1"/>
        <brk id="98" max="26" man="1"/>
        <brk id="322" max="26" man="1"/>
      </rowBreaks>
      <pageMargins left="0.45" right="0.2" top="0.25" bottom="0.25" header="0.3" footer="0.3"/>
      <printOptions horizontalCentered="1"/>
      <pageSetup scale="89" orientation="landscape" r:id="rId23"/>
      <autoFilter ref="A5:AU152"/>
    </customSheetView>
    <customSheetView guid="{BE76667A-60C4-4702-8334-217BF8BB1245}" showPageBreaks="1" printArea="1" showAutoFilter="1">
      <pane xSplit="2" ySplit="5" topLeftCell="J149" activePane="bottomRight" state="frozen"/>
      <selection pane="bottomRight" activeCell="M151" sqref="M151"/>
      <rowBreaks count="9" manualBreakCount="9">
        <brk id="19" max="34" man="1"/>
        <brk id="38" max="34" man="1"/>
        <brk id="58" max="34" man="1"/>
        <brk id="74" max="34" man="1"/>
        <brk id="95" max="34" man="1"/>
        <brk id="164" max="34" man="1"/>
        <brk id="184" max="34" man="1"/>
        <brk id="195" max="34" man="1"/>
        <brk id="267" max="34" man="1"/>
      </rowBreaks>
      <pageMargins left="0.45" right="0.2" top="0.25" bottom="0.25" header="0.3" footer="0.3"/>
      <printOptions horizontalCentered="1"/>
      <pageSetup scale="89" orientation="landscape" r:id="rId24"/>
      <autoFilter ref="A5:BW151"/>
    </customSheetView>
    <customSheetView guid="{3FE5399F-6D96-46C9-B56D-C9200CDFFBCC}" filter="1" showAutoFilter="1">
      <pane xSplit="2" ySplit="5" topLeftCell="AF488" activePane="bottomRight" state="frozen"/>
      <selection pane="bottomRight" activeCell="A195" sqref="A195:XFD195"/>
      <rowBreaks count="9" manualBreakCount="9">
        <brk id="19" max="26" man="1"/>
        <brk id="38" max="26" man="1"/>
        <brk id="58" max="26" man="1"/>
        <brk id="74" max="26" man="1"/>
        <brk id="95" max="26" man="1"/>
        <brk id="164" max="26" man="1"/>
        <brk id="184" max="26" man="1"/>
        <brk id="194" max="26" man="1"/>
        <brk id="266" max="26" man="1"/>
      </rowBreaks>
      <pageMargins left="0.45" right="0.2" top="0.25" bottom="0.25" header="0.3" footer="0.3"/>
      <printOptions horizontalCentered="1"/>
      <pageSetup scale="89" orientation="landscape" r:id="rId25"/>
      <autoFilter ref="A168:BW554">
        <filterColumn colId="10">
          <filters>
            <filter val="S/L"/>
            <filter val="T/L"/>
          </filters>
        </filterColumn>
      </autoFilter>
    </customSheetView>
    <customSheetView guid="{DB5C611D-B585-4D04-94DC-84E03E7F6427}" scale="90" topLeftCell="AB322">
      <selection activeCell="AD329" sqref="AD329"/>
      <rowBreaks count="8" manualBreakCount="8">
        <brk id="17" max="26" man="1"/>
        <brk id="37" max="26" man="1"/>
        <brk id="54" max="26" man="1"/>
        <brk id="93" max="26" man="1"/>
        <brk id="177" max="26" man="1"/>
        <brk id="243" max="26" man="1"/>
        <brk id="346" max="26" man="1"/>
        <brk id="407" max="26" man="1"/>
      </rowBreaks>
      <pageMargins left="0.45" right="0.2" top="0.25" bottom="0.25" header="0.3" footer="0.3"/>
      <printOptions horizontalCentered="1"/>
      <pageSetup scale="89" orientation="landscape" r:id="rId26"/>
    </customSheetView>
    <customSheetView guid="{0C6DA001-EF29-43B3-B8E5-B7C6D16AED4F}" scale="130" topLeftCell="T556">
      <selection activeCell="X565" sqref="X565"/>
      <rowBreaks count="8" manualBreakCount="8">
        <brk id="17" max="26" man="1"/>
        <brk id="37" max="26" man="1"/>
        <brk id="54" max="26" man="1"/>
        <brk id="93" max="26" man="1"/>
        <brk id="178" max="26" man="1"/>
        <brk id="242" max="26" man="1"/>
        <brk id="350" max="26" man="1"/>
        <brk id="412" max="26" man="1"/>
      </rowBreaks>
      <pageMargins left="0.45" right="0.2" top="0.25" bottom="0.25" header="0.3" footer="0.3"/>
      <printOptions horizontalCentered="1"/>
      <pageSetup scale="89" orientation="landscape" r:id="rId27"/>
    </customSheetView>
    <customSheetView guid="{C57D03F9-88DE-4996-9965-888CDFC990C2}" scale="136" showPageBreaks="1">
      <pane xSplit="2" ySplit="5" topLeftCell="AE160" activePane="bottomRight" state="frozen"/>
      <selection pane="bottomRight" activeCell="AG3" sqref="AG3"/>
      <rowBreaks count="8" manualBreakCount="8">
        <brk id="17" max="26" man="1"/>
        <brk id="38" max="26" man="1"/>
        <brk id="55" max="26" man="1"/>
        <brk id="95" max="26" man="1"/>
        <brk id="194" max="26" man="1"/>
        <brk id="256" max="26" man="1"/>
        <brk id="340" max="26" man="1"/>
        <brk id="402" max="26" man="1"/>
      </rowBreaks>
      <pageMargins left="0.45" right="0.2" top="0.25" bottom="0.25" header="0.3" footer="0.3"/>
      <printOptions horizontalCentered="1"/>
      <pageSetup scale="89" orientation="landscape" r:id="rId28"/>
    </customSheetView>
    <customSheetView guid="{51A412B5-0E75-4615-BBB6-5CF03E1A3E32}" scale="85">
      <pane xSplit="2" ySplit="5" topLeftCell="G36" activePane="bottomRight" state="frozen"/>
      <selection pane="bottomRight" activeCell="O42" sqref="O42"/>
      <pageMargins left="0.45" right="0.2" top="0.25" bottom="0.25" header="0.3" footer="0.3"/>
      <printOptions horizontalCentered="1"/>
      <pageSetup scale="89" orientation="landscape" r:id="rId29"/>
    </customSheetView>
  </customSheetViews>
  <mergeCells count="23">
    <mergeCell ref="M243:M244"/>
    <mergeCell ref="N243:N244"/>
    <mergeCell ref="M237:M238"/>
    <mergeCell ref="N237:N238"/>
    <mergeCell ref="M239:M240"/>
    <mergeCell ref="N239:N240"/>
    <mergeCell ref="M241:M242"/>
    <mergeCell ref="N241:N242"/>
    <mergeCell ref="A5:D5"/>
    <mergeCell ref="A12:D12"/>
    <mergeCell ref="M233:M234"/>
    <mergeCell ref="N233:N234"/>
    <mergeCell ref="M235:M236"/>
    <mergeCell ref="N235:N236"/>
    <mergeCell ref="A202:C202"/>
    <mergeCell ref="A219:C219"/>
    <mergeCell ref="A222:C222"/>
    <mergeCell ref="J229:K229"/>
    <mergeCell ref="A11:AI11"/>
    <mergeCell ref="A10:AI10"/>
    <mergeCell ref="A9:AI9"/>
    <mergeCell ref="I12:AI12"/>
    <mergeCell ref="K5:AI5"/>
  </mergeCells>
  <phoneticPr fontId="104" type="noConversion"/>
  <dataValidations xWindow="1056" yWindow="566" count="13">
    <dataValidation type="list" allowBlank="1" showInputMessage="1" showErrorMessage="1" sqref="AH212 AH7:AH8 AH205:AH207 AH14:AH198">
      <formula1>IND</formula1>
    </dataValidation>
    <dataValidation type="list" allowBlank="1" showInputMessage="1" sqref="AG223:AG227 AG7:AG8 AG205:AG207 AG212:AG213 AG14:AG198">
      <formula1>"Garment industry,Rubber industry,Rice industry,Real Estate Investment industry,Construction industry,Bank industry,Other"</formula1>
    </dataValidation>
    <dataValidation type="list" allowBlank="1" showInputMessage="1" showErrorMessage="1" sqref="W223:W227 W7 W205:W207 W212:W213 W14:W198">
      <formula1>"1%,3%,20%,50%,100%"</formula1>
    </dataValidation>
    <dataValidation type="list" allowBlank="1" showInputMessage="1" showErrorMessage="1" sqref="AC223:AC227 AB18 AC7:AC8 AC205:AC207 AC14:AC17 AC212:AC213 AC19:AC198">
      <formula1>"Low,Middle,High"</formula1>
    </dataValidation>
    <dataValidation type="list" allowBlank="1" showInputMessage="1" showErrorMessage="1" prompt="1.If customer only provided &quot;guarantee&quot; or&quot; sale contract&quot; or &quot;project&quot;  choose &quot;N&quot;._x000a_2.If customer  provided secure include &quot;assese&quot; choose &quot;Y(Assest)&quot;._x000a_3.If customer  provided secure like &quot;land&quot; or &quot;ville&quot; or &quot;house&quot;&quot; choose &quot;Y&quot;." sqref="AB223:AB227 AB7:AB8 AB205:AB207 AB14:AB17 AB212:AB213 AB19:AB198">
      <formula1>"Y,N,Y(Asset)"</formula1>
    </dataValidation>
    <dataValidation type="list" showInputMessage="1" showErrorMessage="1" sqref="I223:I227 I212 I7:I8 I205:I207 I14:I198">
      <formula1>"Int.,Principal+Int.,Amortization"</formula1>
    </dataValidation>
    <dataValidation type="list" allowBlank="1" showInputMessage="1" showErrorMessage="1" sqref="C223:C227 C221 C200 C7 C207:C210 C213:C218">
      <formula1>"Personal, Company"</formula1>
    </dataValidation>
    <dataValidation type="list" allowBlank="1" showInputMessage="1" showErrorMessage="1" sqref="K223:K227 K7 K121:K122 K124 K205:K207 K212:K213 K14:K110">
      <formula1>"O/D,S/L,T/L,L/C,T/R,B/G,D/A,D/P,O/D&amp;L/C,L/C&amp;T/R,L/C&amp;B/G,L/C&amp;T/R&amp;B/G,L/C&amp;T/R&amp;B/G&amp;O/D"</formula1>
    </dataValidation>
    <dataValidation allowBlank="1" showInputMessage="1" showErrorMessage="1" prompt="Included &quot;L/C&quot; ; &quot;L/C Acceptance&quot; ; &quot;T/R&quot;" sqref="P223:P227 P7 P205:P207 P212:P213 P14:P198"/>
    <dataValidation type="list" allowBlank="1" showInputMessage="1" showErrorMessage="1" sqref="D200:D202 D208:D211 D213:D222">
      <formula1>"Cambodian, Chinese, Taiwanese, Other"</formula1>
    </dataValidation>
    <dataValidation type="list" allowBlank="1" showInputMessage="1" showErrorMessage="1" sqref="D223:D227 D7 D207">
      <formula1>"Cambodian, Chinese, Taiwanese,Hong Kong, Other"</formula1>
    </dataValidation>
    <dataValidation type="list" allowBlank="1" showErrorMessage="1" sqref="C8 C205:C206 C212 C14:C199">
      <formula1>"Personal,Company"</formula1>
    </dataValidation>
    <dataValidation type="list" allowBlank="1" showErrorMessage="1" sqref="D8 D205:D206 D212 D14:D199">
      <formula1>"Cambodian, Chinese, Taiwanese, Hong Kong, Other"</formula1>
    </dataValidation>
  </dataValidations>
  <printOptions horizontalCentered="1"/>
  <pageMargins left="0.45" right="0.2" top="0.25" bottom="0.25" header="0.3" footer="0.3"/>
  <pageSetup scale="40" orientation="landscape" r:id="rId30"/>
  <ignoredErrors>
    <ignoredError sqref="M199 S199" formula="1"/>
  </ignoredErrors>
  <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79"/>
  <sheetViews>
    <sheetView zoomScale="90" zoomScaleNormal="90" zoomScaleSheetLayoutView="40" workbookViewId="0">
      <pane ySplit="6" topLeftCell="A16" activePane="bottomLeft" state="frozen"/>
      <selection activeCell="I183" sqref="I183"/>
      <selection pane="bottomLeft" activeCell="F9" sqref="F9"/>
    </sheetView>
  </sheetViews>
  <sheetFormatPr defaultRowHeight="15"/>
  <cols>
    <col min="1" max="1" width="4.44140625" customWidth="1"/>
    <col min="2" max="2" width="32.77734375" customWidth="1"/>
    <col min="3" max="3" width="15.44140625" customWidth="1"/>
    <col min="4" max="4" width="8.5546875" customWidth="1"/>
    <col min="5" max="5" width="13.44140625" customWidth="1"/>
    <col min="6" max="6" width="13.44140625" style="450" customWidth="1"/>
    <col min="7" max="7" width="12" customWidth="1"/>
    <col min="8" max="9" width="9.77734375" customWidth="1"/>
    <col min="10" max="10" width="27.5546875" customWidth="1"/>
    <col min="11" max="11" width="32.6640625" bestFit="1" customWidth="1"/>
  </cols>
  <sheetData>
    <row r="1" spans="1:13" s="732" customFormat="1" ht="33.75" customHeight="1">
      <c r="A1" s="402" t="s">
        <v>0</v>
      </c>
      <c r="B1" s="402"/>
      <c r="C1" s="402"/>
      <c r="D1" s="402"/>
      <c r="E1" s="402"/>
      <c r="F1" s="402"/>
      <c r="G1" s="402"/>
      <c r="H1" s="402"/>
      <c r="I1" s="402"/>
      <c r="J1" s="402"/>
      <c r="K1"/>
    </row>
    <row r="2" spans="1:13" s="732" customFormat="1" ht="33.75" customHeight="1">
      <c r="A2" s="1388" t="s">
        <v>628</v>
      </c>
      <c r="B2" s="402"/>
      <c r="C2" s="402"/>
      <c r="D2" s="402"/>
      <c r="E2" s="402"/>
      <c r="F2" s="402"/>
      <c r="G2" s="402"/>
      <c r="H2" s="402"/>
      <c r="I2" s="402"/>
      <c r="J2" s="402"/>
      <c r="K2"/>
    </row>
    <row r="3" spans="1:13" s="732" customFormat="1" ht="29.25" customHeight="1">
      <c r="A3" s="824" t="s">
        <v>570</v>
      </c>
      <c r="B3" s="403"/>
      <c r="C3" s="403"/>
      <c r="D3" s="403"/>
      <c r="E3" s="403"/>
      <c r="F3" s="403"/>
      <c r="G3" s="403"/>
      <c r="H3" s="403"/>
      <c r="I3" s="403"/>
      <c r="J3" s="403"/>
      <c r="K3"/>
    </row>
    <row r="4" spans="1:13" s="732" customFormat="1" ht="22.5" thickBot="1">
      <c r="A4" s="1713" t="s">
        <v>1714</v>
      </c>
      <c r="B4" s="1713"/>
      <c r="C4" s="401"/>
      <c r="D4" s="401"/>
      <c r="E4" s="401"/>
      <c r="F4" s="491"/>
      <c r="G4" s="401"/>
      <c r="H4" s="401"/>
      <c r="I4" s="401"/>
      <c r="J4" s="401"/>
      <c r="K4"/>
    </row>
    <row r="5" spans="1:13" s="732" customFormat="1" ht="18.75" customHeight="1" thickTop="1">
      <c r="A5" s="1720" t="s">
        <v>26</v>
      </c>
      <c r="B5" s="1722" t="s">
        <v>2</v>
      </c>
      <c r="C5" s="1722" t="s">
        <v>27</v>
      </c>
      <c r="D5" s="1724" t="s">
        <v>575</v>
      </c>
      <c r="E5" s="1722" t="s">
        <v>28</v>
      </c>
      <c r="F5" s="1306" t="s">
        <v>7</v>
      </c>
      <c r="G5" s="1305"/>
      <c r="H5" s="1716" t="s">
        <v>29</v>
      </c>
      <c r="I5" s="1718" t="s">
        <v>9</v>
      </c>
      <c r="J5" s="1714" t="s">
        <v>30</v>
      </c>
      <c r="K5" s="71"/>
    </row>
    <row r="6" spans="1:13" s="732" customFormat="1" ht="19.5" customHeight="1">
      <c r="A6" s="1721"/>
      <c r="B6" s="1723"/>
      <c r="C6" s="1723"/>
      <c r="D6" s="1725"/>
      <c r="E6" s="1723"/>
      <c r="F6" s="1197" t="s">
        <v>31</v>
      </c>
      <c r="G6" s="1304" t="s">
        <v>32</v>
      </c>
      <c r="H6" s="1717"/>
      <c r="I6" s="1719"/>
      <c r="J6" s="1715"/>
    </row>
    <row r="7" spans="1:13" s="732" customFormat="1" ht="31.5" customHeight="1">
      <c r="A7" s="1726" t="s">
        <v>582</v>
      </c>
      <c r="B7" s="1727"/>
      <c r="C7" s="1727"/>
      <c r="D7" s="1727"/>
      <c r="E7" s="1727"/>
      <c r="F7" s="1727"/>
      <c r="G7" s="1727"/>
      <c r="H7" s="1727"/>
      <c r="I7" s="1727"/>
      <c r="J7" s="1728"/>
      <c r="K7" s="71"/>
    </row>
    <row r="8" spans="1:13" s="663" customFormat="1" ht="23.25" customHeight="1">
      <c r="A8" s="1535">
        <v>2</v>
      </c>
      <c r="B8" s="1583" t="s">
        <v>724</v>
      </c>
      <c r="C8" s="1542">
        <v>1000178574</v>
      </c>
      <c r="D8" s="1497">
        <v>0.09</v>
      </c>
      <c r="E8" s="1543">
        <v>50000</v>
      </c>
      <c r="F8" s="1544">
        <f>-VLOOKUP(K8,[5]KH0010009_20170831_CRB_Output_!$C$155:$E$156,3,FALSE)</f>
        <v>48399.07</v>
      </c>
      <c r="G8" s="1584"/>
      <c r="H8" s="1585">
        <v>42718</v>
      </c>
      <c r="I8" s="1585">
        <v>43083</v>
      </c>
      <c r="J8" s="1598"/>
      <c r="K8" s="429" t="s">
        <v>771</v>
      </c>
    </row>
    <row r="9" spans="1:13" s="429" customFormat="1" ht="35.25" customHeight="1" thickBot="1">
      <c r="A9" s="1081" t="s">
        <v>577</v>
      </c>
      <c r="B9"/>
      <c r="C9" s="1082"/>
      <c r="D9" s="1536" t="s">
        <v>34</v>
      </c>
      <c r="E9" s="1547">
        <f>SUM(E8:E8)</f>
        <v>50000</v>
      </c>
      <c r="F9" s="1307">
        <f>SUM(F8:F8)</f>
        <v>48399.07</v>
      </c>
      <c r="G9" s="1307"/>
      <c r="H9" s="1083"/>
      <c r="I9" s="1086"/>
      <c r="J9" s="1084"/>
    </row>
    <row r="10" spans="1:13" s="472" customFormat="1" ht="30.75" customHeight="1">
      <c r="A10" s="1137"/>
      <c r="B10" s="1137" t="s">
        <v>630</v>
      </c>
      <c r="C10" s="1137"/>
      <c r="D10" s="1138"/>
      <c r="E10" s="1139"/>
      <c r="F10" s="1140"/>
      <c r="G10" s="61"/>
      <c r="H10" s="1034"/>
      <c r="I10" s="61"/>
      <c r="J10" s="1102"/>
      <c r="K10" s="1102"/>
      <c r="L10" s="1141"/>
      <c r="M10" s="1142"/>
    </row>
    <row r="11" spans="1:13" s="1085" customFormat="1" ht="18" customHeight="1">
      <c r="A11" s="1087" t="s">
        <v>18</v>
      </c>
      <c r="B11" s="8" t="s">
        <v>963</v>
      </c>
      <c r="C11" s="9"/>
      <c r="D11" s="1088"/>
      <c r="E11" s="1088"/>
      <c r="F11" s="1089"/>
      <c r="G11" s="1090"/>
      <c r="H11" s="1088"/>
      <c r="I11" s="1091"/>
      <c r="J11" s="8"/>
    </row>
    <row r="12" spans="1:13" s="1085" customFormat="1" ht="18" customHeight="1">
      <c r="A12" s="1087" t="s">
        <v>22</v>
      </c>
      <c r="B12" s="1090" t="s">
        <v>1469</v>
      </c>
      <c r="C12" s="9"/>
      <c r="D12" s="9"/>
      <c r="E12" s="9"/>
      <c r="F12" s="1089"/>
      <c r="G12" s="1089"/>
      <c r="H12" s="1088"/>
      <c r="I12" s="1091"/>
      <c r="J12" s="8"/>
    </row>
    <row r="13" spans="1:13">
      <c r="A13" s="1092" t="s">
        <v>23</v>
      </c>
      <c r="B13" s="1093" t="s">
        <v>578</v>
      </c>
      <c r="C13" s="9"/>
      <c r="D13" s="9"/>
      <c r="E13" s="9"/>
      <c r="F13" s="9"/>
      <c r="G13" s="9"/>
      <c r="H13" s="9"/>
      <c r="I13" s="1094"/>
      <c r="J13" s="8"/>
    </row>
    <row r="14" spans="1:13">
      <c r="A14" s="1095" t="s">
        <v>24</v>
      </c>
      <c r="B14" s="1093" t="s">
        <v>1112</v>
      </c>
      <c r="C14" s="9"/>
      <c r="D14" s="9"/>
      <c r="E14" s="9"/>
      <c r="F14" s="9"/>
      <c r="G14" s="9"/>
      <c r="H14" s="9"/>
      <c r="I14" s="10"/>
      <c r="J14" s="8"/>
    </row>
    <row r="15" spans="1:13" ht="15.75" thickBot="1">
      <c r="A15" s="7"/>
      <c r="B15" s="8"/>
      <c r="C15" s="9"/>
      <c r="D15" s="9"/>
      <c r="E15" s="9"/>
      <c r="F15" s="9"/>
      <c r="G15" s="9"/>
      <c r="H15" s="9"/>
      <c r="I15" s="10"/>
      <c r="J15" s="8"/>
    </row>
    <row r="16" spans="1:13" s="732" customFormat="1" ht="31.5" customHeight="1" thickTop="1">
      <c r="A16" s="1732" t="s">
        <v>568</v>
      </c>
      <c r="B16" s="1733"/>
      <c r="C16" s="1733"/>
      <c r="D16" s="1733"/>
      <c r="E16" s="1733"/>
      <c r="F16" s="1733"/>
      <c r="G16" s="1733"/>
      <c r="H16" s="1733"/>
      <c r="I16" s="1733"/>
      <c r="J16" s="1734"/>
      <c r="K16" s="71"/>
    </row>
    <row r="17" spans="1:11" s="429" customFormat="1" ht="23.25" customHeight="1">
      <c r="A17" s="1506">
        <v>1</v>
      </c>
      <c r="B17" s="1583" t="s">
        <v>751</v>
      </c>
      <c r="C17" s="1613">
        <v>1000177462</v>
      </c>
      <c r="D17" s="1497">
        <v>0.09</v>
      </c>
      <c r="E17" s="1614">
        <v>200000</v>
      </c>
      <c r="F17" s="1615">
        <f>-VLOOKUP(K17,[5]KH0010009_20170831_CRB_Output_!$C$155:$E$156,3,FALSE)</f>
        <v>187831.82</v>
      </c>
      <c r="G17" s="1616"/>
      <c r="H17" s="1585">
        <v>42689</v>
      </c>
      <c r="I17" s="1585">
        <v>43054</v>
      </c>
      <c r="J17" s="1617"/>
      <c r="K17" s="429" t="s">
        <v>1111</v>
      </c>
    </row>
    <row r="18" spans="1:11" s="429" customFormat="1" ht="23.25" customHeight="1" thickBot="1">
      <c r="A18" s="1498"/>
      <c r="B18" s="1499"/>
      <c r="C18" s="1500"/>
      <c r="D18" s="1501"/>
      <c r="E18" s="1502"/>
      <c r="F18" s="1503"/>
      <c r="G18" s="1503"/>
      <c r="H18" s="1504"/>
      <c r="I18" s="1504"/>
      <c r="J18" s="1505"/>
    </row>
    <row r="19" spans="1:11" ht="31.5" customHeight="1" thickTop="1" thickBot="1">
      <c r="A19" s="1731" t="s">
        <v>485</v>
      </c>
      <c r="B19" s="1731"/>
      <c r="C19" s="1731"/>
      <c r="D19" s="1731"/>
      <c r="E19" s="1394">
        <f>SUM(E17:E18)</f>
        <v>200000</v>
      </c>
      <c r="F19" s="1395">
        <f>SUM(F17:F18)</f>
        <v>187831.82</v>
      </c>
      <c r="G19" s="1396">
        <f>SUM(G17:G18)</f>
        <v>0</v>
      </c>
      <c r="H19" s="730"/>
      <c r="I19" s="731"/>
      <c r="J19" s="820"/>
    </row>
    <row r="20" spans="1:11" ht="31.5" customHeight="1" thickBot="1">
      <c r="A20" s="1731" t="s">
        <v>569</v>
      </c>
      <c r="B20" s="1731"/>
      <c r="C20" s="1731"/>
      <c r="D20" s="1731"/>
      <c r="E20" s="1545">
        <f>E9+E19</f>
        <v>250000</v>
      </c>
      <c r="F20" s="1528">
        <f>F19+F9</f>
        <v>236230.89</v>
      </c>
      <c r="G20" s="1546">
        <f>G19+G9</f>
        <v>0</v>
      </c>
      <c r="H20" s="730"/>
      <c r="I20" s="731"/>
      <c r="J20" s="820"/>
    </row>
    <row r="21" spans="1:11" ht="16.5" thickTop="1">
      <c r="A21" s="2" t="s">
        <v>17</v>
      </c>
      <c r="B21" s="3"/>
      <c r="C21" s="3"/>
      <c r="D21" s="3"/>
      <c r="E21" s="4"/>
      <c r="F21" s="3"/>
      <c r="G21" s="3"/>
      <c r="H21" s="3"/>
      <c r="I21" s="5"/>
      <c r="J21" s="6"/>
    </row>
    <row r="22" spans="1:11">
      <c r="A22" s="7" t="s">
        <v>18</v>
      </c>
      <c r="B22" s="8" t="s">
        <v>890</v>
      </c>
      <c r="C22" s="9"/>
      <c r="D22" s="9"/>
      <c r="E22" s="9"/>
      <c r="F22" s="9"/>
      <c r="G22" s="9"/>
      <c r="H22" s="9"/>
      <c r="I22" s="10"/>
      <c r="J22" s="8"/>
    </row>
    <row r="23" spans="1:11">
      <c r="A23" s="7" t="s">
        <v>22</v>
      </c>
      <c r="B23" s="8" t="s">
        <v>614</v>
      </c>
      <c r="C23" s="9"/>
      <c r="D23" s="9"/>
      <c r="E23" s="9"/>
      <c r="F23" s="9"/>
      <c r="G23" s="9"/>
      <c r="H23" s="9"/>
      <c r="I23" s="10"/>
      <c r="J23" s="8"/>
    </row>
    <row r="24" spans="1:11">
      <c r="A24" s="7" t="s">
        <v>23</v>
      </c>
      <c r="B24" s="8" t="s">
        <v>578</v>
      </c>
      <c r="C24" s="9"/>
      <c r="D24" s="9"/>
      <c r="E24" s="9"/>
      <c r="F24" s="9"/>
      <c r="G24" s="9"/>
      <c r="H24" s="9"/>
      <c r="I24" s="10"/>
      <c r="J24" s="8"/>
    </row>
    <row r="25" spans="1:11">
      <c r="A25" s="7" t="s">
        <v>24</v>
      </c>
      <c r="B25" s="8" t="s">
        <v>629</v>
      </c>
      <c r="C25" s="9"/>
      <c r="D25" s="9"/>
      <c r="E25" s="9"/>
      <c r="F25" s="9"/>
      <c r="G25" s="9"/>
      <c r="H25" s="9"/>
      <c r="I25" s="10"/>
      <c r="J25" s="8"/>
    </row>
    <row r="26" spans="1:11">
      <c r="A26" s="7"/>
      <c r="B26" s="8"/>
      <c r="C26" s="9"/>
      <c r="D26" s="8"/>
      <c r="E26" s="8"/>
      <c r="F26" s="9"/>
      <c r="G26" s="9"/>
      <c r="H26" s="9"/>
      <c r="I26" s="10"/>
      <c r="J26" s="8"/>
    </row>
    <row r="27" spans="1:11" ht="16.5">
      <c r="A27" s="11"/>
      <c r="B27" s="204" t="s">
        <v>35</v>
      </c>
      <c r="C27" s="204"/>
      <c r="D27" s="8"/>
      <c r="E27" s="8"/>
      <c r="F27" s="1730" t="s">
        <v>583</v>
      </c>
      <c r="G27" s="1730"/>
      <c r="H27" s="1363"/>
      <c r="I27" s="204"/>
      <c r="J27" s="204" t="s">
        <v>36</v>
      </c>
    </row>
    <row r="28" spans="1:11" ht="15.75">
      <c r="A28" s="12"/>
      <c r="B28" s="3"/>
      <c r="C28" s="3"/>
      <c r="D28" s="8"/>
      <c r="E28" s="8"/>
      <c r="F28" s="3"/>
      <c r="G28" s="3"/>
      <c r="H28" s="3"/>
      <c r="I28" s="5"/>
      <c r="J28" s="13"/>
    </row>
    <row r="29" spans="1:11" ht="15.75">
      <c r="A29" s="12"/>
      <c r="B29" s="3"/>
      <c r="C29" s="3"/>
      <c r="D29" s="3"/>
      <c r="E29" s="3"/>
      <c r="F29" s="3"/>
      <c r="G29" s="3"/>
      <c r="H29" s="3"/>
      <c r="I29" s="5"/>
      <c r="J29" s="13"/>
    </row>
    <row r="30" spans="1:11" ht="15.75">
      <c r="A30" s="12"/>
      <c r="B30" s="3"/>
      <c r="C30" s="3"/>
      <c r="D30" s="3"/>
      <c r="E30" s="3"/>
      <c r="F30" s="3"/>
      <c r="G30" s="3"/>
      <c r="H30" s="3"/>
      <c r="I30" s="5"/>
      <c r="J30" s="13"/>
    </row>
    <row r="31" spans="1:11" ht="15.75">
      <c r="A31" s="12"/>
      <c r="B31" s="235"/>
      <c r="C31" s="3"/>
      <c r="D31" s="3"/>
      <c r="E31" s="3"/>
      <c r="F31" s="3"/>
      <c r="G31" s="3"/>
      <c r="H31" s="3"/>
      <c r="I31" s="5"/>
      <c r="J31" s="13"/>
    </row>
    <row r="32" spans="1:11" ht="15.75">
      <c r="A32" s="12"/>
      <c r="B32" s="235"/>
      <c r="C32" s="3"/>
      <c r="D32" s="3"/>
      <c r="E32" s="3"/>
      <c r="F32" s="3"/>
      <c r="G32" s="3"/>
      <c r="H32" s="3"/>
      <c r="I32" s="5"/>
      <c r="J32" s="13"/>
    </row>
    <row r="33" spans="1:10" ht="26.25" customHeight="1">
      <c r="A33" s="12"/>
      <c r="B33" s="1729"/>
      <c r="C33" s="1126"/>
      <c r="D33" s="3"/>
      <c r="E33" s="3"/>
      <c r="F33" s="3"/>
      <c r="G33" s="3"/>
      <c r="H33" s="3"/>
      <c r="I33" s="5"/>
      <c r="J33" s="13"/>
    </row>
    <row r="34" spans="1:10" ht="15" customHeight="1">
      <c r="B34" s="1729"/>
    </row>
    <row r="179" spans="8:8">
      <c r="H179" s="555"/>
    </row>
  </sheetData>
  <customSheetViews>
    <customSheetView guid="{E4D8AEA0-7D37-4CF1-9F19-1F9F3CB7E99E}" scale="80" showPageBreaks="1" printArea="1" view="pageBreakPreview">
      <selection activeCell="A8" sqref="A8:XFD8"/>
      <rowBreaks count="4" manualBreakCount="4">
        <brk id="30" max="9" man="1"/>
        <brk id="59" max="9" man="1"/>
        <brk id="88" max="9" man="1"/>
        <brk id="116" max="9" man="1"/>
      </rowBreaks>
      <colBreaks count="1" manualBreakCount="1">
        <brk id="10" max="1048575" man="1"/>
      </colBreaks>
      <pageMargins left="0.15" right="0" top="0.5" bottom="0.56000000000000005" header="0" footer="0"/>
      <printOptions horizontalCentered="1"/>
      <pageSetup paperSize="9" scale="48" fitToHeight="3" orientation="landscape" r:id="rId1"/>
    </customSheetView>
    <customSheetView guid="{AD634856-FDF7-4DD8-8DC5-36C324FF0C87}" scale="91" showPageBreaks="1" printArea="1" view="pageBreakPreview" topLeftCell="A34">
      <selection activeCell="E83" sqref="E83"/>
      <rowBreaks count="3" manualBreakCount="3">
        <brk id="38" max="9" man="1"/>
        <brk id="81" max="9" man="1"/>
        <brk id="61" max="9" man="1"/>
      </rowBreaks>
      <colBreaks count="1" manualBreakCount="1">
        <brk id="10" max="1048575" man="1"/>
      </colBreaks>
      <pageMargins left="0.37" right="0.17" top="0.5" bottom="0.56000000000000005" header="0.17" footer="0"/>
      <printOptions horizontalCentered="1"/>
      <pageSetup paperSize="9" scale="54" fitToHeight="3" orientation="landscape" r:id="rId2"/>
    </customSheetView>
    <customSheetView guid="{61CE75AA-B849-4D18-8838-F82995C6B087}" scale="80" showPageBreaks="1" printArea="1" view="pageBreakPreview" topLeftCell="A125">
      <selection activeCell="I120" sqref="I120"/>
      <rowBreaks count="4" manualBreakCount="4">
        <brk id="32" max="9" man="1"/>
        <brk id="59" max="9" man="1"/>
        <brk id="87" max="9" man="1"/>
        <brk id="123" max="9" man="1"/>
      </rowBreaks>
      <colBreaks count="1" manualBreakCount="1">
        <brk id="10" max="1048575" man="1"/>
      </colBreaks>
      <pageMargins left="0.15" right="0" top="0.5" bottom="0.56000000000000005" header="0" footer="0"/>
      <printOptions horizontalCentered="1"/>
      <pageSetup paperSize="9" scale="49" fitToHeight="3" orientation="landscape" r:id="rId3"/>
    </customSheetView>
    <customSheetView guid="{7D95FE88-52D3-4AF2-A747-7A28402A32C2}" scale="91" showPageBreaks="1" printArea="1" view="pageBreakPreview" topLeftCell="A51">
      <selection activeCell="C62" sqref="C62"/>
      <rowBreaks count="4" manualBreakCount="4">
        <brk id="31" max="9" man="1"/>
        <brk id="59" max="9" man="1"/>
        <brk id="88" max="9" man="1"/>
        <brk id="116" max="9" man="1"/>
      </rowBreaks>
      <colBreaks count="1" manualBreakCount="1">
        <brk id="10" max="1048575" man="1"/>
      </colBreaks>
      <pageMargins left="0.15" right="0" top="0.5" bottom="0.56000000000000005" header="0" footer="0"/>
      <printOptions horizontalCentered="1"/>
      <pageSetup paperSize="9" scale="70" fitToHeight="3" orientation="landscape" r:id="rId4"/>
    </customSheetView>
    <customSheetView guid="{6EF26E68-1B9A-4748-A66C-9D8C184CAF14}" scale="90" fitToPage="1" printArea="1" topLeftCell="A48">
      <selection activeCell="F53" sqref="F53"/>
      <rowBreaks count="3" manualBreakCount="3">
        <brk id="32" max="9" man="1"/>
        <brk id="64" max="9" man="1"/>
        <brk id="95" max="16383" man="1"/>
      </rowBreaks>
      <colBreaks count="1" manualBreakCount="1">
        <brk id="10" max="1048575" man="1"/>
      </colBreaks>
      <pageMargins left="0.15" right="0" top="0.5" bottom="0.56000000000000005" header="0" footer="0"/>
      <printOptions horizontalCentered="1"/>
      <pageSetup paperSize="9" scale="55" fitToHeight="3" orientation="landscape" r:id="rId5"/>
    </customSheetView>
    <customSheetView guid="{B8A1874B-3BEF-4479-AD53-0D9BAC54C7CD}" scale="80" showPageBreaks="1" printArea="1" view="pageBreakPreview">
      <selection activeCell="B7" sqref="B7"/>
      <rowBreaks count="4" manualBreakCount="4">
        <brk id="31" max="9" man="1"/>
        <brk id="59" max="9" man="1"/>
        <brk id="85" max="9" man="1"/>
        <brk id="114" max="9" man="1"/>
      </rowBreaks>
      <colBreaks count="1" manualBreakCount="1">
        <brk id="10" max="1048575" man="1"/>
      </colBreaks>
      <pageMargins left="0.15" right="0" top="0.5" bottom="0.56000000000000005" header="0" footer="0"/>
      <printOptions horizontalCentered="1"/>
      <pageSetup paperSize="9" scale="70" fitToHeight="3" orientation="landscape" r:id="rId6"/>
    </customSheetView>
    <customSheetView guid="{E5BCC4B4-F1B1-40C1-B93E-A6184E1EF716}" scale="80" showPageBreaks="1" printArea="1" view="pageBreakPreview" topLeftCell="A43">
      <selection activeCell="I56" sqref="I56"/>
      <rowBreaks count="4" manualBreakCount="4">
        <brk id="30" max="9" man="1"/>
        <brk id="57" max="9" man="1"/>
        <brk id="86" max="9" man="1"/>
        <brk id="122" max="9" man="1"/>
      </rowBreaks>
      <colBreaks count="1" manualBreakCount="1">
        <brk id="10" max="1048575" man="1"/>
      </colBreaks>
      <pageMargins left="0.15" right="0" top="0.5" bottom="0.56000000000000005" header="0" footer="0"/>
      <printOptions horizontalCentered="1"/>
      <pageSetup paperSize="9" scale="70" fitToHeight="3" orientation="landscape" r:id="rId7"/>
    </customSheetView>
    <customSheetView guid="{994961F8-B63E-47F6-B0C5-98F862423FE5}" showPageBreaks="1" printArea="1" view="pageBreakPreview" topLeftCell="A112">
      <selection activeCell="F53" sqref="F53"/>
      <rowBreaks count="4" manualBreakCount="4">
        <brk id="31" max="9" man="1"/>
        <brk id="56" max="9" man="1"/>
        <brk id="85" max="9" man="1"/>
        <brk id="122" max="9" man="1"/>
      </rowBreaks>
      <colBreaks count="1" manualBreakCount="1">
        <brk id="10" max="1048575" man="1"/>
      </colBreaks>
      <pageMargins left="0.15" right="0" top="0.5" bottom="0.56000000000000005" header="0" footer="0"/>
      <printOptions horizontalCentered="1"/>
      <pageSetup paperSize="9" scale="70" fitToHeight="3" orientation="landscape" r:id="rId8"/>
    </customSheetView>
    <customSheetView guid="{F89B8433-E453-4FDE-8E2A-E7E816BD4DFD}" scale="90" showPageBreaks="1" fitToPage="1" printArea="1" topLeftCell="A4">
      <selection activeCell="B11" sqref="B11"/>
      <rowBreaks count="3" manualBreakCount="3">
        <brk id="32" max="9" man="1"/>
        <brk id="64" max="9" man="1"/>
        <brk id="95" max="16383" man="1"/>
      </rowBreaks>
      <colBreaks count="1" manualBreakCount="1">
        <brk id="10" max="1048575" man="1"/>
      </colBreaks>
      <pageMargins left="0.15" right="0" top="0.5" bottom="0.56000000000000005" header="0" footer="0"/>
      <printOptions horizontalCentered="1"/>
      <pageSetup paperSize="9" scale="49" fitToHeight="3" orientation="landscape" r:id="rId9"/>
    </customSheetView>
    <customSheetView guid="{9BA226E9-1840-4D58-8634-C7CD130BA9DE}" scale="80" showPageBreaks="1" printArea="1" view="pageBreakPreview" topLeftCell="A55">
      <selection activeCell="K102" sqref="K102"/>
      <rowBreaks count="3" manualBreakCount="3">
        <brk id="30" max="9" man="1"/>
        <brk id="60" max="9" man="1"/>
        <brk id="87" max="9" man="1"/>
      </rowBreaks>
      <colBreaks count="1" manualBreakCount="1">
        <brk id="10" max="1048575" man="1"/>
      </colBreaks>
      <pageMargins left="0.15" right="0" top="0.5" bottom="0.56000000000000005" header="0" footer="0"/>
      <printOptions horizontalCentered="1"/>
      <pageSetup paperSize="9" scale="51" fitToHeight="3" orientation="landscape" r:id="rId10"/>
    </customSheetView>
    <customSheetView guid="{ECC2632F-F62A-4FAF-AECC-1DDADB5FC34F}" scale="90" fitToPage="1">
      <selection activeCell="G103" sqref="G103"/>
      <rowBreaks count="3" manualBreakCount="3">
        <brk id="31" max="9" man="1"/>
        <brk id="64" max="9" man="1"/>
        <brk id="95" max="16383" man="1"/>
      </rowBreaks>
      <colBreaks count="1" manualBreakCount="1">
        <brk id="10" max="1048575" man="1"/>
      </colBreaks>
      <pageMargins left="0.15" right="0" top="0.5" bottom="0.56000000000000005" header="0" footer="0"/>
      <printOptions horizontalCentered="1"/>
      <pageSetup paperSize="9" scale="58" fitToHeight="3" orientation="landscape" r:id="rId11"/>
    </customSheetView>
    <customSheetView guid="{FB80B360-98B3-4D7B-B530-099144659D3A}" scale="90" showPageBreaks="1" topLeftCell="A97">
      <selection activeCell="C114" sqref="C114"/>
      <rowBreaks count="3" manualBreakCount="3">
        <brk id="31" max="9" man="1"/>
        <brk id="64" max="9" man="1"/>
        <brk id="95" max="16383" man="1"/>
      </rowBreaks>
      <colBreaks count="1" manualBreakCount="1">
        <brk id="10" max="1048575" man="1"/>
      </colBreaks>
      <pageMargins left="0.15" right="0" top="0.5" bottom="0.56000000000000005" header="0" footer="0"/>
      <printOptions horizontalCentered="1"/>
      <pageSetup scale="68" orientation="landscape" r:id="rId12"/>
    </customSheetView>
    <customSheetView guid="{7F784530-9B10-42D7-8F54-8EB6B060482F}" scale="90" topLeftCell="A91">
      <selection activeCell="J28" sqref="J28"/>
      <rowBreaks count="3" manualBreakCount="3">
        <brk id="31" max="9" man="1"/>
        <brk id="64" max="9" man="1"/>
        <brk id="95" max="16383" man="1"/>
      </rowBreaks>
      <colBreaks count="1" manualBreakCount="1">
        <brk id="10" max="1048575" man="1"/>
      </colBreaks>
      <pageMargins left="0.15" right="0" top="0.5" bottom="0.56000000000000005" header="0" footer="0"/>
      <printOptions horizontalCentered="1"/>
      <pageSetup scale="68" orientation="landscape" r:id="rId13"/>
    </customSheetView>
    <customSheetView guid="{8AF18E21-1031-46CF-B2BC-F1B32D8B514B}" showPageBreaks="1" printArea="1" topLeftCell="A49">
      <selection activeCell="D52" sqref="D52"/>
      <rowBreaks count="3" manualBreakCount="3">
        <brk id="32" max="9" man="1"/>
        <brk id="62" max="9" man="1"/>
        <brk id="93" max="9" man="1"/>
      </rowBreaks>
      <colBreaks count="1" manualBreakCount="1">
        <brk id="10" max="1048575" man="1"/>
      </colBreaks>
      <pageMargins left="0.15" right="0" top="0.5" bottom="0.56000000000000005" header="0" footer="0"/>
      <printOptions horizontalCentered="1"/>
      <pageSetup scale="75" orientation="landscape" r:id="rId14"/>
    </customSheetView>
    <customSheetView guid="{E4837792-4A99-499B-8EC2-DE4E4D167510}" scale="90" showPageBreaks="1" printArea="1" topLeftCell="A94">
      <selection activeCell="F100" sqref="F100"/>
      <rowBreaks count="4" manualBreakCount="4">
        <brk id="30" max="9" man="1"/>
        <brk id="61" max="9" man="1"/>
        <brk id="92" max="9" man="1"/>
        <brk id="93" max="9" man="1"/>
      </rowBreaks>
      <colBreaks count="1" manualBreakCount="1">
        <brk id="10" max="1048575" man="1"/>
      </colBreaks>
      <pageMargins left="0.15" right="0" top="0.5" bottom="0.56000000000000005" header="0" footer="0"/>
      <printOptions horizontalCentered="1"/>
      <pageSetup scale="73" orientation="landscape" r:id="rId15"/>
    </customSheetView>
    <customSheetView guid="{16D4A374-74B9-406B-A5BA-2D573E6A0CF2}" scale="90" topLeftCell="A97">
      <selection activeCell="C114" sqref="C114"/>
      <rowBreaks count="3" manualBreakCount="3">
        <brk id="31" max="9" man="1"/>
        <brk id="64" max="9" man="1"/>
        <brk id="95" max="16383" man="1"/>
      </rowBreaks>
      <colBreaks count="1" manualBreakCount="1">
        <brk id="10" max="1048575" man="1"/>
      </colBreaks>
      <pageMargins left="0.15" right="0" top="0.5" bottom="0.56000000000000005" header="0" footer="0"/>
      <printOptions horizontalCentered="1"/>
      <pageSetup scale="68" orientation="landscape" r:id="rId16"/>
    </customSheetView>
    <customSheetView guid="{F729E7D6-6F09-4AEC-8A8D-5BB0CE563030}" scale="90" fitToPage="1" topLeftCell="A77">
      <selection activeCell="H103" sqref="H103"/>
      <rowBreaks count="3" manualBreakCount="3">
        <brk id="31" max="9" man="1"/>
        <brk id="63" max="9" man="1"/>
        <brk id="94" max="16383" man="1"/>
      </rowBreaks>
      <colBreaks count="1" manualBreakCount="1">
        <brk id="10" max="1048575" man="1"/>
      </colBreaks>
      <pageMargins left="0.15" right="0" top="0.5" bottom="0.56000000000000005" header="0" footer="0"/>
      <printOptions horizontalCentered="1"/>
      <pageSetup paperSize="9" scale="56" fitToHeight="3" orientation="landscape" r:id="rId17"/>
    </customSheetView>
    <customSheetView guid="{2896A421-8E5B-4BF0-9CC6-B6380E0DB314}" scale="80" showPageBreaks="1" printArea="1" view="pageBreakPreview" topLeftCell="A80">
      <selection activeCell="H85" sqref="H85:I85"/>
      <rowBreaks count="3" manualBreakCount="3">
        <brk id="31" max="9" man="1"/>
        <brk id="61" max="9" man="1"/>
        <brk id="93" max="9" man="1"/>
      </rowBreaks>
      <colBreaks count="1" manualBreakCount="1">
        <brk id="10" max="1048575" man="1"/>
      </colBreaks>
      <pageMargins left="0.15" right="0" top="0.5" bottom="0.56000000000000005" header="0" footer="0"/>
      <printOptions horizontalCentered="1"/>
      <pageSetup paperSize="9" scale="55" fitToHeight="3" orientation="landscape" r:id="rId18"/>
    </customSheetView>
    <customSheetView guid="{98D3DDB6-797A-47DD-9C96-BB16B2207A0C}" scale="80" showPageBreaks="1" printArea="1" view="pageBreakPreview" topLeftCell="A55">
      <selection activeCell="A119" sqref="A119:XFD119"/>
      <rowBreaks count="4" manualBreakCount="4">
        <brk id="30" max="9" man="1"/>
        <brk id="61" max="9" man="1"/>
        <brk id="90" max="9" man="1"/>
        <brk id="116" max="9" man="1"/>
      </rowBreaks>
      <colBreaks count="1" manualBreakCount="1">
        <brk id="10" max="1048575" man="1"/>
      </colBreaks>
      <pageMargins left="0.15" right="0" top="0.5" bottom="0.56000000000000005" header="0" footer="0"/>
      <printOptions horizontalCentered="1"/>
      <pageSetup paperSize="9" scale="69" fitToHeight="3" orientation="landscape" r:id="rId19"/>
    </customSheetView>
    <customSheetView guid="{A1D515A7-1E5B-4509-BA26-4ABAA82FF869}" scale="80" showPageBreaks="1" printArea="1" view="pageBreakPreview" topLeftCell="A42">
      <selection activeCell="J51" activeCellId="3" sqref="J9 J9 J47 J51"/>
      <rowBreaks count="4" manualBreakCount="4">
        <brk id="30" max="9" man="1"/>
        <brk id="58" max="9" man="1"/>
        <brk id="86" max="9" man="1"/>
        <brk id="117" max="9" man="1"/>
      </rowBreaks>
      <colBreaks count="1" manualBreakCount="1">
        <brk id="10" max="1048575" man="1"/>
      </colBreaks>
      <pageMargins left="0.15" right="0" top="0.5" bottom="0.56000000000000005" header="0" footer="0"/>
      <printOptions horizontalCentered="1"/>
      <pageSetup paperSize="9" scale="66" fitToHeight="3" orientation="landscape" r:id="rId20"/>
    </customSheetView>
    <customSheetView guid="{80E06DBA-C6F3-475B-8D63-21743367E2AD}" showPageBreaks="1" printArea="1" topLeftCell="A108">
      <selection activeCell="E116" sqref="E116"/>
      <rowBreaks count="4" manualBreakCount="4">
        <brk id="31" max="9" man="1"/>
        <brk id="58" max="9" man="1"/>
        <brk id="86" max="9" man="1"/>
        <brk id="123" max="9" man="1"/>
      </rowBreaks>
      <colBreaks count="1" manualBreakCount="1">
        <brk id="10" max="1048575" man="1"/>
      </colBreaks>
      <pageMargins left="0.15" right="0" top="0.5" bottom="0.56000000000000005" header="0" footer="0"/>
      <printOptions horizontalCentered="1"/>
      <pageSetup paperSize="9" scale="70" fitToHeight="3" orientation="landscape" r:id="rId21"/>
    </customSheetView>
    <customSheetView guid="{9ED09EA6-4579-48A9-AD5B-8A08B9AAA8BE}" scale="90" showPageBreaks="1" printArea="1" topLeftCell="A29">
      <selection activeCell="C42" sqref="C42"/>
      <rowBreaks count="3" manualBreakCount="3">
        <brk id="32" max="9" man="1"/>
        <brk id="67" max="9" man="1"/>
        <brk id="100" max="9" man="1"/>
      </rowBreaks>
      <colBreaks count="1" manualBreakCount="1">
        <brk id="10" max="1048575" man="1"/>
      </colBreaks>
      <pageMargins left="0.15" right="0" top="0.5" bottom="0.56000000000000005" header="0" footer="0"/>
      <printOptions horizontalCentered="1"/>
      <pageSetup scale="68" orientation="landscape" r:id="rId22"/>
    </customSheetView>
    <customSheetView guid="{7631AB21-BAD4-410B-9EB7-37E4C039E55D}" scale="80" showPageBreaks="1" printArea="1" view="pageBreakPreview" topLeftCell="A46">
      <selection activeCell="B51" sqref="B51"/>
      <rowBreaks count="4" manualBreakCount="4">
        <brk id="30" max="9" man="1"/>
        <brk id="59" max="9" man="1"/>
        <brk id="88" max="9" man="1"/>
        <brk id="116" max="9" man="1"/>
      </rowBreaks>
      <colBreaks count="1" manualBreakCount="1">
        <brk id="10" max="1048575" man="1"/>
      </colBreaks>
      <pageMargins left="0.15" right="0" top="0.5" bottom="0.56000000000000005" header="0" footer="0"/>
      <printOptions horizontalCentered="1"/>
      <pageSetup paperSize="9" scale="48" fitToHeight="3" orientation="landscape" r:id="rId23"/>
    </customSheetView>
    <customSheetView guid="{BE76667A-60C4-4702-8334-217BF8BB1245}" scale="80" showPageBreaks="1" printArea="1" view="pageBreakPreview" topLeftCell="A52">
      <selection activeCell="E10" sqref="E10"/>
      <rowBreaks count="3" manualBreakCount="3">
        <brk id="31" max="9" man="1"/>
        <brk id="61" max="9" man="1"/>
        <brk id="93" max="9" man="1"/>
      </rowBreaks>
      <colBreaks count="1" manualBreakCount="1">
        <brk id="10" max="1048575" man="1"/>
      </colBreaks>
      <pageMargins left="0.15" right="0" top="0.5" bottom="0.56000000000000005" header="0" footer="0"/>
      <printOptions horizontalCentered="1"/>
      <pageSetup paperSize="9" scale="65" fitToHeight="3" orientation="landscape" r:id="rId24"/>
    </customSheetView>
    <customSheetView guid="{3FE5399F-6D96-46C9-B56D-C9200CDFFBCC}" scale="80" showPageBreaks="1" printArea="1" view="pageBreakPreview" topLeftCell="A43">
      <selection activeCell="A53" sqref="A53:XFD53"/>
      <rowBreaks count="3" manualBreakCount="3">
        <brk id="34" max="9" man="1"/>
        <brk id="59" max="9" man="1"/>
        <brk id="91" max="9" man="1"/>
      </rowBreaks>
      <colBreaks count="1" manualBreakCount="1">
        <brk id="10" max="1048575" man="1"/>
      </colBreaks>
      <pageMargins left="0.15" right="0" top="0.5" bottom="0.56000000000000005" header="0" footer="0"/>
      <printOptions horizontalCentered="1"/>
      <pageSetup paperSize="9" scale="65" fitToHeight="3" orientation="landscape" r:id="rId25"/>
    </customSheetView>
    <customSheetView guid="{DB5C611D-B585-4D04-94DC-84E03E7F6427}" scale="90" topLeftCell="A25">
      <selection activeCell="G51" sqref="G51"/>
      <rowBreaks count="4" manualBreakCount="4">
        <brk id="33" max="9" man="1"/>
        <brk id="54" max="9" man="1"/>
        <brk id="85" max="9" man="1"/>
        <brk id="111" max="9" man="1"/>
      </rowBreaks>
      <colBreaks count="1" manualBreakCount="1">
        <brk id="10" max="1048575" man="1"/>
      </colBreaks>
      <pageMargins left="0.15" right="0" top="0.5" bottom="0.56000000000000005" header="0" footer="0"/>
      <printOptions horizontalCentered="1"/>
      <pageSetup paperSize="9" scale="66" fitToHeight="3" orientation="landscape" r:id="rId26"/>
    </customSheetView>
    <customSheetView guid="{0C6DA001-EF29-43B3-B8E5-B7C6D16AED4F}" scale="90" showPageBreaks="1" printArea="1" topLeftCell="A9">
      <selection activeCell="D32" sqref="D32"/>
      <rowBreaks count="4" manualBreakCount="4">
        <brk id="33" max="9" man="1"/>
        <brk id="54" max="9" man="1"/>
        <brk id="85" max="9" man="1"/>
        <brk id="111" max="9" man="1"/>
      </rowBreaks>
      <colBreaks count="1" manualBreakCount="1">
        <brk id="10" max="1048575" man="1"/>
      </colBreaks>
      <pageMargins left="0.15" right="0" top="0.5" bottom="0.56000000000000005" header="0" footer="0"/>
      <printOptions horizontalCentered="1"/>
      <pageSetup paperSize="9" scale="66" fitToHeight="3" orientation="landscape" r:id="rId27"/>
    </customSheetView>
    <customSheetView guid="{C57D03F9-88DE-4996-9965-888CDFC990C2}" scale="91" showPageBreaks="1" printArea="1" view="pageBreakPreview" topLeftCell="A97">
      <selection activeCell="J107" sqref="J107"/>
      <rowBreaks count="3" manualBreakCount="3">
        <brk id="37" max="9" man="1"/>
        <brk id="81" max="9" man="1"/>
        <brk id="60" max="9" man="1"/>
      </rowBreaks>
      <colBreaks count="1" manualBreakCount="1">
        <brk id="10" max="1048575" man="1"/>
      </colBreaks>
      <pageMargins left="0.37" right="0.17" top="0.5" bottom="0.56000000000000005" header="0.17" footer="0"/>
      <printOptions horizontalCentered="1"/>
      <pageSetup paperSize="9" scale="54" fitToHeight="3" orientation="landscape" r:id="rId28"/>
    </customSheetView>
    <customSheetView guid="{51A412B5-0E75-4615-BBB6-5CF03E1A3E32}" scale="90" showPageBreaks="1" printArea="1" topLeftCell="A9">
      <selection activeCell="D32" sqref="D32"/>
      <rowBreaks count="4" manualBreakCount="4">
        <brk id="33" max="9" man="1"/>
        <brk id="54" max="9" man="1"/>
        <brk id="85" max="9" man="1"/>
        <brk id="111" max="9" man="1"/>
      </rowBreaks>
      <colBreaks count="1" manualBreakCount="1">
        <brk id="10" max="1048575" man="1"/>
      </colBreaks>
      <pageMargins left="0.15" right="0" top="0.5" bottom="0.56000000000000005" header="0" footer="0"/>
      <printOptions horizontalCentered="1"/>
      <pageSetup paperSize="9" scale="66" fitToHeight="3" orientation="landscape" r:id="rId29"/>
    </customSheetView>
  </customSheetViews>
  <mergeCells count="15">
    <mergeCell ref="A7:J7"/>
    <mergeCell ref="B33:B34"/>
    <mergeCell ref="F27:G27"/>
    <mergeCell ref="A20:D20"/>
    <mergeCell ref="A19:D19"/>
    <mergeCell ref="A16:J16"/>
    <mergeCell ref="A4:B4"/>
    <mergeCell ref="J5:J6"/>
    <mergeCell ref="H5:H6"/>
    <mergeCell ref="I5:I6"/>
    <mergeCell ref="A5:A6"/>
    <mergeCell ref="B5:B6"/>
    <mergeCell ref="C5:C6"/>
    <mergeCell ref="D5:D6"/>
    <mergeCell ref="E5:E6"/>
  </mergeCells>
  <phoneticPr fontId="104" type="noConversion"/>
  <printOptions horizontalCentered="1"/>
  <pageMargins left="0.15" right="0" top="0.2" bottom="0.18" header="0" footer="0"/>
  <pageSetup paperSize="9" scale="71" fitToHeight="10" orientation="landscape"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autoPageBreaks="0"/>
  </sheetPr>
  <dimension ref="A1:AO240"/>
  <sheetViews>
    <sheetView zoomScale="85" zoomScaleNormal="85" zoomScaleSheetLayoutView="100" workbookViewId="0">
      <pane xSplit="2" ySplit="6" topLeftCell="C13" activePane="bottomRight" state="frozen"/>
      <selection activeCell="F26" sqref="F26"/>
      <selection pane="topRight" activeCell="F26" sqref="F26"/>
      <selection pane="bottomLeft" activeCell="F26" sqref="F26"/>
      <selection pane="bottomRight" activeCell="B18" sqref="B18"/>
    </sheetView>
  </sheetViews>
  <sheetFormatPr defaultRowHeight="15"/>
  <cols>
    <col min="1" max="1" width="3.33203125" customWidth="1"/>
    <col min="2" max="2" width="15.5546875" customWidth="1"/>
    <col min="3" max="3" width="16.6640625" style="965" customWidth="1"/>
    <col min="4" max="4" width="9.6640625" style="804" customWidth="1"/>
    <col min="5" max="5" width="12.88671875" customWidth="1"/>
    <col min="6" max="6" width="12.21875" hidden="1" customWidth="1"/>
    <col min="7" max="7" width="10.5546875" hidden="1" customWidth="1"/>
    <col min="8" max="8" width="12.44140625" style="1038" hidden="1" customWidth="1"/>
    <col min="9" max="9" width="10.88671875" customWidth="1"/>
    <col min="10" max="10" width="9.77734375" customWidth="1"/>
    <col min="11" max="11" width="11.109375" customWidth="1"/>
    <col min="12" max="12" width="11" customWidth="1"/>
    <col min="13" max="13" width="11.33203125" style="450" customWidth="1"/>
    <col min="14" max="14" width="10.88671875" style="450" customWidth="1"/>
    <col min="15" max="15" width="11.109375" style="450" customWidth="1"/>
    <col min="16" max="16" width="43.88671875" style="450" customWidth="1"/>
  </cols>
  <sheetData>
    <row r="1" spans="1:41" ht="26.25">
      <c r="A1" s="1389" t="s">
        <v>0</v>
      </c>
      <c r="B1" s="399"/>
      <c r="C1" s="954"/>
      <c r="D1" s="923"/>
      <c r="E1" s="399"/>
      <c r="F1" s="399"/>
      <c r="G1" s="399"/>
      <c r="H1" s="1029"/>
      <c r="I1" s="399"/>
      <c r="J1" s="399"/>
      <c r="K1" s="399"/>
      <c r="L1" s="399"/>
      <c r="M1" s="818"/>
    </row>
    <row r="2" spans="1:41" ht="26.25">
      <c r="A2" s="1390" t="s">
        <v>628</v>
      </c>
      <c r="B2" s="399"/>
      <c r="C2" s="954"/>
      <c r="D2" s="923"/>
      <c r="E2" s="399"/>
      <c r="F2" s="399"/>
      <c r="G2" s="399"/>
      <c r="H2" s="1029"/>
      <c r="I2" s="399"/>
      <c r="J2" s="399"/>
      <c r="K2" s="399"/>
      <c r="L2" s="399"/>
      <c r="M2" s="818"/>
    </row>
    <row r="3" spans="1:41" ht="27.75">
      <c r="A3" s="823" t="s">
        <v>585</v>
      </c>
      <c r="B3" s="400"/>
      <c r="C3" s="955"/>
      <c r="D3" s="924"/>
      <c r="E3" s="400"/>
      <c r="F3" s="400"/>
      <c r="G3" s="400"/>
      <c r="H3" s="1030"/>
      <c r="I3" s="400"/>
      <c r="J3" s="400"/>
      <c r="K3" s="400"/>
      <c r="L3" s="865"/>
      <c r="M3" s="818"/>
      <c r="N3" s="450" t="s">
        <v>513</v>
      </c>
    </row>
    <row r="4" spans="1:41" ht="22.5" customHeight="1" thickBot="1">
      <c r="A4" s="1128" t="str">
        <f>+'Consolidate O-D'!A4:B4</f>
        <v>As of Auguest 31, 2017</v>
      </c>
      <c r="B4" s="1124"/>
      <c r="C4" s="956"/>
      <c r="D4" s="925"/>
      <c r="E4" s="401"/>
      <c r="F4" s="401"/>
      <c r="G4" s="401"/>
      <c r="H4" s="1031"/>
      <c r="I4" s="401"/>
      <c r="J4" s="401"/>
      <c r="K4" s="401"/>
      <c r="L4" s="401"/>
      <c r="M4" s="818"/>
    </row>
    <row r="5" spans="1:41" s="472" customFormat="1" ht="38.25" customHeight="1" thickTop="1">
      <c r="A5" s="898" t="s">
        <v>1</v>
      </c>
      <c r="B5" s="899" t="s">
        <v>2</v>
      </c>
      <c r="C5" s="899" t="s">
        <v>27</v>
      </c>
      <c r="D5" s="1019" t="s">
        <v>575</v>
      </c>
      <c r="E5" s="899" t="s">
        <v>3</v>
      </c>
      <c r="F5" s="899" t="s">
        <v>4</v>
      </c>
      <c r="G5" s="899" t="s">
        <v>5</v>
      </c>
      <c r="H5" s="1028" t="s">
        <v>6</v>
      </c>
      <c r="I5" s="899" t="s">
        <v>7</v>
      </c>
      <c r="J5" s="899" t="s">
        <v>8</v>
      </c>
      <c r="K5" s="899" t="s">
        <v>9</v>
      </c>
      <c r="L5" s="900" t="s">
        <v>10</v>
      </c>
      <c r="M5" s="898" t="s">
        <v>525</v>
      </c>
      <c r="N5" s="1071" t="s">
        <v>523</v>
      </c>
      <c r="O5" s="1069" t="s">
        <v>521</v>
      </c>
      <c r="P5" s="1070" t="s">
        <v>522</v>
      </c>
    </row>
    <row r="6" spans="1:41" ht="29.25" customHeight="1" thickBot="1">
      <c r="A6" s="1735" t="s">
        <v>582</v>
      </c>
      <c r="B6" s="1736"/>
      <c r="C6" s="1736"/>
      <c r="D6" s="1736"/>
      <c r="E6" s="1736"/>
      <c r="F6" s="1736"/>
      <c r="G6" s="1736"/>
      <c r="H6" s="1736"/>
      <c r="I6" s="1736"/>
      <c r="J6" s="1736"/>
      <c r="K6" s="1736"/>
      <c r="L6" s="1737"/>
      <c r="M6" s="1170"/>
      <c r="N6" s="68"/>
      <c r="O6" s="68"/>
      <c r="P6" s="68"/>
    </row>
    <row r="7" spans="1:41" s="472" customFormat="1" ht="24.75" customHeight="1">
      <c r="A7" s="901"/>
      <c r="B7" s="1073" t="s">
        <v>11</v>
      </c>
      <c r="C7" s="1096"/>
      <c r="D7" s="926"/>
      <c r="E7" s="53"/>
      <c r="F7" s="826"/>
      <c r="G7" s="426"/>
      <c r="H7" s="853"/>
      <c r="I7" s="54"/>
      <c r="J7" s="52"/>
      <c r="K7" s="52"/>
      <c r="L7" s="1488"/>
      <c r="M7" s="1481"/>
      <c r="N7" s="1463"/>
      <c r="O7" s="1463"/>
      <c r="P7" s="1464"/>
      <c r="Q7" s="1097"/>
      <c r="R7" s="1097"/>
      <c r="S7" s="1097"/>
      <c r="T7" s="1097"/>
      <c r="U7" s="1097"/>
      <c r="V7" s="1097"/>
      <c r="W7" s="1097"/>
      <c r="X7" s="1097"/>
      <c r="Y7" s="1097"/>
      <c r="Z7" s="1097"/>
      <c r="AA7" s="1097"/>
      <c r="AB7" s="1097"/>
      <c r="AC7" s="1097"/>
    </row>
    <row r="8" spans="1:41" s="1026" customFormat="1" ht="24" customHeight="1">
      <c r="A8" s="911"/>
      <c r="B8" s="1245"/>
      <c r="C8" s="1243"/>
      <c r="D8" s="1244"/>
      <c r="E8" s="951"/>
      <c r="F8" s="951"/>
      <c r="G8" s="951"/>
      <c r="H8" s="1246"/>
      <c r="I8" s="951"/>
      <c r="J8" s="952"/>
      <c r="K8" s="1359"/>
      <c r="L8" s="1489"/>
      <c r="M8" s="1482"/>
      <c r="N8" s="1465"/>
      <c r="O8" s="1465"/>
      <c r="P8" s="1466"/>
      <c r="Q8" s="1360"/>
      <c r="R8" s="1247"/>
      <c r="S8" s="1247"/>
      <c r="T8" s="1247"/>
      <c r="U8" s="1247"/>
      <c r="V8" s="1247"/>
      <c r="W8" s="1247"/>
      <c r="X8" s="1247"/>
      <c r="Y8" s="1247"/>
      <c r="Z8" s="1247"/>
      <c r="AA8" s="1247"/>
      <c r="AB8" s="1247"/>
      <c r="AC8" s="1247"/>
    </row>
    <row r="9" spans="1:41" s="1026" customFormat="1" ht="24" customHeight="1">
      <c r="A9" s="911"/>
      <c r="B9" s="1245"/>
      <c r="C9" s="1243"/>
      <c r="D9" s="1244"/>
      <c r="E9" s="951"/>
      <c r="F9" s="951"/>
      <c r="G9" s="951"/>
      <c r="H9" s="1246"/>
      <c r="I9" s="951"/>
      <c r="J9" s="952"/>
      <c r="K9" s="1359"/>
      <c r="L9" s="1489"/>
      <c r="M9" s="1482"/>
      <c r="N9" s="1465"/>
      <c r="O9" s="1465"/>
      <c r="P9" s="1466"/>
      <c r="Q9" s="1360"/>
      <c r="R9" s="1247"/>
      <c r="S9" s="1247"/>
      <c r="T9" s="1247"/>
      <c r="U9" s="1247"/>
      <c r="V9" s="1247"/>
      <c r="W9" s="1247"/>
      <c r="X9" s="1247"/>
      <c r="Y9" s="1247"/>
      <c r="Z9" s="1247"/>
      <c r="AA9" s="1247"/>
      <c r="AB9" s="1247"/>
      <c r="AC9" s="1247"/>
    </row>
    <row r="10" spans="1:41" ht="24" customHeight="1">
      <c r="A10" s="903"/>
      <c r="B10" s="904" t="s">
        <v>12</v>
      </c>
      <c r="C10" s="959"/>
      <c r="D10" s="1013"/>
      <c r="E10" s="57">
        <f>SUM(E8:E9)</f>
        <v>0</v>
      </c>
      <c r="F10" s="57">
        <f>SUM(F8:F9)</f>
        <v>0</v>
      </c>
      <c r="G10" s="57">
        <f>SUM(G8:G9)</f>
        <v>0</v>
      </c>
      <c r="H10" s="57">
        <f>SUM(H8:H9)</f>
        <v>0</v>
      </c>
      <c r="I10" s="57">
        <f>SUM(I8:I9)</f>
        <v>0</v>
      </c>
      <c r="J10" s="57"/>
      <c r="K10" s="858"/>
      <c r="L10" s="1490"/>
      <c r="M10" s="1483">
        <f>SUM(M8:M9)</f>
        <v>0</v>
      </c>
      <c r="N10" s="1467"/>
      <c r="O10" s="1467"/>
      <c r="P10" s="146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row>
    <row r="11" spans="1:41" s="472" customFormat="1" ht="23.25" customHeight="1">
      <c r="A11" s="1072"/>
      <c r="B11" s="1073" t="s">
        <v>15</v>
      </c>
      <c r="C11" s="1074"/>
      <c r="D11" s="1075"/>
      <c r="E11" s="1076"/>
      <c r="F11" s="1076"/>
      <c r="G11" s="1098"/>
      <c r="H11" s="1035"/>
      <c r="I11" s="1077"/>
      <c r="J11" s="1078"/>
      <c r="K11" s="1099"/>
      <c r="L11" s="1491"/>
      <c r="M11" s="1484"/>
      <c r="N11" s="1467"/>
      <c r="O11" s="1467"/>
      <c r="P11" s="1468"/>
      <c r="Q11" s="1100"/>
      <c r="R11" s="1100"/>
      <c r="S11" s="1100"/>
      <c r="T11" s="1100"/>
      <c r="U11" s="1100"/>
      <c r="V11" s="1100"/>
      <c r="W11" s="1100"/>
      <c r="X11" s="1100"/>
      <c r="Y11" s="1100"/>
      <c r="Z11" s="1100"/>
      <c r="AA11" s="1100"/>
      <c r="AB11" s="1100"/>
      <c r="AC11" s="1100"/>
    </row>
    <row r="12" spans="1:41" s="477" customFormat="1" ht="22.5" customHeight="1">
      <c r="A12" s="1014"/>
      <c r="B12" s="1397"/>
      <c r="C12" s="958"/>
      <c r="D12" s="872"/>
      <c r="E12" s="50"/>
      <c r="F12" s="50"/>
      <c r="G12" s="953"/>
      <c r="H12" s="50"/>
      <c r="I12" s="50"/>
      <c r="J12" s="47"/>
      <c r="K12" s="47"/>
      <c r="L12" s="1492"/>
      <c r="M12" s="1485"/>
      <c r="N12" s="1462"/>
      <c r="O12" s="1462"/>
      <c r="P12" s="1469"/>
      <c r="Q12" s="144"/>
    </row>
    <row r="13" spans="1:41" s="477" customFormat="1" ht="22.5" customHeight="1">
      <c r="A13" s="1014"/>
      <c r="B13" s="48"/>
      <c r="C13" s="957"/>
      <c r="D13" s="872"/>
      <c r="E13" s="50"/>
      <c r="F13" s="50"/>
      <c r="G13" s="953"/>
      <c r="H13" s="874"/>
      <c r="I13" s="50"/>
      <c r="J13" s="47"/>
      <c r="K13" s="47"/>
      <c r="L13" s="1492"/>
      <c r="M13" s="1485"/>
      <c r="N13" s="1462"/>
      <c r="O13" s="1462"/>
      <c r="P13" s="1469"/>
      <c r="Q13" s="1376"/>
    </row>
    <row r="14" spans="1:41" s="1026" customFormat="1" ht="23.25" customHeight="1">
      <c r="A14" s="911"/>
      <c r="B14" s="1398" t="s">
        <v>12</v>
      </c>
      <c r="C14" s="904"/>
      <c r="D14" s="959"/>
      <c r="E14" s="904">
        <f>SUM(E12:E13)</f>
        <v>0</v>
      </c>
      <c r="F14" s="904">
        <f>SUM(F12:F13)</f>
        <v>0</v>
      </c>
      <c r="G14" s="904">
        <f>SUM(G12:G13)</f>
        <v>0</v>
      </c>
      <c r="H14" s="904">
        <f>SUM(H12:H13)</f>
        <v>0</v>
      </c>
      <c r="I14" s="904">
        <f>SUM(I12:I13)</f>
        <v>0</v>
      </c>
      <c r="J14" s="1166"/>
      <c r="K14" s="1166"/>
      <c r="L14" s="1493"/>
      <c r="M14" s="1486">
        <f>SUM(M12:M13)</f>
        <v>0</v>
      </c>
      <c r="N14" s="1470"/>
      <c r="O14" s="1471"/>
      <c r="P14" s="1472"/>
    </row>
    <row r="15" spans="1:41" s="1026" customFormat="1" ht="23.25" customHeight="1">
      <c r="A15" s="911"/>
      <c r="B15" s="1073" t="s">
        <v>16</v>
      </c>
      <c r="C15" s="1073"/>
      <c r="D15" s="1171"/>
      <c r="E15" s="1167"/>
      <c r="F15" s="1167"/>
      <c r="G15" s="1168"/>
      <c r="H15" s="951"/>
      <c r="I15" s="1033"/>
      <c r="J15" s="1169"/>
      <c r="K15" s="1169"/>
      <c r="L15" s="1493"/>
      <c r="M15" s="1487"/>
      <c r="N15" s="1471"/>
      <c r="O15" s="1473"/>
      <c r="P15" s="1472"/>
    </row>
    <row r="16" spans="1:41" s="1026" customFormat="1" ht="23.25" customHeight="1">
      <c r="A16" s="1586"/>
      <c r="B16" s="1587"/>
      <c r="C16" s="1587"/>
      <c r="D16" s="1588"/>
      <c r="E16" s="1589"/>
      <c r="F16" s="1589"/>
      <c r="G16" s="1590"/>
      <c r="H16" s="1591"/>
      <c r="I16" s="1592"/>
      <c r="J16" s="1593"/>
      <c r="K16" s="1593"/>
      <c r="L16" s="1594"/>
      <c r="M16" s="1487"/>
      <c r="N16" s="1595"/>
      <c r="O16" s="1596"/>
      <c r="P16" s="1597"/>
    </row>
    <row r="17" spans="1:18" s="1377" customFormat="1" ht="29.25" customHeight="1">
      <c r="A17" s="1458">
        <v>1</v>
      </c>
      <c r="B17" s="1479" t="s">
        <v>586</v>
      </c>
      <c r="C17" s="1459" t="s">
        <v>992</v>
      </c>
      <c r="D17" s="1460">
        <v>0.1</v>
      </c>
      <c r="E17" s="1461">
        <v>42000</v>
      </c>
      <c r="F17" s="1461">
        <v>0</v>
      </c>
      <c r="G17" s="1461">
        <v>0</v>
      </c>
      <c r="H17" s="1461"/>
      <c r="I17" s="1650">
        <f>-VLOOKUP(R17,[6]KH0010009_20180228_CRB_Output_!$B$1:$D$183,3,FALSE)</f>
        <v>32738.74</v>
      </c>
      <c r="J17" s="1651">
        <v>42088</v>
      </c>
      <c r="K17" s="1651">
        <v>45376</v>
      </c>
      <c r="L17" s="1652"/>
      <c r="M17" s="1653">
        <f>-VLOOKUP(R17,[7]KH0010009_20170831_CRB_Output_!$D$156:$F$309,3,FALSE)</f>
        <v>297.62</v>
      </c>
      <c r="N17" s="1462"/>
      <c r="O17" s="1462"/>
      <c r="P17" s="1562" t="s">
        <v>587</v>
      </c>
      <c r="R17" s="1377" t="s">
        <v>754</v>
      </c>
    </row>
    <row r="18" spans="1:18" s="1377" customFormat="1" ht="29.25" customHeight="1">
      <c r="A18" s="1458">
        <v>2</v>
      </c>
      <c r="B18" s="1479" t="s">
        <v>594</v>
      </c>
      <c r="C18" s="1459" t="s">
        <v>993</v>
      </c>
      <c r="D18" s="1460">
        <v>0.11</v>
      </c>
      <c r="E18" s="1461">
        <v>33000</v>
      </c>
      <c r="F18" s="1461">
        <v>0</v>
      </c>
      <c r="G18" s="1461">
        <v>0</v>
      </c>
      <c r="H18" s="1461"/>
      <c r="I18" s="1650">
        <f>-VLOOKUP(R18,[6]KH0010009_20180228_CRB_Output_!$B$1:$D$183,3,FALSE)</f>
        <v>27035.77</v>
      </c>
      <c r="J18" s="1651">
        <v>42114</v>
      </c>
      <c r="K18" s="1651">
        <v>45767</v>
      </c>
      <c r="L18" s="1652"/>
      <c r="M18" s="1653">
        <f>-VLOOKUP(R18,[7]KH0010009_20170831_CRB_Output_!$D$156:$F$309,3,FALSE)</f>
        <v>60.38</v>
      </c>
      <c r="N18" s="1462"/>
      <c r="O18" s="1462"/>
      <c r="P18" s="1562" t="s">
        <v>600</v>
      </c>
      <c r="R18" s="1377" t="s">
        <v>755</v>
      </c>
    </row>
    <row r="19" spans="1:18" s="1377" customFormat="1" ht="29.25" customHeight="1">
      <c r="A19" s="1458">
        <v>3</v>
      </c>
      <c r="B19" s="1479" t="s">
        <v>752</v>
      </c>
      <c r="C19" s="1459" t="s">
        <v>994</v>
      </c>
      <c r="D19" s="1460">
        <v>0.1</v>
      </c>
      <c r="E19" s="1461">
        <v>100000</v>
      </c>
      <c r="F19" s="1461">
        <v>0</v>
      </c>
      <c r="G19" s="1461">
        <v>0</v>
      </c>
      <c r="H19" s="1461"/>
      <c r="I19" s="1650">
        <f>-VLOOKUP(R19,[6]KH0010009_20180228_CRB_Output_!$B$1:$D$183,3,FALSE)</f>
        <v>81912.09</v>
      </c>
      <c r="J19" s="1651">
        <v>42128</v>
      </c>
      <c r="K19" s="1651">
        <v>45781</v>
      </c>
      <c r="L19" s="1652"/>
      <c r="M19" s="1653">
        <f>-VLOOKUP(R19,[7]KH0010009_20170831_CRB_Output_!$D$156:$F$309,3,FALSE)</f>
        <v>475.37</v>
      </c>
      <c r="N19" s="1462"/>
      <c r="O19" s="1462"/>
      <c r="P19" s="1562" t="s">
        <v>610</v>
      </c>
      <c r="R19" s="1377" t="s">
        <v>756</v>
      </c>
    </row>
    <row r="20" spans="1:18" s="1377" customFormat="1" ht="29.25" customHeight="1">
      <c r="A20" s="1458">
        <v>4</v>
      </c>
      <c r="B20" s="1479" t="s">
        <v>618</v>
      </c>
      <c r="C20" s="1459" t="s">
        <v>995</v>
      </c>
      <c r="D20" s="1460">
        <v>0.1</v>
      </c>
      <c r="E20" s="1461">
        <v>60000</v>
      </c>
      <c r="F20" s="1461">
        <v>0</v>
      </c>
      <c r="G20" s="1461">
        <v>0</v>
      </c>
      <c r="H20" s="1461"/>
      <c r="I20" s="1650">
        <f>-VLOOKUP(R20,[6]KH0010009_20180228_CRB_Output_!$B$1:$D$183,3,FALSE)</f>
        <v>49352.18</v>
      </c>
      <c r="J20" s="1651">
        <v>42168</v>
      </c>
      <c r="K20" s="1651">
        <v>45821</v>
      </c>
      <c r="L20" s="1652"/>
      <c r="M20" s="1653">
        <f>-VLOOKUP(R20,[7]KH0010009_20170831_CRB_Output_!$D$156:$F$309,3,FALSE)</f>
        <v>186.1</v>
      </c>
      <c r="N20" s="1462"/>
      <c r="O20" s="1462"/>
      <c r="P20" s="1562" t="s">
        <v>613</v>
      </c>
      <c r="R20" s="1377" t="s">
        <v>757</v>
      </c>
    </row>
    <row r="21" spans="1:18" s="1377" customFormat="1" ht="29.25" customHeight="1">
      <c r="A21" s="1458">
        <v>5</v>
      </c>
      <c r="B21" s="1479" t="s">
        <v>642</v>
      </c>
      <c r="C21" s="1459" t="s">
        <v>996</v>
      </c>
      <c r="D21" s="1460">
        <v>8.5000000000000006E-2</v>
      </c>
      <c r="E21" s="1461">
        <v>20000</v>
      </c>
      <c r="F21" s="1461">
        <v>0</v>
      </c>
      <c r="G21" s="1461">
        <v>0</v>
      </c>
      <c r="H21" s="1461"/>
      <c r="I21" s="1650">
        <f>-VLOOKUP(R21,[6]KH0010009_20180228_CRB_Output_!$B$1:$D$183,3,FALSE)</f>
        <v>13938.83</v>
      </c>
      <c r="J21" s="1651">
        <v>42191</v>
      </c>
      <c r="K21" s="1651">
        <v>44748</v>
      </c>
      <c r="L21" s="1652"/>
      <c r="M21" s="1653">
        <f>-VLOOKUP(R21,[7]KH0010009_20170831_CRB_Output_!$D$156:$F$309,3,FALSE)</f>
        <v>82.88</v>
      </c>
      <c r="N21" s="1462"/>
      <c r="O21" s="1462"/>
      <c r="P21" s="1562" t="s">
        <v>649</v>
      </c>
      <c r="R21" s="1496" t="s">
        <v>758</v>
      </c>
    </row>
    <row r="22" spans="1:18" s="1377" customFormat="1" ht="29.25" customHeight="1">
      <c r="A22" s="1458">
        <v>6</v>
      </c>
      <c r="B22" s="1479" t="s">
        <v>643</v>
      </c>
      <c r="C22" s="1459" t="s">
        <v>997</v>
      </c>
      <c r="D22" s="1460">
        <v>0.1</v>
      </c>
      <c r="E22" s="1461">
        <v>30000</v>
      </c>
      <c r="F22" s="1461">
        <v>0</v>
      </c>
      <c r="G22" s="1461">
        <v>0</v>
      </c>
      <c r="H22" s="1461"/>
      <c r="I22" s="1650">
        <f>-VLOOKUP(R22,[6]KH0010009_20180228_CRB_Output_!$B$1:$D$183,3,FALSE)</f>
        <v>21330.95</v>
      </c>
      <c r="J22" s="1651">
        <v>42192</v>
      </c>
      <c r="K22" s="1651">
        <v>44749</v>
      </c>
      <c r="L22" s="1652"/>
      <c r="M22" s="1653">
        <f>-VLOOKUP(R22,[7]KH0010009_20170831_CRB_Output_!$D$156:$F$309,3,FALSE)</f>
        <v>148.13</v>
      </c>
      <c r="N22" s="1462"/>
      <c r="O22" s="1462"/>
      <c r="P22" s="1562" t="s">
        <v>650</v>
      </c>
      <c r="R22" s="1377" t="s">
        <v>759</v>
      </c>
    </row>
    <row r="23" spans="1:18" s="1377" customFormat="1" ht="29.25" customHeight="1">
      <c r="A23" s="1458">
        <v>7</v>
      </c>
      <c r="B23" s="1479" t="s">
        <v>647</v>
      </c>
      <c r="C23" s="1459" t="s">
        <v>998</v>
      </c>
      <c r="D23" s="1460">
        <v>0.105</v>
      </c>
      <c r="E23" s="1461">
        <v>35000</v>
      </c>
      <c r="F23" s="1461">
        <v>0</v>
      </c>
      <c r="G23" s="1461">
        <v>0</v>
      </c>
      <c r="H23" s="1461"/>
      <c r="I23" s="1650">
        <f>-VLOOKUP(R23,[6]KH0010009_20180228_CRB_Output_!$B$1:$D$183,3,FALSE)</f>
        <v>26658.18</v>
      </c>
      <c r="J23" s="1651">
        <v>42214</v>
      </c>
      <c r="K23" s="1651">
        <v>45136</v>
      </c>
      <c r="L23" s="1652"/>
      <c r="M23" s="1653">
        <f>-VLOOKUP(R23,[7]KH0010009_20170831_CRB_Output_!$D$156:$F$309,3,FALSE)</f>
        <v>16.600000000000001</v>
      </c>
      <c r="N23" s="1462"/>
      <c r="O23" s="1462"/>
      <c r="P23" s="1562" t="s">
        <v>651</v>
      </c>
      <c r="R23" s="1377" t="s">
        <v>760</v>
      </c>
    </row>
    <row r="24" spans="1:18" s="1377" customFormat="1" ht="29.25" customHeight="1">
      <c r="A24" s="1458">
        <v>8</v>
      </c>
      <c r="B24" s="1479" t="s">
        <v>670</v>
      </c>
      <c r="C24" s="1459" t="s">
        <v>999</v>
      </c>
      <c r="D24" s="1460">
        <v>0.12</v>
      </c>
      <c r="E24" s="1461">
        <v>10000</v>
      </c>
      <c r="F24" s="1461">
        <v>0</v>
      </c>
      <c r="G24" s="1461">
        <v>0</v>
      </c>
      <c r="H24" s="1461"/>
      <c r="I24" s="1650">
        <f>-VLOOKUP(R24,[6]KH0010009_20180228_CRB_Output_!$B$1:$D$183,3,FALSE)</f>
        <v>5698.5</v>
      </c>
      <c r="J24" s="1651">
        <v>42227</v>
      </c>
      <c r="K24" s="1651">
        <v>44054</v>
      </c>
      <c r="L24" s="1652"/>
      <c r="M24" s="1653">
        <f>-VLOOKUP(R24,[7]KH0010009_20170831_CRB_Output_!$D$156:$F$309,3,FALSE)</f>
        <v>46.65</v>
      </c>
      <c r="N24" s="1462"/>
      <c r="O24" s="1462"/>
      <c r="P24" s="1562" t="s">
        <v>671</v>
      </c>
      <c r="R24" s="1377" t="s">
        <v>761</v>
      </c>
    </row>
    <row r="25" spans="1:18" s="1377" customFormat="1" ht="29.25" customHeight="1">
      <c r="A25" s="1458">
        <v>9</v>
      </c>
      <c r="B25" s="1479" t="s">
        <v>676</v>
      </c>
      <c r="C25" s="1459" t="s">
        <v>1000</v>
      </c>
      <c r="D25" s="1460">
        <v>0.11</v>
      </c>
      <c r="E25" s="1461">
        <v>15000</v>
      </c>
      <c r="F25" s="1461">
        <v>0</v>
      </c>
      <c r="G25" s="1461">
        <v>0</v>
      </c>
      <c r="H25" s="1461"/>
      <c r="I25" s="1650">
        <f>-VLOOKUP(R25,[6]KH0010009_20180228_CRB_Output_!$B$1:$D$183,3,FALSE)</f>
        <v>8333.26</v>
      </c>
      <c r="J25" s="1651">
        <v>42235</v>
      </c>
      <c r="K25" s="1651">
        <v>44062</v>
      </c>
      <c r="L25" s="1652"/>
      <c r="M25" s="1653">
        <f>-VLOOKUP(R25,[7]KH0010009_20170831_CRB_Output_!$D$156:$F$309,3,FALSE)</f>
        <v>38.9</v>
      </c>
      <c r="N25" s="1462"/>
      <c r="O25" s="1462"/>
      <c r="P25" s="1562" t="s">
        <v>677</v>
      </c>
      <c r="R25" s="1377" t="s">
        <v>762</v>
      </c>
    </row>
    <row r="26" spans="1:18" s="1377" customFormat="1" ht="29.25" customHeight="1">
      <c r="A26" s="1458">
        <v>10</v>
      </c>
      <c r="B26" s="1479" t="s">
        <v>692</v>
      </c>
      <c r="C26" s="1459" t="s">
        <v>1001</v>
      </c>
      <c r="D26" s="1460">
        <v>0.12</v>
      </c>
      <c r="E26" s="1461">
        <v>12000</v>
      </c>
      <c r="F26" s="1461">
        <v>0</v>
      </c>
      <c r="G26" s="1461">
        <v>0</v>
      </c>
      <c r="H26" s="1461"/>
      <c r="I26" s="1650">
        <f>-VLOOKUP(R26,[6]KH0010009_20180228_CRB_Output_!$B$1:$D$183,3,FALSE)</f>
        <v>8754.65</v>
      </c>
      <c r="J26" s="1651">
        <v>42222</v>
      </c>
      <c r="K26" s="1651">
        <v>44779</v>
      </c>
      <c r="L26" s="1652"/>
      <c r="M26" s="1653">
        <f>-VLOOKUP(R26,[7]KH0010009_20170831_CRB_Output_!$D$156:$F$309,3,FALSE)</f>
        <v>82.17</v>
      </c>
      <c r="N26" s="1462"/>
      <c r="O26" s="1462"/>
      <c r="P26" s="1562" t="s">
        <v>693</v>
      </c>
      <c r="R26" s="1377" t="s">
        <v>763</v>
      </c>
    </row>
    <row r="27" spans="1:18" s="1377" customFormat="1" ht="29.25" customHeight="1">
      <c r="A27" s="1458">
        <v>11</v>
      </c>
      <c r="B27" s="1479" t="s">
        <v>694</v>
      </c>
      <c r="C27" s="1459" t="s">
        <v>1002</v>
      </c>
      <c r="D27" s="1460">
        <v>0.13200000000000001</v>
      </c>
      <c r="E27" s="1461">
        <v>30000</v>
      </c>
      <c r="F27" s="1461">
        <v>0</v>
      </c>
      <c r="G27" s="1461">
        <v>0</v>
      </c>
      <c r="H27" s="1461"/>
      <c r="I27" s="1650">
        <f>-VLOOKUP(R27,[6]KH0010009_20180228_CRB_Output_!$B$1:$D$183,3,FALSE)</f>
        <v>22402.34</v>
      </c>
      <c r="J27" s="1651">
        <v>42238</v>
      </c>
      <c r="K27" s="1651">
        <v>44795</v>
      </c>
      <c r="L27" s="1652"/>
      <c r="M27" s="1653">
        <f>-VLOOKUP(R27,[7]KH0010009_20170831_CRB_Output_!$D$156:$F$309,3,FALSE)</f>
        <v>61.92</v>
      </c>
      <c r="N27" s="1462"/>
      <c r="O27" s="1462"/>
      <c r="P27" s="1562" t="s">
        <v>695</v>
      </c>
      <c r="R27" s="1377" t="s">
        <v>764</v>
      </c>
    </row>
    <row r="28" spans="1:18" s="1377" customFormat="1" ht="29.25" customHeight="1">
      <c r="A28" s="1458">
        <v>12</v>
      </c>
      <c r="B28" s="1479" t="s">
        <v>686</v>
      </c>
      <c r="C28" s="1459" t="s">
        <v>1003</v>
      </c>
      <c r="D28" s="1460">
        <v>0.1</v>
      </c>
      <c r="E28" s="1461">
        <v>200000</v>
      </c>
      <c r="F28" s="1461">
        <v>0</v>
      </c>
      <c r="G28" s="1461">
        <v>0</v>
      </c>
      <c r="H28" s="1461"/>
      <c r="I28" s="1650">
        <f>-VLOOKUP(R28,[6]KH0010009_20180228_CRB_Output_!$B$1:$D$183,3,FALSE)</f>
        <v>134781.6</v>
      </c>
      <c r="J28" s="1651">
        <v>42233</v>
      </c>
      <c r="K28" s="1651">
        <v>44425</v>
      </c>
      <c r="L28" s="1652"/>
      <c r="M28" s="1653">
        <f>-VLOOKUP(R28,[7]KH0010009_20170831_CRB_Output_!$D$156:$F$309,3,FALSE)</f>
        <v>1289.1300000000001</v>
      </c>
      <c r="N28" s="1462"/>
      <c r="O28" s="1462"/>
      <c r="P28" s="1562" t="s">
        <v>687</v>
      </c>
      <c r="R28" s="1377" t="s">
        <v>765</v>
      </c>
    </row>
    <row r="29" spans="1:18" s="1377" customFormat="1" ht="29.25" customHeight="1">
      <c r="A29" s="1458">
        <v>13</v>
      </c>
      <c r="B29" s="1479" t="s">
        <v>1471</v>
      </c>
      <c r="C29" s="1459" t="s">
        <v>1004</v>
      </c>
      <c r="D29" s="1460">
        <v>0.1</v>
      </c>
      <c r="E29" s="1461">
        <v>80000</v>
      </c>
      <c r="F29" s="1461">
        <v>0</v>
      </c>
      <c r="G29" s="1461">
        <v>0</v>
      </c>
      <c r="H29" s="1461"/>
      <c r="I29" s="1650" t="e">
        <f>-VLOOKUP(R29,[6]KH0010009_20180228_CRB_Output_!$B$1:$D$183,3,FALSE)</f>
        <v>#N/A</v>
      </c>
      <c r="J29" s="1651">
        <v>42213</v>
      </c>
      <c r="K29" s="1651">
        <v>45866</v>
      </c>
      <c r="L29" s="1652"/>
      <c r="M29" s="1653">
        <f>-VLOOKUP(R29,[7]KH0010009_20170831_CRB_Output_!$D$156:$F$309,3,FALSE)</f>
        <v>562.72</v>
      </c>
      <c r="N29" s="1462"/>
      <c r="O29" s="1462"/>
      <c r="P29" s="1562" t="s">
        <v>707</v>
      </c>
      <c r="R29" s="1495" t="s">
        <v>1444</v>
      </c>
    </row>
    <row r="30" spans="1:18" s="1377" customFormat="1" ht="29.25" customHeight="1">
      <c r="A30" s="1458">
        <v>14</v>
      </c>
      <c r="B30" s="1479" t="s">
        <v>712</v>
      </c>
      <c r="C30" s="1459" t="s">
        <v>1005</v>
      </c>
      <c r="D30" s="1460">
        <v>9.5000000000000001E-2</v>
      </c>
      <c r="E30" s="1461">
        <v>170000</v>
      </c>
      <c r="F30" s="1461">
        <v>0</v>
      </c>
      <c r="G30" s="1461">
        <v>0</v>
      </c>
      <c r="H30" s="1461"/>
      <c r="I30" s="1650">
        <f>-VLOOKUP(R30,[6]KH0010009_20180228_CRB_Output_!$B$1:$D$183,3,FALSE)</f>
        <v>59828.93</v>
      </c>
      <c r="J30" s="1651">
        <v>42226</v>
      </c>
      <c r="K30" s="1651">
        <v>45879</v>
      </c>
      <c r="L30" s="1652"/>
      <c r="M30" s="1653">
        <f>-VLOOKUP(R30,[7]KH0010009_20170831_CRB_Output_!$D$156:$F$309,3,FALSE)</f>
        <v>535.87</v>
      </c>
      <c r="N30" s="1462"/>
      <c r="O30" s="1462"/>
      <c r="P30" s="1562" t="s">
        <v>713</v>
      </c>
      <c r="R30" s="1377" t="s">
        <v>766</v>
      </c>
    </row>
    <row r="31" spans="1:18" s="1377" customFormat="1" ht="29.25" customHeight="1">
      <c r="A31" s="1458">
        <v>15</v>
      </c>
      <c r="B31" s="1479" t="s">
        <v>718</v>
      </c>
      <c r="C31" s="1459" t="s">
        <v>1006</v>
      </c>
      <c r="D31" s="1460">
        <v>0.11</v>
      </c>
      <c r="E31" s="1461">
        <v>40000</v>
      </c>
      <c r="F31" s="1461">
        <v>0</v>
      </c>
      <c r="G31" s="1461">
        <v>0</v>
      </c>
      <c r="H31" s="1461"/>
      <c r="I31" s="1650">
        <f>-VLOOKUP(R31,[6]KH0010009_20180228_CRB_Output_!$B$1:$D$183,3,FALSE)</f>
        <v>33955.26</v>
      </c>
      <c r="J31" s="1651">
        <v>42244</v>
      </c>
      <c r="K31" s="1651">
        <v>45897</v>
      </c>
      <c r="L31" s="1652"/>
      <c r="M31" s="1653">
        <f>-VLOOKUP(R31,[7]KH0010009_20170831_CRB_Output_!$D$156:$F$309,3,FALSE)</f>
        <v>334.66</v>
      </c>
      <c r="N31" s="1462"/>
      <c r="O31" s="1462"/>
      <c r="P31" s="1562" t="s">
        <v>719</v>
      </c>
      <c r="R31" s="1377" t="s">
        <v>767</v>
      </c>
    </row>
    <row r="32" spans="1:18" s="1377" customFormat="1" ht="29.25" customHeight="1">
      <c r="A32" s="1458">
        <v>16</v>
      </c>
      <c r="B32" s="1479" t="s">
        <v>729</v>
      </c>
      <c r="C32" s="1459" t="s">
        <v>1007</v>
      </c>
      <c r="D32" s="1460">
        <v>0.13200000000000001</v>
      </c>
      <c r="E32" s="1461">
        <v>25000</v>
      </c>
      <c r="F32" s="1461">
        <v>0</v>
      </c>
      <c r="G32" s="1461">
        <v>0</v>
      </c>
      <c r="H32" s="1461"/>
      <c r="I32" s="1650">
        <f>-VLOOKUP(R32,[6]KH0010009_20180228_CRB_Output_!$B$1:$D$183,3,FALSE)</f>
        <v>8617.7000000000007</v>
      </c>
      <c r="J32" s="1651">
        <v>42270</v>
      </c>
      <c r="K32" s="1651">
        <v>44827</v>
      </c>
      <c r="L32" s="1652"/>
      <c r="M32" s="1653">
        <f>-VLOOKUP(R32,[7]KH0010009_20170831_CRB_Output_!$D$156:$F$309,3,FALSE)</f>
        <v>35.369999999999997</v>
      </c>
      <c r="N32" s="1462"/>
      <c r="O32" s="1462"/>
      <c r="P32" s="1562" t="s">
        <v>730</v>
      </c>
      <c r="R32" s="1377" t="s">
        <v>768</v>
      </c>
    </row>
    <row r="33" spans="1:18" s="1377" customFormat="1" ht="29.25" customHeight="1">
      <c r="A33" s="1458">
        <v>17</v>
      </c>
      <c r="B33" s="1479" t="s">
        <v>733</v>
      </c>
      <c r="C33" s="1459" t="s">
        <v>1008</v>
      </c>
      <c r="D33" s="1460">
        <v>0.11</v>
      </c>
      <c r="E33" s="1461">
        <v>35000</v>
      </c>
      <c r="F33" s="1461">
        <v>0</v>
      </c>
      <c r="G33" s="1461">
        <v>0</v>
      </c>
      <c r="H33" s="1461"/>
      <c r="I33" s="1650">
        <f>-VLOOKUP(R33,[6]KH0010009_20180228_CRB_Output_!$B$1:$D$183,3,FALSE)</f>
        <v>21584.38</v>
      </c>
      <c r="J33" s="1651">
        <v>42258</v>
      </c>
      <c r="K33" s="1651">
        <v>45911</v>
      </c>
      <c r="L33" s="1652"/>
      <c r="M33" s="1653">
        <f>-VLOOKUP(R33,[7]KH0010009_20170831_CRB_Output_!$D$156:$F$309,3,FALSE)</f>
        <v>161.16999999999999</v>
      </c>
      <c r="N33" s="1462"/>
      <c r="O33" s="1462"/>
      <c r="P33" s="1562" t="s">
        <v>734</v>
      </c>
      <c r="R33" s="1377" t="s">
        <v>769</v>
      </c>
    </row>
    <row r="34" spans="1:18" s="1377" customFormat="1" ht="29.25" customHeight="1">
      <c r="A34" s="1458">
        <v>18</v>
      </c>
      <c r="B34" s="1479" t="s">
        <v>739</v>
      </c>
      <c r="C34" s="1459" t="s">
        <v>1009</v>
      </c>
      <c r="D34" s="1460">
        <v>0.11</v>
      </c>
      <c r="E34" s="1461">
        <v>40000</v>
      </c>
      <c r="F34" s="1461">
        <v>0</v>
      </c>
      <c r="G34" s="1461">
        <v>0</v>
      </c>
      <c r="H34" s="1461"/>
      <c r="I34" s="1650">
        <f>-VLOOKUP(R34,[6]KH0010009_20180228_CRB_Output_!$B$1:$D$183,3,FALSE)</f>
        <v>26999.31</v>
      </c>
      <c r="J34" s="1651">
        <v>42250</v>
      </c>
      <c r="K34" s="1651">
        <v>44442</v>
      </c>
      <c r="L34" s="1652"/>
      <c r="M34" s="1653">
        <f>-VLOOKUP(R34,[7]KH0010009_20170831_CRB_Output_!$D$156:$F$309,3,FALSE)</f>
        <v>265.60000000000002</v>
      </c>
      <c r="N34" s="1462"/>
      <c r="O34" s="1462"/>
      <c r="P34" s="1562" t="s">
        <v>740</v>
      </c>
      <c r="R34" s="1377" t="s">
        <v>770</v>
      </c>
    </row>
    <row r="35" spans="1:18" s="1377" customFormat="1" ht="29.25" customHeight="1">
      <c r="A35" s="1458">
        <v>19</v>
      </c>
      <c r="B35" s="1479" t="s">
        <v>772</v>
      </c>
      <c r="C35" s="1459" t="s">
        <v>1010</v>
      </c>
      <c r="D35" s="1460">
        <v>0.1</v>
      </c>
      <c r="E35" s="1461">
        <v>50000</v>
      </c>
      <c r="F35" s="1461">
        <v>0</v>
      </c>
      <c r="G35" s="1461">
        <v>0</v>
      </c>
      <c r="H35" s="1461"/>
      <c r="I35" s="1650">
        <f>-VLOOKUP(R35,[6]KH0010009_20180228_CRB_Output_!$B$1:$D$183,3,FALSE)</f>
        <v>39681.32</v>
      </c>
      <c r="J35" s="1651">
        <v>42314</v>
      </c>
      <c r="K35" s="1651">
        <v>45236</v>
      </c>
      <c r="L35" s="1652"/>
      <c r="M35" s="1653">
        <f>-VLOOKUP(R35,[7]KH0010009_20170831_CRB_Output_!$D$156:$F$309,3,FALSE)</f>
        <v>304.55</v>
      </c>
      <c r="N35" s="1462"/>
      <c r="O35" s="1462"/>
      <c r="P35" s="1562" t="s">
        <v>740</v>
      </c>
      <c r="R35" s="1377" t="s">
        <v>805</v>
      </c>
    </row>
    <row r="36" spans="1:18" s="1377" customFormat="1" ht="29.25" customHeight="1">
      <c r="A36" s="1458">
        <v>20</v>
      </c>
      <c r="B36" s="1479" t="s">
        <v>778</v>
      </c>
      <c r="C36" s="1459" t="s">
        <v>1011</v>
      </c>
      <c r="D36" s="1460">
        <v>0.11</v>
      </c>
      <c r="E36" s="1461">
        <v>10000</v>
      </c>
      <c r="F36" s="1461">
        <v>0</v>
      </c>
      <c r="G36" s="1461">
        <v>0</v>
      </c>
      <c r="H36" s="1461"/>
      <c r="I36" s="1650">
        <f>-VLOOKUP(R36,[6]KH0010009_20180228_CRB_Output_!$B$1:$D$183,3,FALSE)</f>
        <v>4903.12</v>
      </c>
      <c r="J36" s="1651">
        <v>42312</v>
      </c>
      <c r="K36" s="1651">
        <v>43773</v>
      </c>
      <c r="L36" s="1652"/>
      <c r="M36" s="1653">
        <f>-VLOOKUP(R36,[7]KH0010009_20170831_CRB_Output_!$D$156:$F$309,3,FALSE)</f>
        <v>52.59</v>
      </c>
      <c r="N36" s="1462"/>
      <c r="O36" s="1462"/>
      <c r="P36" s="1562" t="s">
        <v>779</v>
      </c>
      <c r="R36" s="1377" t="s">
        <v>806</v>
      </c>
    </row>
    <row r="37" spans="1:18" s="1377" customFormat="1" ht="29.25" customHeight="1">
      <c r="A37" s="1458">
        <v>21</v>
      </c>
      <c r="B37" s="1479" t="s">
        <v>785</v>
      </c>
      <c r="C37" s="1459" t="s">
        <v>1012</v>
      </c>
      <c r="D37" s="1460">
        <v>0.12</v>
      </c>
      <c r="E37" s="1461">
        <v>70000</v>
      </c>
      <c r="F37" s="1461">
        <v>0</v>
      </c>
      <c r="G37" s="1461">
        <v>0</v>
      </c>
      <c r="H37" s="1461"/>
      <c r="I37" s="1650">
        <f>-VLOOKUP(R37,[6]KH0010009_20180228_CRB_Output_!$B$1:$D$183,3,FALSE)</f>
        <v>53506.37</v>
      </c>
      <c r="J37" s="1651">
        <v>42319</v>
      </c>
      <c r="K37" s="1651">
        <v>44876</v>
      </c>
      <c r="L37" s="1652"/>
      <c r="M37" s="1653">
        <v>2345.31</v>
      </c>
      <c r="N37" s="1462"/>
      <c r="O37" s="1462"/>
      <c r="P37" s="1562" t="s">
        <v>786</v>
      </c>
      <c r="R37" s="1377" t="s">
        <v>807</v>
      </c>
    </row>
    <row r="38" spans="1:18" s="1377" customFormat="1" ht="29.25" customHeight="1">
      <c r="A38" s="1458">
        <v>22</v>
      </c>
      <c r="B38" s="1479" t="s">
        <v>793</v>
      </c>
      <c r="C38" s="1459" t="s">
        <v>1013</v>
      </c>
      <c r="D38" s="1460">
        <v>0.12</v>
      </c>
      <c r="E38" s="1461">
        <v>25000</v>
      </c>
      <c r="F38" s="1461">
        <v>0</v>
      </c>
      <c r="G38" s="1461">
        <v>0</v>
      </c>
      <c r="H38" s="1461"/>
      <c r="I38" s="1650">
        <f>-VLOOKUP(R38,[6]KH0010009_20180228_CRB_Output_!$B$1:$D$183,3,FALSE)</f>
        <v>17553.759999999998</v>
      </c>
      <c r="J38" s="1651">
        <v>42321</v>
      </c>
      <c r="K38" s="1651">
        <v>44513</v>
      </c>
      <c r="L38" s="1652"/>
      <c r="M38" s="1653">
        <f>-VLOOKUP(R38,[7]KH0010009_20170831_CRB_Output_!$D$156:$F$309,3,FALSE)</f>
        <v>122.75</v>
      </c>
      <c r="N38" s="1462"/>
      <c r="O38" s="1462"/>
      <c r="P38" s="1562" t="s">
        <v>794</v>
      </c>
      <c r="R38" s="1377" t="s">
        <v>808</v>
      </c>
    </row>
    <row r="39" spans="1:18" s="1377" customFormat="1" ht="29.25" customHeight="1">
      <c r="A39" s="1458">
        <v>23</v>
      </c>
      <c r="B39" s="1479" t="s">
        <v>798</v>
      </c>
      <c r="C39" s="1459" t="s">
        <v>1014</v>
      </c>
      <c r="D39" s="1460">
        <v>0.11</v>
      </c>
      <c r="E39" s="1461">
        <v>100000</v>
      </c>
      <c r="F39" s="1461">
        <v>0</v>
      </c>
      <c r="G39" s="1461">
        <v>0</v>
      </c>
      <c r="H39" s="1461"/>
      <c r="I39" s="1650">
        <f>-VLOOKUP(R39,[6]KH0010009_20180228_CRB_Output_!$B$1:$D$183,3,FALSE)</f>
        <v>80012.5</v>
      </c>
      <c r="J39" s="1651">
        <v>42314</v>
      </c>
      <c r="K39" s="1651">
        <v>45236</v>
      </c>
      <c r="L39" s="1652"/>
      <c r="M39" s="1653">
        <f>-VLOOKUP(R39,[7]KH0010009_20170831_CRB_Output_!$D$156:$F$309,3,FALSE)</f>
        <v>674.2</v>
      </c>
      <c r="N39" s="1462"/>
      <c r="O39" s="1462"/>
      <c r="P39" s="1562" t="s">
        <v>799</v>
      </c>
      <c r="R39" s="1377" t="s">
        <v>809</v>
      </c>
    </row>
    <row r="40" spans="1:18" s="1377" customFormat="1" ht="29.25" customHeight="1">
      <c r="A40" s="1458">
        <v>24</v>
      </c>
      <c r="B40" s="1479" t="s">
        <v>810</v>
      </c>
      <c r="C40" s="1459" t="s">
        <v>1015</v>
      </c>
      <c r="D40" s="1460">
        <v>0.12</v>
      </c>
      <c r="E40" s="1461">
        <v>15000</v>
      </c>
      <c r="F40" s="1461">
        <v>0</v>
      </c>
      <c r="G40" s="1461">
        <v>0</v>
      </c>
      <c r="H40" s="1461"/>
      <c r="I40" s="1650">
        <f>-VLOOKUP(R40,[6]KH0010009_20180228_CRB_Output_!$B$1:$D$183,3,FALSE)</f>
        <v>3276.64</v>
      </c>
      <c r="J40" s="1651">
        <v>42339</v>
      </c>
      <c r="K40" s="1651">
        <v>43800</v>
      </c>
      <c r="L40" s="1652"/>
      <c r="M40" s="1653">
        <f>-VLOOKUP(R40,[7]KH0010009_20170831_CRB_Output_!$D$156:$F$309,3,FALSE)</f>
        <v>98.56</v>
      </c>
      <c r="N40" s="1462"/>
      <c r="O40" s="1462"/>
      <c r="P40" s="1562" t="s">
        <v>811</v>
      </c>
      <c r="R40" s="1377" t="s">
        <v>828</v>
      </c>
    </row>
    <row r="41" spans="1:18" s="1377" customFormat="1" ht="29.25" customHeight="1">
      <c r="A41" s="1458">
        <v>25</v>
      </c>
      <c r="B41" s="1479" t="s">
        <v>816</v>
      </c>
      <c r="C41" s="1459" t="s">
        <v>1016</v>
      </c>
      <c r="D41" s="1460">
        <v>0.12</v>
      </c>
      <c r="E41" s="1461">
        <v>30000</v>
      </c>
      <c r="F41" s="1461">
        <v>0</v>
      </c>
      <c r="G41" s="1461">
        <v>0</v>
      </c>
      <c r="H41" s="1461"/>
      <c r="I41" s="1650">
        <f>-VLOOKUP(R41,[6]KH0010009_20180228_CRB_Output_!$B$1:$D$183,3,FALSE)</f>
        <v>24376.54</v>
      </c>
      <c r="J41" s="1651">
        <v>42349</v>
      </c>
      <c r="K41" s="1651">
        <v>45271</v>
      </c>
      <c r="L41" s="1652"/>
      <c r="M41" s="1653">
        <f>-VLOOKUP(R41,[7]KH0010009_20170831_CRB_Output_!$D$156:$F$309,3,FALSE)</f>
        <v>180.6</v>
      </c>
      <c r="N41" s="1462"/>
      <c r="O41" s="1462"/>
      <c r="P41" s="1562" t="s">
        <v>794</v>
      </c>
      <c r="R41" s="1377" t="s">
        <v>829</v>
      </c>
    </row>
    <row r="42" spans="1:18" s="1377" customFormat="1" ht="29.25" customHeight="1">
      <c r="A42" s="1458">
        <v>26</v>
      </c>
      <c r="B42" s="1479" t="s">
        <v>820</v>
      </c>
      <c r="C42" s="1459" t="s">
        <v>1017</v>
      </c>
      <c r="D42" s="1460">
        <v>0.12</v>
      </c>
      <c r="E42" s="1461">
        <v>30000</v>
      </c>
      <c r="F42" s="1461">
        <v>0</v>
      </c>
      <c r="G42" s="1461">
        <v>0</v>
      </c>
      <c r="H42" s="1461"/>
      <c r="I42" s="1650">
        <f>-VLOOKUP(R42,[6]KH0010009_20180228_CRB_Output_!$B$1:$D$183,3,FALSE)</f>
        <v>3871.86</v>
      </c>
      <c r="J42" s="1651">
        <v>42363</v>
      </c>
      <c r="K42" s="1651">
        <v>45285</v>
      </c>
      <c r="L42" s="1652"/>
      <c r="M42" s="1653">
        <f>-VLOOKUP(R42,[7]KH0010009_20170831_CRB_Output_!$D$156:$F$309,3,FALSE)</f>
        <v>65.38</v>
      </c>
      <c r="N42" s="1462"/>
      <c r="O42" s="1462"/>
      <c r="P42" s="1562" t="s">
        <v>650</v>
      </c>
      <c r="R42" s="1377" t="s">
        <v>830</v>
      </c>
    </row>
    <row r="43" spans="1:18" s="1377" customFormat="1" ht="29.25" customHeight="1">
      <c r="A43" s="1458">
        <v>27</v>
      </c>
      <c r="B43" s="1479" t="s">
        <v>831</v>
      </c>
      <c r="C43" s="1459" t="s">
        <v>1018</v>
      </c>
      <c r="D43" s="1460">
        <v>0.12</v>
      </c>
      <c r="E43" s="1461">
        <v>35000</v>
      </c>
      <c r="F43" s="1461">
        <v>0</v>
      </c>
      <c r="G43" s="1461">
        <v>0</v>
      </c>
      <c r="H43" s="1461"/>
      <c r="I43" s="1650">
        <f>-VLOOKUP(R43,[6]KH0010009_20180228_CRB_Output_!$B$1:$D$183,3,FALSE)</f>
        <v>22303.98</v>
      </c>
      <c r="J43" s="1651">
        <v>42354</v>
      </c>
      <c r="K43" s="1651">
        <v>44181</v>
      </c>
      <c r="L43" s="1652"/>
      <c r="M43" s="1653">
        <f>-VLOOKUP(R43,[7]KH0010009_20170831_CRB_Output_!$D$156:$F$309,3,FALSE)</f>
        <v>127.66</v>
      </c>
      <c r="N43" s="1462"/>
      <c r="O43" s="1462"/>
      <c r="P43" s="1562" t="s">
        <v>685</v>
      </c>
      <c r="R43" s="1377" t="s">
        <v>832</v>
      </c>
    </row>
    <row r="44" spans="1:18" s="1377" customFormat="1" ht="29.25" customHeight="1">
      <c r="A44" s="1458">
        <v>28</v>
      </c>
      <c r="B44" s="1479" t="s">
        <v>836</v>
      </c>
      <c r="C44" s="1459" t="s">
        <v>1019</v>
      </c>
      <c r="D44" s="1460">
        <v>0.11</v>
      </c>
      <c r="E44" s="1461">
        <v>40000</v>
      </c>
      <c r="F44" s="1461">
        <v>0</v>
      </c>
      <c r="G44" s="1461">
        <v>0</v>
      </c>
      <c r="H44" s="1461"/>
      <c r="I44" s="1650">
        <f>-VLOOKUP(R44,[6]KH0010009_20180228_CRB_Output_!$B$1:$D$183,3,FALSE)</f>
        <v>32646.66</v>
      </c>
      <c r="J44" s="1651">
        <v>42381</v>
      </c>
      <c r="K44" s="1651">
        <v>45303</v>
      </c>
      <c r="L44" s="1652"/>
      <c r="M44" s="1653">
        <f>-VLOOKUP(R44,[7]KH0010009_20170831_CRB_Output_!$D$156:$F$309,3,FALSE)</f>
        <v>211.19</v>
      </c>
      <c r="N44" s="1462"/>
      <c r="O44" s="1462"/>
      <c r="P44" s="1562" t="s">
        <v>837</v>
      </c>
      <c r="R44" s="1377" t="s">
        <v>882</v>
      </c>
    </row>
    <row r="45" spans="1:18" s="1377" customFormat="1" ht="29.25" customHeight="1">
      <c r="A45" s="1458">
        <v>29</v>
      </c>
      <c r="B45" s="1479" t="s">
        <v>842</v>
      </c>
      <c r="C45" s="1459" t="s">
        <v>1020</v>
      </c>
      <c r="D45" s="1460">
        <v>0.13200000000000001</v>
      </c>
      <c r="E45" s="1461">
        <v>30000</v>
      </c>
      <c r="F45" s="1461">
        <v>0</v>
      </c>
      <c r="G45" s="1461">
        <v>0</v>
      </c>
      <c r="H45" s="1461"/>
      <c r="I45" s="1650">
        <f>-VLOOKUP(R45,[6]KH0010009_20180228_CRB_Output_!$B$1:$D$183,3,FALSE)</f>
        <v>23699.74</v>
      </c>
      <c r="J45" s="1651">
        <v>42371</v>
      </c>
      <c r="K45" s="1651">
        <v>44928</v>
      </c>
      <c r="L45" s="1652"/>
      <c r="M45" s="1653">
        <f>-VLOOKUP(R45,[7]KH0010009_20170831_CRB_Output_!$D$156:$F$309,3,FALSE)</f>
        <v>279.01</v>
      </c>
      <c r="N45" s="1462"/>
      <c r="O45" s="1462"/>
      <c r="P45" s="1562" t="s">
        <v>719</v>
      </c>
      <c r="R45" s="1377" t="s">
        <v>883</v>
      </c>
    </row>
    <row r="46" spans="1:18" s="1377" customFormat="1" ht="29.25" customHeight="1">
      <c r="A46" s="1458">
        <v>30</v>
      </c>
      <c r="B46" s="1479" t="s">
        <v>847</v>
      </c>
      <c r="C46" s="1459" t="s">
        <v>1021</v>
      </c>
      <c r="D46" s="1460">
        <v>0.12</v>
      </c>
      <c r="E46" s="1461">
        <v>15000</v>
      </c>
      <c r="F46" s="1461">
        <v>0</v>
      </c>
      <c r="G46" s="1461">
        <v>0</v>
      </c>
      <c r="H46" s="1461"/>
      <c r="I46" s="1650">
        <f>-VLOOKUP(R46,[6]KH0010009_20180228_CRB_Output_!$B$1:$D$183,3,FALSE)</f>
        <v>9830.69</v>
      </c>
      <c r="J46" s="1651">
        <v>42377</v>
      </c>
      <c r="K46" s="1651">
        <v>44204</v>
      </c>
      <c r="L46" s="1652"/>
      <c r="M46" s="1653">
        <f>-VLOOKUP(R46,[7]KH0010009_20170831_CRB_Output_!$D$156:$F$309,3,FALSE)</f>
        <v>89.51</v>
      </c>
      <c r="N46" s="1462"/>
      <c r="O46" s="1462"/>
      <c r="P46" s="1562" t="s">
        <v>848</v>
      </c>
      <c r="R46" s="1377" t="s">
        <v>884</v>
      </c>
    </row>
    <row r="47" spans="1:18" s="1377" customFormat="1" ht="29.25" customHeight="1">
      <c r="A47" s="1458">
        <v>31</v>
      </c>
      <c r="B47" s="1479" t="s">
        <v>853</v>
      </c>
      <c r="C47" s="1459" t="s">
        <v>1022</v>
      </c>
      <c r="D47" s="1460">
        <v>0.105</v>
      </c>
      <c r="E47" s="1461">
        <v>40000</v>
      </c>
      <c r="F47" s="1461">
        <v>0</v>
      </c>
      <c r="G47" s="1461">
        <v>0</v>
      </c>
      <c r="H47" s="1461"/>
      <c r="I47" s="1650">
        <f>-VLOOKUP(R47,[6]KH0010009_20180228_CRB_Output_!$B$1:$D$183,3,FALSE)</f>
        <v>32352.75</v>
      </c>
      <c r="J47" s="1651">
        <v>42389</v>
      </c>
      <c r="K47" s="1651">
        <v>45311</v>
      </c>
      <c r="L47" s="1652"/>
      <c r="M47" s="1653">
        <f>-VLOOKUP(R47,[7]KH0010009_20170831_CRB_Output_!$D$156:$F$309,3,FALSE)</f>
        <v>120.17</v>
      </c>
      <c r="N47" s="1462"/>
      <c r="O47" s="1462"/>
      <c r="P47" s="1562" t="s">
        <v>854</v>
      </c>
      <c r="R47" s="1377" t="s">
        <v>885</v>
      </c>
    </row>
    <row r="48" spans="1:18" s="1377" customFormat="1" ht="29.25" customHeight="1">
      <c r="A48" s="1458">
        <v>32</v>
      </c>
      <c r="B48" s="1479" t="s">
        <v>859</v>
      </c>
      <c r="C48" s="1459" t="s">
        <v>1023</v>
      </c>
      <c r="D48" s="1460">
        <v>0.12</v>
      </c>
      <c r="E48" s="1461">
        <v>45000</v>
      </c>
      <c r="F48" s="1461">
        <v>0</v>
      </c>
      <c r="G48" s="1461">
        <v>0</v>
      </c>
      <c r="H48" s="1461"/>
      <c r="I48" s="1650">
        <f>-VLOOKUP(R48,[6]KH0010009_20180228_CRB_Output_!$B$1:$D$183,3,FALSE)</f>
        <v>36992.89</v>
      </c>
      <c r="J48" s="1651">
        <v>42391</v>
      </c>
      <c r="K48" s="1651">
        <v>45313</v>
      </c>
      <c r="L48" s="1652"/>
      <c r="M48" s="1653">
        <f>-VLOOKUP(R48,[7]KH0010009_20170831_CRB_Output_!$D$156:$F$309,3,FALSE)</f>
        <v>130.30000000000001</v>
      </c>
      <c r="N48" s="1462"/>
      <c r="O48" s="1462"/>
      <c r="P48" s="1562" t="s">
        <v>860</v>
      </c>
      <c r="R48" s="1377" t="s">
        <v>886</v>
      </c>
    </row>
    <row r="49" spans="1:18" s="1377" customFormat="1" ht="29.25" customHeight="1">
      <c r="A49" s="1458">
        <v>33</v>
      </c>
      <c r="B49" s="1479" t="s">
        <v>865</v>
      </c>
      <c r="C49" s="1459" t="s">
        <v>1024</v>
      </c>
      <c r="D49" s="1460">
        <v>0.1</v>
      </c>
      <c r="E49" s="1461">
        <v>100000</v>
      </c>
      <c r="F49" s="1461">
        <v>0</v>
      </c>
      <c r="G49" s="1461">
        <v>0</v>
      </c>
      <c r="H49" s="1461"/>
      <c r="I49" s="1650">
        <f>-VLOOKUP(R49,[6]KH0010009_20180228_CRB_Output_!$B$1:$D$183,3,FALSE)</f>
        <v>86599.43</v>
      </c>
      <c r="J49" s="1651">
        <v>42382</v>
      </c>
      <c r="K49" s="1651">
        <v>46035</v>
      </c>
      <c r="L49" s="1652"/>
      <c r="M49" s="1653">
        <f>-VLOOKUP(R49,[7]KH0010009_20170831_CRB_Output_!$D$156:$F$309,3,FALSE)</f>
        <v>475.26</v>
      </c>
      <c r="N49" s="1462"/>
      <c r="O49" s="1462"/>
      <c r="P49" s="1562" t="s">
        <v>872</v>
      </c>
      <c r="R49" s="1377" t="s">
        <v>887</v>
      </c>
    </row>
    <row r="50" spans="1:18" s="1377" customFormat="1" ht="29.25" customHeight="1">
      <c r="A50" s="1458">
        <v>34</v>
      </c>
      <c r="B50" s="1479" t="s">
        <v>870</v>
      </c>
      <c r="C50" s="1459" t="s">
        <v>1025</v>
      </c>
      <c r="D50" s="1460">
        <v>0.11</v>
      </c>
      <c r="E50" s="1461">
        <v>35000</v>
      </c>
      <c r="F50" s="1461">
        <v>0</v>
      </c>
      <c r="G50" s="1461">
        <v>0</v>
      </c>
      <c r="H50" s="1461"/>
      <c r="I50" s="1650">
        <f>-VLOOKUP(R50,[6]KH0010009_20180228_CRB_Output_!$B$1:$D$183,3,FALSE)</f>
        <v>10048.709999999999</v>
      </c>
      <c r="J50" s="1651">
        <v>42397</v>
      </c>
      <c r="K50" s="1651">
        <v>44224</v>
      </c>
      <c r="L50" s="1652"/>
      <c r="M50" s="1653">
        <f>-VLOOKUP(R50,[7]KH0010009_20170831_CRB_Output_!$D$156:$F$309,3,FALSE)</f>
        <v>17.12</v>
      </c>
      <c r="N50" s="1462"/>
      <c r="O50" s="1462"/>
      <c r="P50" s="1562" t="s">
        <v>871</v>
      </c>
      <c r="R50" s="1377" t="s">
        <v>888</v>
      </c>
    </row>
    <row r="51" spans="1:18" s="1377" customFormat="1" ht="29.25" customHeight="1">
      <c r="A51" s="1458">
        <v>35</v>
      </c>
      <c r="B51" s="1479" t="s">
        <v>873</v>
      </c>
      <c r="C51" s="1459" t="s">
        <v>1026</v>
      </c>
      <c r="D51" s="1460">
        <v>0.13200000000000001</v>
      </c>
      <c r="E51" s="1461">
        <v>10000</v>
      </c>
      <c r="F51" s="1461">
        <v>0</v>
      </c>
      <c r="G51" s="1461">
        <v>0</v>
      </c>
      <c r="H51" s="1461"/>
      <c r="I51" s="1650">
        <f>-VLOOKUP(R51,[6]KH0010009_20180228_CRB_Output_!$B$1:$D$183,3,FALSE)</f>
        <v>3168.82</v>
      </c>
      <c r="J51" s="1651">
        <v>42398</v>
      </c>
      <c r="K51" s="1651">
        <v>43494</v>
      </c>
      <c r="L51" s="1652"/>
      <c r="M51" s="1653">
        <f>-VLOOKUP(R51,[7]KH0010009_20170831_CRB_Output_!$D$156:$F$309,3,FALSE)</f>
        <v>5.48</v>
      </c>
      <c r="N51" s="1462"/>
      <c r="O51" s="1462"/>
      <c r="P51" s="1562" t="s">
        <v>874</v>
      </c>
      <c r="R51" s="1377" t="s">
        <v>889</v>
      </c>
    </row>
    <row r="52" spans="1:18" s="1377" customFormat="1" ht="29.25" customHeight="1">
      <c r="A52" s="1458">
        <v>36</v>
      </c>
      <c r="B52" s="1479" t="s">
        <v>900</v>
      </c>
      <c r="C52" s="1459" t="s">
        <v>1027</v>
      </c>
      <c r="D52" s="1460">
        <v>0.1</v>
      </c>
      <c r="E52" s="1461">
        <v>20000</v>
      </c>
      <c r="F52" s="1461">
        <v>0</v>
      </c>
      <c r="G52" s="1461">
        <v>0</v>
      </c>
      <c r="H52" s="1461"/>
      <c r="I52" s="1650">
        <f>-VLOOKUP(R52,[6]KH0010009_20180228_CRB_Output_!$B$1:$D$183,3,FALSE)</f>
        <v>15474.17</v>
      </c>
      <c r="J52" s="1651">
        <v>42415</v>
      </c>
      <c r="K52" s="1651">
        <v>44972</v>
      </c>
      <c r="L52" s="1652"/>
      <c r="M52" s="1653">
        <f>-VLOOKUP(R52,[7]KH0010009_20170831_CRB_Output_!$D$156:$F$309,3,FALSE)</f>
        <v>78.8</v>
      </c>
      <c r="N52" s="1462"/>
      <c r="O52" s="1462"/>
      <c r="P52" s="1562" t="s">
        <v>899</v>
      </c>
      <c r="R52" s="1377" t="s">
        <v>907</v>
      </c>
    </row>
    <row r="53" spans="1:18" s="1377" customFormat="1" ht="29.25" customHeight="1">
      <c r="A53" s="1458">
        <v>37</v>
      </c>
      <c r="B53" s="1479" t="s">
        <v>908</v>
      </c>
      <c r="C53" s="1459" t="s">
        <v>1028</v>
      </c>
      <c r="D53" s="1460">
        <v>0.1</v>
      </c>
      <c r="E53" s="1461">
        <v>50000</v>
      </c>
      <c r="F53" s="1461">
        <v>0</v>
      </c>
      <c r="G53" s="1461">
        <v>0</v>
      </c>
      <c r="H53" s="1461"/>
      <c r="I53" s="1650">
        <f>-VLOOKUP(R53,[6]KH0010009_20180228_CRB_Output_!$B$1:$D$183,3,FALSE)</f>
        <v>41250.85</v>
      </c>
      <c r="J53" s="1651">
        <v>42432</v>
      </c>
      <c r="K53" s="1651">
        <v>45354</v>
      </c>
      <c r="L53" s="1652"/>
      <c r="M53" s="1653">
        <f>-VLOOKUP(R53,[7]KH0010009_20170831_CRB_Output_!$D$156:$F$309,3,FALSE)</f>
        <v>351.94</v>
      </c>
      <c r="N53" s="1462"/>
      <c r="O53" s="1462"/>
      <c r="P53" s="1562" t="s">
        <v>909</v>
      </c>
      <c r="R53" s="1377" t="s">
        <v>958</v>
      </c>
    </row>
    <row r="54" spans="1:18" s="1377" customFormat="1" ht="29.25" customHeight="1">
      <c r="A54" s="1458">
        <v>39</v>
      </c>
      <c r="B54" s="1479" t="s">
        <v>910</v>
      </c>
      <c r="C54" s="1459" t="s">
        <v>1029</v>
      </c>
      <c r="D54" s="1460">
        <v>0.11</v>
      </c>
      <c r="E54" s="1461">
        <v>20000</v>
      </c>
      <c r="F54" s="1461">
        <v>0</v>
      </c>
      <c r="G54" s="1461">
        <v>0</v>
      </c>
      <c r="H54" s="1461"/>
      <c r="I54" s="1650">
        <f>-VLOOKUP(R54,[6]KH0010009_20180228_CRB_Output_!$B$1:$D$183,3,FALSE)</f>
        <v>13581.52</v>
      </c>
      <c r="J54" s="1651">
        <v>42436</v>
      </c>
      <c r="K54" s="1651">
        <v>44262</v>
      </c>
      <c r="L54" s="1652"/>
      <c r="M54" s="1653">
        <f>-VLOOKUP(R54,[7]KH0010009_20170831_CRB_Output_!$D$156:$F$309,3,FALSE)</f>
        <v>117.54</v>
      </c>
      <c r="N54" s="1462"/>
      <c r="O54" s="1462"/>
      <c r="P54" s="1562" t="s">
        <v>911</v>
      </c>
      <c r="R54" s="1377" t="s">
        <v>910</v>
      </c>
    </row>
    <row r="55" spans="1:18" s="1377" customFormat="1" ht="29.25" customHeight="1">
      <c r="A55" s="1458">
        <v>40</v>
      </c>
      <c r="B55" s="1479" t="s">
        <v>921</v>
      </c>
      <c r="C55" s="1459" t="s">
        <v>1030</v>
      </c>
      <c r="D55" s="1460">
        <v>0.11</v>
      </c>
      <c r="E55" s="1461">
        <v>27000</v>
      </c>
      <c r="F55" s="1461">
        <v>0</v>
      </c>
      <c r="G55" s="1461">
        <v>0</v>
      </c>
      <c r="H55" s="1461"/>
      <c r="I55" s="1650">
        <f>-VLOOKUP(R55,[6]KH0010009_20180228_CRB_Output_!$B$1:$D$183,3,FALSE)</f>
        <v>21551</v>
      </c>
      <c r="J55" s="1651">
        <v>42439</v>
      </c>
      <c r="K55" s="1651">
        <v>44995</v>
      </c>
      <c r="L55" s="1652"/>
      <c r="M55" s="1653">
        <f>-VLOOKUP(R55,[7]KH0010009_20170831_CRB_Output_!$D$156:$F$309,3,FALSE)</f>
        <v>155.13999999999999</v>
      </c>
      <c r="N55" s="1462"/>
      <c r="O55" s="1462"/>
      <c r="P55" s="1562" t="s">
        <v>920</v>
      </c>
      <c r="R55" s="1377" t="s">
        <v>959</v>
      </c>
    </row>
    <row r="56" spans="1:18" s="1377" customFormat="1" ht="29.25" customHeight="1">
      <c r="A56" s="1458">
        <v>41</v>
      </c>
      <c r="B56" s="1479" t="s">
        <v>929</v>
      </c>
      <c r="C56" s="1459" t="s">
        <v>1031</v>
      </c>
      <c r="D56" s="1460">
        <v>0.11</v>
      </c>
      <c r="E56" s="1461">
        <v>40000</v>
      </c>
      <c r="F56" s="1461">
        <v>0</v>
      </c>
      <c r="G56" s="1461">
        <v>0</v>
      </c>
      <c r="H56" s="1461"/>
      <c r="I56" s="1650">
        <f>-VLOOKUP(R56,[6]KH0010009_20180228_CRB_Output_!$B$1:$D$183,3,FALSE)</f>
        <v>6506.06</v>
      </c>
      <c r="J56" s="1651">
        <v>42451</v>
      </c>
      <c r="K56" s="1651">
        <v>45007</v>
      </c>
      <c r="L56" s="1652"/>
      <c r="M56" s="1653">
        <f>-VLOOKUP(R56,[7]KH0010009_20170831_CRB_Output_!$D$156:$F$309,3,FALSE)</f>
        <v>104.44</v>
      </c>
      <c r="N56" s="1462"/>
      <c r="O56" s="1462"/>
      <c r="P56" s="1562" t="s">
        <v>930</v>
      </c>
      <c r="R56" s="1377" t="s">
        <v>960</v>
      </c>
    </row>
    <row r="57" spans="1:18" s="1377" customFormat="1" ht="29.25" customHeight="1">
      <c r="A57" s="1458">
        <v>42</v>
      </c>
      <c r="B57" s="1479" t="s">
        <v>936</v>
      </c>
      <c r="C57" s="1459" t="s">
        <v>1032</v>
      </c>
      <c r="D57" s="1460">
        <v>2.75E-2</v>
      </c>
      <c r="E57" s="1461">
        <v>50000</v>
      </c>
      <c r="F57" s="1461">
        <v>0</v>
      </c>
      <c r="G57" s="1461">
        <v>0</v>
      </c>
      <c r="H57" s="1461"/>
      <c r="I57" s="1650">
        <f>-VLOOKUP(R57,[6]KH0010009_20180228_CRB_Output_!$B$1:$D$183,3,FALSE)</f>
        <v>43624.14</v>
      </c>
      <c r="J57" s="1651">
        <v>42454</v>
      </c>
      <c r="K57" s="1651">
        <v>47932</v>
      </c>
      <c r="L57" s="1652"/>
      <c r="M57" s="1653">
        <f>-VLOOKUP(R57,[7]KH0010009_20170831_CRB_Output_!$D$156:$F$309,3,FALSE)</f>
        <v>24.23</v>
      </c>
      <c r="N57" s="1462"/>
      <c r="O57" s="1462"/>
      <c r="P57" s="1562" t="s">
        <v>937</v>
      </c>
      <c r="R57" s="1377" t="s">
        <v>936</v>
      </c>
    </row>
    <row r="58" spans="1:18" s="1377" customFormat="1" ht="29.25" customHeight="1">
      <c r="A58" s="1458">
        <v>43</v>
      </c>
      <c r="B58" s="1479" t="s">
        <v>943</v>
      </c>
      <c r="C58" s="1459" t="s">
        <v>1033</v>
      </c>
      <c r="D58" s="1460">
        <v>0.12</v>
      </c>
      <c r="E58" s="1461">
        <v>10000</v>
      </c>
      <c r="F58" s="1461">
        <v>0</v>
      </c>
      <c r="G58" s="1461">
        <v>0</v>
      </c>
      <c r="H58" s="1461"/>
      <c r="I58" s="1650">
        <f>-VLOOKUP(R58,[6]KH0010009_20180228_CRB_Output_!$B$1:$D$183,3,FALSE)</f>
        <v>3986.06</v>
      </c>
      <c r="J58" s="1651">
        <v>42459</v>
      </c>
      <c r="K58" s="1651">
        <v>43554</v>
      </c>
      <c r="L58" s="1652"/>
      <c r="M58" s="1653">
        <f>-VLOOKUP(R58,[7]KH0010009_20170831_CRB_Output_!$D$156:$F$309,3,FALSE)</f>
        <v>3.8</v>
      </c>
      <c r="N58" s="1462"/>
      <c r="O58" s="1462"/>
      <c r="P58" s="1562" t="s">
        <v>944</v>
      </c>
      <c r="R58" s="1377" t="s">
        <v>943</v>
      </c>
    </row>
    <row r="59" spans="1:18" s="1377" customFormat="1" ht="29.25" customHeight="1">
      <c r="A59" s="1458">
        <v>44</v>
      </c>
      <c r="B59" s="1479" t="s">
        <v>952</v>
      </c>
      <c r="C59" s="1459" t="s">
        <v>1034</v>
      </c>
      <c r="D59" s="1460">
        <v>0.1</v>
      </c>
      <c r="E59" s="1461">
        <v>8000</v>
      </c>
      <c r="F59" s="1461">
        <v>0</v>
      </c>
      <c r="G59" s="1461">
        <v>0</v>
      </c>
      <c r="H59" s="1461"/>
      <c r="I59" s="1650">
        <f>-VLOOKUP(R59,[6]KH0010009_20180228_CRB_Output_!$B$1:$D$183,3,FALSE)</f>
        <v>108.02</v>
      </c>
      <c r="J59" s="1651">
        <v>42459</v>
      </c>
      <c r="K59" s="1651">
        <v>43189</v>
      </c>
      <c r="L59" s="1652"/>
      <c r="M59" s="1653">
        <f>-VLOOKUP(R59,[7]KH0010009_20170831_CRB_Output_!$D$156:$F$309,3,FALSE)</f>
        <v>1.29</v>
      </c>
      <c r="N59" s="1462"/>
      <c r="O59" s="1462"/>
      <c r="P59" s="1562" t="s">
        <v>950</v>
      </c>
      <c r="R59" s="1377" t="s">
        <v>962</v>
      </c>
    </row>
    <row r="60" spans="1:18" s="1377" customFormat="1" ht="29.25" customHeight="1">
      <c r="A60" s="1458">
        <v>45</v>
      </c>
      <c r="B60" s="1479" t="s">
        <v>951</v>
      </c>
      <c r="C60" s="1459" t="s">
        <v>1035</v>
      </c>
      <c r="D60" s="1460">
        <v>0.105</v>
      </c>
      <c r="E60" s="1461">
        <v>50000</v>
      </c>
      <c r="F60" s="1461">
        <v>0</v>
      </c>
      <c r="G60" s="1461">
        <v>0</v>
      </c>
      <c r="H60" s="1461"/>
      <c r="I60" s="1650">
        <f>-VLOOKUP(R60,[6]KH0010009_20180228_CRB_Output_!$B$1:$D$183,3,FALSE)</f>
        <v>33421.97</v>
      </c>
      <c r="J60" s="1651">
        <v>42459</v>
      </c>
      <c r="K60" s="1651">
        <v>44285</v>
      </c>
      <c r="L60" s="1652"/>
      <c r="M60" s="1653">
        <f>-VLOOKUP(R60,[7]KH0010009_20170831_CRB_Output_!$D$156:$F$309,3,FALSE)</f>
        <v>22.16</v>
      </c>
      <c r="N60" s="1462"/>
      <c r="O60" s="1462"/>
      <c r="P60" s="1562" t="s">
        <v>928</v>
      </c>
      <c r="R60" s="1377" t="s">
        <v>961</v>
      </c>
    </row>
    <row r="61" spans="1:18" s="1377" customFormat="1" ht="29.25" customHeight="1">
      <c r="A61" s="1458">
        <v>46</v>
      </c>
      <c r="B61" s="1479" t="s">
        <v>964</v>
      </c>
      <c r="C61" s="1459" t="s">
        <v>1036</v>
      </c>
      <c r="D61" s="1460">
        <v>0.1</v>
      </c>
      <c r="E61" s="1461">
        <v>20000</v>
      </c>
      <c r="F61" s="1461">
        <v>0</v>
      </c>
      <c r="G61" s="1461">
        <v>0</v>
      </c>
      <c r="H61" s="1461"/>
      <c r="I61" s="1650">
        <f>-VLOOKUP(R61,[6]KH0010009_20180228_CRB_Output_!$B$1:$D$183,3,FALSE)</f>
        <v>13726.66</v>
      </c>
      <c r="J61" s="1651">
        <v>42465</v>
      </c>
      <c r="K61" s="1651">
        <v>44291</v>
      </c>
      <c r="L61" s="1652"/>
      <c r="M61" s="1653">
        <f>-VLOOKUP(R61,[7]KH0010009_20170831_CRB_Output_!$D$156:$F$309,3,FALSE)</f>
        <v>116.63</v>
      </c>
      <c r="N61" s="1462"/>
      <c r="O61" s="1462"/>
      <c r="P61" s="1562" t="s">
        <v>965</v>
      </c>
      <c r="R61" s="1377" t="s">
        <v>964</v>
      </c>
    </row>
    <row r="62" spans="1:18" s="1377" customFormat="1" ht="29.25" customHeight="1">
      <c r="A62" s="1458">
        <v>48</v>
      </c>
      <c r="B62" s="1479" t="s">
        <v>970</v>
      </c>
      <c r="C62" s="1459" t="s">
        <v>1037</v>
      </c>
      <c r="D62" s="1460">
        <v>0.12</v>
      </c>
      <c r="E62" s="1461">
        <v>40000</v>
      </c>
      <c r="F62" s="1461">
        <v>0</v>
      </c>
      <c r="G62" s="1461">
        <v>0</v>
      </c>
      <c r="H62" s="1461"/>
      <c r="I62" s="1650">
        <f>-VLOOKUP(R62,[6]KH0010009_20180228_CRB_Output_!$B$1:$D$183,3,FALSE)</f>
        <v>33787.129999999997</v>
      </c>
      <c r="J62" s="1651">
        <v>42480</v>
      </c>
      <c r="K62" s="1651">
        <v>45402</v>
      </c>
      <c r="L62" s="1652"/>
      <c r="M62" s="1653">
        <f>-VLOOKUP(R62,[7]KH0010009_20170831_CRB_Output_!$D$156:$F$309,3,FALSE)</f>
        <v>142.44</v>
      </c>
      <c r="N62" s="1462"/>
      <c r="O62" s="1462"/>
      <c r="P62" s="1562" t="s">
        <v>971</v>
      </c>
      <c r="R62" s="1377" t="s">
        <v>970</v>
      </c>
    </row>
    <row r="63" spans="1:18" s="1377" customFormat="1" ht="29.25" customHeight="1">
      <c r="A63" s="1458">
        <v>49</v>
      </c>
      <c r="B63" s="1479" t="s">
        <v>975</v>
      </c>
      <c r="C63" s="1459" t="s">
        <v>1038</v>
      </c>
      <c r="D63" s="1460">
        <v>0.1</v>
      </c>
      <c r="E63" s="1461">
        <v>100000</v>
      </c>
      <c r="F63" s="1461">
        <v>0</v>
      </c>
      <c r="G63" s="1461">
        <v>0</v>
      </c>
      <c r="H63" s="1461"/>
      <c r="I63" s="1650">
        <f>-VLOOKUP(R63,[6]KH0010009_20180228_CRB_Output_!$B$1:$D$183,3,FALSE)</f>
        <v>69066.649999999994</v>
      </c>
      <c r="J63" s="1651">
        <v>42487</v>
      </c>
      <c r="K63" s="1651">
        <v>44313</v>
      </c>
      <c r="L63" s="1652"/>
      <c r="M63" s="1653">
        <f>-VLOOKUP(R63,[7]KH0010009_20170831_CRB_Output_!$D$156:$F$309,3,FALSE)</f>
        <v>108.42</v>
      </c>
      <c r="N63" s="1462"/>
      <c r="O63" s="1462"/>
      <c r="P63" s="1562" t="s">
        <v>976</v>
      </c>
      <c r="R63" s="1377" t="s">
        <v>982</v>
      </c>
    </row>
    <row r="64" spans="1:18" s="1377" customFormat="1" ht="29.25" customHeight="1">
      <c r="A64" s="1458">
        <v>51</v>
      </c>
      <c r="B64" s="1479" t="s">
        <v>1054</v>
      </c>
      <c r="C64" s="1459" t="s">
        <v>1040</v>
      </c>
      <c r="D64" s="1460">
        <v>0.12</v>
      </c>
      <c r="E64" s="1461">
        <v>25000</v>
      </c>
      <c r="F64" s="1461">
        <v>0</v>
      </c>
      <c r="G64" s="1461">
        <v>0</v>
      </c>
      <c r="H64" s="1461"/>
      <c r="I64" s="1650">
        <f>-VLOOKUP(R64,[6]KH0010009_20180228_CRB_Output_!$B$1:$D$183,3,FALSE)</f>
        <v>20679.509999999998</v>
      </c>
      <c r="J64" s="1651">
        <v>42523</v>
      </c>
      <c r="K64" s="1651">
        <v>45079</v>
      </c>
      <c r="L64" s="1652"/>
      <c r="M64" s="1653">
        <f>-VLOOKUP(R64,[7]KH0010009_20170831_CRB_Output_!$D$156:$F$309,3,FALSE)</f>
        <v>220.61</v>
      </c>
      <c r="N64" s="1462"/>
      <c r="O64" s="1462"/>
      <c r="P64" s="1562" t="s">
        <v>984</v>
      </c>
      <c r="R64" s="1479" t="s">
        <v>1054</v>
      </c>
    </row>
    <row r="65" spans="1:18" s="1377" customFormat="1" ht="29.25" customHeight="1">
      <c r="A65" s="1458">
        <v>52</v>
      </c>
      <c r="B65" s="1479" t="s">
        <v>1055</v>
      </c>
      <c r="C65" s="1459" t="s">
        <v>1046</v>
      </c>
      <c r="D65" s="1460">
        <v>0.09</v>
      </c>
      <c r="E65" s="1461">
        <v>250000</v>
      </c>
      <c r="F65" s="1461">
        <v>0</v>
      </c>
      <c r="G65" s="1461">
        <v>0</v>
      </c>
      <c r="H65" s="1461"/>
      <c r="I65" s="1650">
        <f>-VLOOKUP(R65,[6]KH0010009_20180228_CRB_Output_!$B$1:$D$183,3,FALSE)</f>
        <v>178986.3</v>
      </c>
      <c r="J65" s="1651">
        <v>42536</v>
      </c>
      <c r="K65" s="1651">
        <v>44362</v>
      </c>
      <c r="L65" s="1652"/>
      <c r="M65" s="1653">
        <f>-VLOOKUP(R65,[7]KH0010009_20170831_CRB_Output_!$D$156:$F$309,3,FALSE)</f>
        <v>855.89</v>
      </c>
      <c r="N65" s="1462"/>
      <c r="O65" s="1462"/>
      <c r="P65" s="1562" t="s">
        <v>1047</v>
      </c>
      <c r="R65" s="1495" t="s">
        <v>1390</v>
      </c>
    </row>
    <row r="66" spans="1:18" s="1377" customFormat="1" ht="29.25" customHeight="1">
      <c r="A66" s="1458">
        <v>53</v>
      </c>
      <c r="B66" s="1479" t="s">
        <v>1056</v>
      </c>
      <c r="C66" s="1459" t="s">
        <v>1052</v>
      </c>
      <c r="D66" s="1460">
        <v>2.75E-2</v>
      </c>
      <c r="E66" s="1461">
        <v>30000</v>
      </c>
      <c r="F66" s="1461">
        <v>0</v>
      </c>
      <c r="G66" s="1461">
        <v>0</v>
      </c>
      <c r="H66" s="1461"/>
      <c r="I66" s="1650">
        <f>-VLOOKUP(R66,[6]KH0010009_20180228_CRB_Output_!$B$1:$D$183,3,FALSE)</f>
        <v>25147.4</v>
      </c>
      <c r="J66" s="1651">
        <v>42534</v>
      </c>
      <c r="K66" s="1651">
        <v>46198</v>
      </c>
      <c r="L66" s="1652"/>
      <c r="M66" s="1653">
        <f>-VLOOKUP(R66,[7]KH0010009_20170831_CRB_Output_!$D$156:$F$309,3,FALSE)</f>
        <v>14.23</v>
      </c>
      <c r="N66" s="1462"/>
      <c r="O66" s="1462"/>
      <c r="P66" s="1562" t="s">
        <v>1053</v>
      </c>
      <c r="R66" s="1512" t="s">
        <v>1056</v>
      </c>
    </row>
    <row r="67" spans="1:18" s="1377" customFormat="1" ht="29.25" customHeight="1">
      <c r="A67" s="1458">
        <v>54</v>
      </c>
      <c r="B67" s="1479" t="s">
        <v>1069</v>
      </c>
      <c r="C67" s="1459" t="s">
        <v>1071</v>
      </c>
      <c r="D67" s="1460">
        <v>0.11</v>
      </c>
      <c r="E67" s="1461">
        <v>31000</v>
      </c>
      <c r="F67" s="1461">
        <v>0</v>
      </c>
      <c r="G67" s="1461">
        <v>0</v>
      </c>
      <c r="H67" s="1461"/>
      <c r="I67" s="1650">
        <f>-VLOOKUP(R67,[6]KH0010009_20180228_CRB_Output_!$B$1:$D$183,3,FALSE)</f>
        <v>27982.98</v>
      </c>
      <c r="J67" s="1651">
        <v>42571</v>
      </c>
      <c r="K67" s="1651">
        <v>46223</v>
      </c>
      <c r="L67" s="1652"/>
      <c r="M67" s="1653">
        <f>-VLOOKUP(R67,[7]KH0010009_20170831_CRB_Output_!$D$156:$F$309,3,FALSE)</f>
        <v>106.28</v>
      </c>
      <c r="N67" s="1462"/>
      <c r="O67" s="1462"/>
      <c r="P67" s="1562" t="s">
        <v>1074</v>
      </c>
      <c r="R67" s="1514" t="s">
        <v>1069</v>
      </c>
    </row>
    <row r="68" spans="1:18" s="1377" customFormat="1" ht="29.25" customHeight="1">
      <c r="A68" s="1458">
        <v>55</v>
      </c>
      <c r="B68" s="1479" t="s">
        <v>1070</v>
      </c>
      <c r="C68" s="1459" t="s">
        <v>1072</v>
      </c>
      <c r="D68" s="1460">
        <v>0.105</v>
      </c>
      <c r="E68" s="1461">
        <v>40000</v>
      </c>
      <c r="F68" s="1461">
        <v>0</v>
      </c>
      <c r="G68" s="1461">
        <v>0</v>
      </c>
      <c r="H68" s="1461"/>
      <c r="I68" s="1650">
        <f>-VLOOKUP(R68,[6]KH0010009_20180228_CRB_Output_!$B$1:$D$183,3,FALSE)</f>
        <v>34460.22</v>
      </c>
      <c r="J68" s="1651">
        <v>42573</v>
      </c>
      <c r="K68" s="1651">
        <v>45495</v>
      </c>
      <c r="L68" s="1652"/>
      <c r="M68" s="1653">
        <f>-VLOOKUP(R68,[7]KH0010009_20170831_CRB_Output_!$D$156:$F$309,3,FALSE)</f>
        <v>105.88</v>
      </c>
      <c r="N68" s="1462"/>
      <c r="O68" s="1462"/>
      <c r="P68" s="1562" t="s">
        <v>1073</v>
      </c>
      <c r="R68" s="1514" t="s">
        <v>1070</v>
      </c>
    </row>
    <row r="69" spans="1:18" s="1377" customFormat="1" ht="29.25" customHeight="1">
      <c r="A69" s="1458">
        <v>56</v>
      </c>
      <c r="B69" s="1479" t="s">
        <v>1082</v>
      </c>
      <c r="C69" s="1459" t="s">
        <v>1081</v>
      </c>
      <c r="D69" s="1460">
        <v>0.12</v>
      </c>
      <c r="E69" s="1461">
        <v>30000</v>
      </c>
      <c r="F69" s="1461">
        <v>0</v>
      </c>
      <c r="G69" s="1461">
        <v>0</v>
      </c>
      <c r="H69" s="1461"/>
      <c r="I69" s="1650">
        <f>-VLOOKUP(R69,[6]KH0010009_20180228_CRB_Output_!$B$1:$D$183,3,FALSE)</f>
        <v>26313.8</v>
      </c>
      <c r="J69" s="1651">
        <v>42583</v>
      </c>
      <c r="K69" s="1651">
        <v>45509</v>
      </c>
      <c r="L69" s="1652"/>
      <c r="M69" s="1653">
        <f>-VLOOKUP(R69,[7]KH0010009_20170831_CRB_Output_!$D$156:$F$309,3,FALSE)</f>
        <v>248.61</v>
      </c>
      <c r="N69" s="1462"/>
      <c r="O69" s="1462"/>
      <c r="P69" s="1562" t="s">
        <v>1083</v>
      </c>
      <c r="R69" s="1514" t="s">
        <v>1082</v>
      </c>
    </row>
    <row r="70" spans="1:18" s="1377" customFormat="1" ht="29.25" customHeight="1">
      <c r="A70" s="1458">
        <v>57</v>
      </c>
      <c r="B70" s="1479" t="s">
        <v>1090</v>
      </c>
      <c r="C70" s="1459" t="s">
        <v>1092</v>
      </c>
      <c r="D70" s="1460">
        <v>0.1</v>
      </c>
      <c r="E70" s="1461">
        <v>100000</v>
      </c>
      <c r="F70" s="1461">
        <v>0</v>
      </c>
      <c r="G70" s="1461">
        <v>0</v>
      </c>
      <c r="H70" s="1461"/>
      <c r="I70" s="1650">
        <f>-VLOOKUP(R70,[6]KH0010009_20180228_CRB_Output_!$B$1:$D$183,3,FALSE)</f>
        <v>84773.75</v>
      </c>
      <c r="J70" s="1651">
        <v>42587</v>
      </c>
      <c r="K70" s="1651">
        <v>46239</v>
      </c>
      <c r="L70" s="1652"/>
      <c r="M70" s="1653">
        <f>-VLOOKUP(R70,[7]KH0010009_20170831_CRB_Output_!$D$156:$F$309,3,FALSE)</f>
        <v>689.94</v>
      </c>
      <c r="N70" s="1462"/>
      <c r="O70" s="1462"/>
      <c r="P70" s="1562" t="s">
        <v>1091</v>
      </c>
      <c r="R70" s="1514" t="s">
        <v>1097</v>
      </c>
    </row>
    <row r="71" spans="1:18" s="1377" customFormat="1" ht="29.25" customHeight="1">
      <c r="A71" s="1458">
        <v>58</v>
      </c>
      <c r="B71" s="1479" t="s">
        <v>1098</v>
      </c>
      <c r="C71" s="1459" t="s">
        <v>1099</v>
      </c>
      <c r="D71" s="1460">
        <v>4.2500000000000003E-2</v>
      </c>
      <c r="E71" s="1461">
        <v>25000</v>
      </c>
      <c r="F71" s="1461">
        <v>0</v>
      </c>
      <c r="G71" s="1461">
        <v>0</v>
      </c>
      <c r="H71" s="1461"/>
      <c r="I71" s="1650">
        <f>-VLOOKUP(R71,[6]KH0010009_20180228_CRB_Output_!$B$1:$D$183,3,FALSE)</f>
        <v>22453.67</v>
      </c>
      <c r="J71" s="1651">
        <v>42607</v>
      </c>
      <c r="K71" s="1651">
        <v>46624</v>
      </c>
      <c r="L71" s="1652"/>
      <c r="M71" s="1653">
        <f>-VLOOKUP(R71,[7]KH0010009_20170831_CRB_Output_!$D$156:$F$309,3,FALSE)</f>
        <v>38.32</v>
      </c>
      <c r="N71" s="1462"/>
      <c r="O71" s="1462"/>
      <c r="P71" s="1562" t="s">
        <v>1100</v>
      </c>
      <c r="R71" s="1514" t="s">
        <v>1098</v>
      </c>
    </row>
    <row r="72" spans="1:18" s="1377" customFormat="1" ht="29.25" customHeight="1">
      <c r="A72" s="1458">
        <v>59</v>
      </c>
      <c r="B72" s="1479" t="s">
        <v>1105</v>
      </c>
      <c r="C72" s="1459" t="s">
        <v>1106</v>
      </c>
      <c r="D72" s="1460">
        <v>9.5000000000000001E-2</v>
      </c>
      <c r="E72" s="1461">
        <v>150000</v>
      </c>
      <c r="F72" s="1461">
        <v>0</v>
      </c>
      <c r="G72" s="1461">
        <v>0</v>
      </c>
      <c r="H72" s="1461"/>
      <c r="I72" s="1650">
        <f>-VLOOKUP(R72,[6]KH0010009_20180228_CRB_Output_!$B$1:$D$183,3,FALSE)</f>
        <v>111924.17</v>
      </c>
      <c r="J72" s="1651">
        <v>42592</v>
      </c>
      <c r="K72" s="1651">
        <v>44426</v>
      </c>
      <c r="L72" s="1652"/>
      <c r="M72" s="1653">
        <f>-VLOOKUP(R72,[7]KH0010009_20170831_CRB_Output_!$D$156:$F$309,3,FALSE)</f>
        <v>462.95</v>
      </c>
      <c r="N72" s="1462"/>
      <c r="O72" s="1462"/>
      <c r="P72" s="1562" t="s">
        <v>1107</v>
      </c>
      <c r="R72" s="1514" t="s">
        <v>1105</v>
      </c>
    </row>
    <row r="73" spans="1:18" s="1377" customFormat="1" ht="29.25" customHeight="1">
      <c r="A73" s="1458">
        <v>60</v>
      </c>
      <c r="B73" s="1479" t="s">
        <v>1113</v>
      </c>
      <c r="C73" s="1459" t="s">
        <v>1114</v>
      </c>
      <c r="D73" s="1460">
        <v>0.1</v>
      </c>
      <c r="E73" s="1461">
        <v>37000</v>
      </c>
      <c r="F73" s="1461">
        <v>0</v>
      </c>
      <c r="G73" s="1461">
        <v>0</v>
      </c>
      <c r="H73" s="1461"/>
      <c r="I73" s="1650">
        <f>-VLOOKUP(R73,[6]KH0010009_20180228_CRB_Output_!$B$1:$D$183,3,FALSE)</f>
        <v>31346.14</v>
      </c>
      <c r="J73" s="1651">
        <v>42626</v>
      </c>
      <c r="K73" s="1651">
        <v>45182</v>
      </c>
      <c r="L73" s="1652"/>
      <c r="M73" s="1653">
        <f>-VLOOKUP(R73,[7]KH0010009_20170831_CRB_Output_!$D$156:$F$309,3,FALSE)</f>
        <v>176.29</v>
      </c>
      <c r="N73" s="1462"/>
      <c r="O73" s="1462"/>
      <c r="P73" s="1562" t="s">
        <v>1115</v>
      </c>
      <c r="R73" s="1514" t="s">
        <v>1113</v>
      </c>
    </row>
    <row r="74" spans="1:18" s="1377" customFormat="1" ht="29.25" customHeight="1">
      <c r="A74" s="1458">
        <v>62</v>
      </c>
      <c r="B74" s="1479" t="s">
        <v>1121</v>
      </c>
      <c r="C74" s="1459" t="s">
        <v>1122</v>
      </c>
      <c r="D74" s="1460">
        <v>0.11</v>
      </c>
      <c r="E74" s="1461">
        <v>32000</v>
      </c>
      <c r="F74" s="1461">
        <v>0</v>
      </c>
      <c r="G74" s="1461">
        <v>0</v>
      </c>
      <c r="H74" s="1461"/>
      <c r="I74" s="1650">
        <f>-VLOOKUP(R74,[6]KH0010009_20180228_CRB_Output_!$B$1:$D$183,3,FALSE)</f>
        <v>26249.18</v>
      </c>
      <c r="J74" s="1651">
        <v>42620</v>
      </c>
      <c r="K74" s="1651">
        <v>44811</v>
      </c>
      <c r="L74" s="1652"/>
      <c r="M74" s="1653">
        <f>-VLOOKUP(R74,[7]KH0010009_20170831_CRB_Output_!$D$156:$F$309,3,FALSE)</f>
        <v>216.74</v>
      </c>
      <c r="N74" s="1462"/>
      <c r="O74" s="1462"/>
      <c r="P74" s="1562" t="s">
        <v>1123</v>
      </c>
      <c r="R74" s="1514" t="s">
        <v>1238</v>
      </c>
    </row>
    <row r="75" spans="1:18" s="1377" customFormat="1" ht="29.25" customHeight="1">
      <c r="A75" s="1458">
        <v>63</v>
      </c>
      <c r="B75" s="1479" t="s">
        <v>1129</v>
      </c>
      <c r="C75" s="1459" t="s">
        <v>1130</v>
      </c>
      <c r="D75" s="1460">
        <v>9.5000000000000001E-2</v>
      </c>
      <c r="E75" s="1461">
        <v>100000</v>
      </c>
      <c r="F75" s="1461">
        <v>0</v>
      </c>
      <c r="G75" s="1461">
        <v>0</v>
      </c>
      <c r="H75" s="1461"/>
      <c r="I75" s="1650">
        <f>-VLOOKUP(R75,[6]KH0010009_20180228_CRB_Output_!$B$1:$D$183,3,FALSE)</f>
        <v>90976.41</v>
      </c>
      <c r="J75" s="1651">
        <v>42620</v>
      </c>
      <c r="K75" s="1651">
        <v>46272</v>
      </c>
      <c r="L75" s="1652"/>
      <c r="M75" s="1653">
        <f>-VLOOKUP(R75,[7]KH0010009_20170831_CRB_Output_!$D$156:$F$309,3,FALSE)</f>
        <v>621.94000000000005</v>
      </c>
      <c r="N75" s="1462"/>
      <c r="O75" s="1462"/>
      <c r="P75" s="1562" t="s">
        <v>1131</v>
      </c>
      <c r="R75" s="1514" t="s">
        <v>1239</v>
      </c>
    </row>
    <row r="76" spans="1:18" s="1377" customFormat="1" ht="29.25" customHeight="1">
      <c r="A76" s="1458">
        <v>64</v>
      </c>
      <c r="B76" s="1479" t="s">
        <v>1135</v>
      </c>
      <c r="C76" s="1459" t="s">
        <v>1136</v>
      </c>
      <c r="D76" s="1460">
        <v>9.5000000000000001E-2</v>
      </c>
      <c r="E76" s="1461">
        <v>50000</v>
      </c>
      <c r="F76" s="1461">
        <v>0</v>
      </c>
      <c r="G76" s="1461">
        <v>0</v>
      </c>
      <c r="H76" s="1461"/>
      <c r="I76" s="1650">
        <f>-VLOOKUP(R76,[6]KH0010009_20180228_CRB_Output_!$B$1:$D$183,3,FALSE)</f>
        <v>45488.2</v>
      </c>
      <c r="J76" s="1651">
        <v>42625</v>
      </c>
      <c r="K76" s="1651">
        <v>46277</v>
      </c>
      <c r="L76" s="1652"/>
      <c r="M76" s="1653">
        <f>-VLOOKUP(R76,[7]KH0010009_20170831_CRB_Output_!$D$156:$F$309,3,FALSE)</f>
        <v>248.78</v>
      </c>
      <c r="N76" s="1462"/>
      <c r="O76" s="1462"/>
      <c r="P76" s="1562" t="s">
        <v>1137</v>
      </c>
      <c r="R76" s="1514" t="s">
        <v>1135</v>
      </c>
    </row>
    <row r="77" spans="1:18" s="1377" customFormat="1" ht="29.25" customHeight="1">
      <c r="A77" s="1458">
        <v>65</v>
      </c>
      <c r="B77" s="1479" t="s">
        <v>1140</v>
      </c>
      <c r="C77" s="1459" t="s">
        <v>1141</v>
      </c>
      <c r="D77" s="1460">
        <v>0.105</v>
      </c>
      <c r="E77" s="1461">
        <v>32000</v>
      </c>
      <c r="F77" s="1461">
        <v>0</v>
      </c>
      <c r="G77" s="1461">
        <v>0</v>
      </c>
      <c r="H77" s="1461"/>
      <c r="I77" s="1650">
        <f>-VLOOKUP(R77,[6]KH0010009_20180228_CRB_Output_!$B$1:$D$183,3,FALSE)</f>
        <v>29257.75</v>
      </c>
      <c r="J77" s="1651">
        <v>42640</v>
      </c>
      <c r="K77" s="1651">
        <v>46292</v>
      </c>
      <c r="L77" s="1652"/>
      <c r="M77" s="1653">
        <f>-VLOOKUP(R77,[7]KH0010009_20170831_CRB_Output_!$D$156:$F$309,3,FALSE)</f>
        <v>44.13</v>
      </c>
      <c r="N77" s="1462"/>
      <c r="O77" s="1462"/>
      <c r="P77" s="1562" t="s">
        <v>1142</v>
      </c>
      <c r="R77" s="1514" t="s">
        <v>1240</v>
      </c>
    </row>
    <row r="78" spans="1:18" s="1377" customFormat="1" ht="29.25" customHeight="1">
      <c r="A78" s="1458">
        <v>67</v>
      </c>
      <c r="B78" s="1479" t="s">
        <v>1154</v>
      </c>
      <c r="C78" s="1459" t="s">
        <v>1155</v>
      </c>
      <c r="D78" s="1460">
        <v>2.75E-2</v>
      </c>
      <c r="E78" s="1461">
        <v>40000</v>
      </c>
      <c r="F78" s="1461">
        <v>0</v>
      </c>
      <c r="G78" s="1461">
        <v>0</v>
      </c>
      <c r="H78" s="1461"/>
      <c r="I78" s="1650">
        <f>-VLOOKUP(R78,[6]KH0010009_20180228_CRB_Output_!$B$1:$D$183,3,FALSE)</f>
        <v>37273.21</v>
      </c>
      <c r="J78" s="1651">
        <v>42638</v>
      </c>
      <c r="K78" s="1651">
        <v>48847</v>
      </c>
      <c r="L78" s="1652"/>
      <c r="M78" s="1653">
        <f>-VLOOKUP(R78,[7]KH0010009_20170831_CRB_Output_!$D$156:$F$309,3,FALSE)</f>
        <v>20.43</v>
      </c>
      <c r="N78" s="1462"/>
      <c r="O78" s="1462"/>
      <c r="P78" s="1562" t="s">
        <v>1100</v>
      </c>
      <c r="R78" s="1514" t="s">
        <v>1154</v>
      </c>
    </row>
    <row r="79" spans="1:18" s="1377" customFormat="1" ht="29.25" customHeight="1">
      <c r="A79" s="1458">
        <v>68</v>
      </c>
      <c r="B79" s="1479" t="s">
        <v>1156</v>
      </c>
      <c r="C79" s="1459" t="s">
        <v>1157</v>
      </c>
      <c r="D79" s="1460">
        <v>0.1</v>
      </c>
      <c r="E79" s="1461">
        <v>40000</v>
      </c>
      <c r="F79" s="1461">
        <v>0</v>
      </c>
      <c r="G79" s="1461">
        <v>0</v>
      </c>
      <c r="H79" s="1461"/>
      <c r="I79" s="1650">
        <f>-VLOOKUP(R79,[6]KH0010009_20180228_CRB_Output_!$B$1:$D$183,3,FALSE)</f>
        <v>30641.1</v>
      </c>
      <c r="J79" s="1651">
        <v>42625</v>
      </c>
      <c r="K79" s="1651">
        <v>44451</v>
      </c>
      <c r="L79" s="1652"/>
      <c r="M79" s="1653">
        <f>-VLOOKUP(R79,[7]KH0010009_20170831_CRB_Output_!$D$156:$F$309,3,FALSE)</f>
        <v>189.37</v>
      </c>
      <c r="N79" s="1462"/>
      <c r="O79" s="1462"/>
      <c r="P79" s="1562" t="s">
        <v>1158</v>
      </c>
      <c r="R79" s="1514" t="s">
        <v>1156</v>
      </c>
    </row>
    <row r="80" spans="1:18" s="1377" customFormat="1" ht="24">
      <c r="A80" s="1458">
        <v>69</v>
      </c>
      <c r="B80" s="1479" t="s">
        <v>1164</v>
      </c>
      <c r="C80" s="1459" t="s">
        <v>1174</v>
      </c>
      <c r="D80" s="1460">
        <v>0.12</v>
      </c>
      <c r="E80" s="1461">
        <v>40000</v>
      </c>
      <c r="F80" s="1461">
        <v>0</v>
      </c>
      <c r="G80" s="1461">
        <v>0</v>
      </c>
      <c r="H80" s="1461"/>
      <c r="I80" s="1650">
        <f>-VLOOKUP(R80,[6]KH0010009_20180228_CRB_Output_!$B$1:$D$183,3,FALSE)</f>
        <v>33631.26</v>
      </c>
      <c r="J80" s="1651">
        <v>42445</v>
      </c>
      <c r="K80" s="1651">
        <v>45367</v>
      </c>
      <c r="L80" s="1652"/>
      <c r="M80" s="1653">
        <f>-VLOOKUP(R80,[7]KH0010009_20170831_CRB_Output_!$D$156:$F$309,3,FALSE)</f>
        <v>188.95</v>
      </c>
      <c r="N80" s="1462"/>
      <c r="O80" s="1462"/>
      <c r="P80" s="1562" t="s">
        <v>1184</v>
      </c>
      <c r="R80" s="1514" t="s">
        <v>1164</v>
      </c>
    </row>
    <row r="81" spans="1:18" s="1377" customFormat="1" ht="24">
      <c r="A81" s="1458">
        <v>70</v>
      </c>
      <c r="B81" s="1479" t="s">
        <v>1165</v>
      </c>
      <c r="C81" s="1459" t="s">
        <v>1175</v>
      </c>
      <c r="D81" s="1460">
        <v>0.1</v>
      </c>
      <c r="E81" s="1461">
        <v>65000</v>
      </c>
      <c r="F81" s="1461">
        <v>0</v>
      </c>
      <c r="G81" s="1461">
        <v>0</v>
      </c>
      <c r="H81" s="1461"/>
      <c r="I81" s="1650">
        <f>-VLOOKUP(R81,[6]KH0010009_20180228_CRB_Output_!$B$1:$D$183,3,FALSE)</f>
        <v>38851.129999999997</v>
      </c>
      <c r="J81" s="1651">
        <v>41894</v>
      </c>
      <c r="K81" s="1651">
        <v>44451</v>
      </c>
      <c r="L81" s="1652"/>
      <c r="M81" s="1653">
        <f>-VLOOKUP(R81,[7]KH0010009_20170831_CRB_Output_!$D$156:$F$309,3,FALSE)</f>
        <v>240.11</v>
      </c>
      <c r="N81" s="1462"/>
      <c r="O81" s="1462"/>
      <c r="P81" s="1562" t="s">
        <v>1185</v>
      </c>
      <c r="R81" s="1680" t="s">
        <v>1242</v>
      </c>
    </row>
    <row r="82" spans="1:18" s="1377" customFormat="1" ht="29.25" customHeight="1">
      <c r="A82" s="1458">
        <v>71</v>
      </c>
      <c r="B82" s="1479" t="s">
        <v>1166</v>
      </c>
      <c r="C82" s="1459" t="s">
        <v>1176</v>
      </c>
      <c r="D82" s="1460">
        <v>0.1</v>
      </c>
      <c r="E82" s="1461">
        <v>20000</v>
      </c>
      <c r="F82" s="1461">
        <v>0</v>
      </c>
      <c r="G82" s="1461">
        <v>0</v>
      </c>
      <c r="H82" s="1461"/>
      <c r="I82" s="1650">
        <f>-VLOOKUP(R82,[6]KH0010009_20180228_CRB_Output_!$B$1:$D$183,3,FALSE)</f>
        <v>51945.279999999999</v>
      </c>
      <c r="J82" s="1651">
        <v>42384</v>
      </c>
      <c r="K82" s="1651">
        <v>43845</v>
      </c>
      <c r="L82" s="1652"/>
      <c r="M82" s="1653">
        <f>-VLOOKUP(R82,[7]KH0010009_20170831_CRB_Output_!$D$156:$F$309,3,FALSE)</f>
        <v>61.54</v>
      </c>
      <c r="N82" s="1462"/>
      <c r="O82" s="1462"/>
      <c r="P82" s="1562" t="s">
        <v>1186</v>
      </c>
      <c r="R82" s="1514" t="s">
        <v>1165</v>
      </c>
    </row>
    <row r="83" spans="1:18" s="1377" customFormat="1" ht="21" customHeight="1">
      <c r="A83" s="1458">
        <v>72</v>
      </c>
      <c r="B83" s="1479" t="s">
        <v>1167</v>
      </c>
      <c r="C83" s="1459" t="s">
        <v>1177</v>
      </c>
      <c r="D83" s="1460">
        <v>0.1</v>
      </c>
      <c r="E83" s="1461">
        <v>6000</v>
      </c>
      <c r="F83" s="1461">
        <v>0</v>
      </c>
      <c r="G83" s="1461">
        <v>0</v>
      </c>
      <c r="H83" s="1461"/>
      <c r="I83" s="1650">
        <f>-VLOOKUP(R83,[6]KH0010009_20180228_CRB_Output_!$B$1:$D$183,3,FALSE)</f>
        <v>382.28</v>
      </c>
      <c r="J83" s="1651">
        <v>42119</v>
      </c>
      <c r="K83" s="1651">
        <v>43215</v>
      </c>
      <c r="L83" s="1652"/>
      <c r="M83" s="1653">
        <f>-VLOOKUP(R83,[7]KH0010009_20170831_CRB_Output_!$D$156:$F$309,3,FALSE)</f>
        <v>2.9</v>
      </c>
      <c r="N83" s="1462"/>
      <c r="O83" s="1462"/>
      <c r="P83" s="1562" t="s">
        <v>1187</v>
      </c>
      <c r="R83" s="1514" t="s">
        <v>1167</v>
      </c>
    </row>
    <row r="84" spans="1:18" s="1377" customFormat="1" ht="21" customHeight="1">
      <c r="A84" s="1458">
        <v>73</v>
      </c>
      <c r="B84" s="1479" t="s">
        <v>1448</v>
      </c>
      <c r="C84" s="1459" t="s">
        <v>1445</v>
      </c>
      <c r="D84" s="1460">
        <v>0.1</v>
      </c>
      <c r="E84" s="1461">
        <v>36000</v>
      </c>
      <c r="F84" s="1461">
        <v>0</v>
      </c>
      <c r="G84" s="1461">
        <v>0</v>
      </c>
      <c r="H84" s="1461"/>
      <c r="I84" s="1650">
        <f>-VLOOKUP(R84,[6]KH0010009_20180228_CRB_Output_!$B$1:$D$183,3,FALSE)</f>
        <v>25404.27</v>
      </c>
      <c r="J84" s="1651">
        <v>42303</v>
      </c>
      <c r="K84" s="1651">
        <v>45319</v>
      </c>
      <c r="L84" s="1652"/>
      <c r="M84" s="1653">
        <f>-VLOOKUP(R84,[7]KH0010009_20170831_CRB_Output_!$D$156:$F$309,3,FALSE)</f>
        <v>29.91</v>
      </c>
      <c r="N84" s="1462"/>
      <c r="O84" s="1462"/>
      <c r="P84" s="1562" t="s">
        <v>1446</v>
      </c>
      <c r="R84" s="1495" t="s">
        <v>1447</v>
      </c>
    </row>
    <row r="85" spans="1:18" s="1377" customFormat="1" ht="29.25" customHeight="1">
      <c r="A85" s="1458">
        <v>74</v>
      </c>
      <c r="B85" s="1479" t="s">
        <v>1168</v>
      </c>
      <c r="C85" s="1459" t="s">
        <v>1178</v>
      </c>
      <c r="D85" s="1460">
        <v>0.11</v>
      </c>
      <c r="E85" s="1461">
        <v>30000</v>
      </c>
      <c r="F85" s="1461">
        <v>0</v>
      </c>
      <c r="G85" s="1461">
        <v>0</v>
      </c>
      <c r="H85" s="1461"/>
      <c r="I85" s="1650">
        <f>-VLOOKUP(R85,[6]KH0010009_20180228_CRB_Output_!$B$1:$D$183,3,FALSE)</f>
        <v>18199.34</v>
      </c>
      <c r="J85" s="1651">
        <v>42098</v>
      </c>
      <c r="K85" s="1651">
        <v>44290</v>
      </c>
      <c r="L85" s="1652"/>
      <c r="M85" s="1653">
        <f>-VLOOKUP(R85,[7]KH0010009_20170831_CRB_Output_!$D$156:$F$309,3,FALSE)</f>
        <v>175.81</v>
      </c>
      <c r="N85" s="1462"/>
      <c r="O85" s="1462"/>
      <c r="P85" s="1562" t="s">
        <v>1188</v>
      </c>
      <c r="R85" s="1514" t="s">
        <v>1168</v>
      </c>
    </row>
    <row r="86" spans="1:18" s="1377" customFormat="1" ht="24">
      <c r="A86" s="1458">
        <v>75</v>
      </c>
      <c r="B86" s="1479" t="s">
        <v>1169</v>
      </c>
      <c r="C86" s="1459" t="s">
        <v>1179</v>
      </c>
      <c r="D86" s="1460">
        <v>0.11</v>
      </c>
      <c r="E86" s="1461">
        <v>150000</v>
      </c>
      <c r="F86" s="1461">
        <v>0</v>
      </c>
      <c r="G86" s="1461">
        <v>0</v>
      </c>
      <c r="H86" s="1461"/>
      <c r="I86" s="1650">
        <f>-VLOOKUP(R86,[6]KH0010009_20180228_CRB_Output_!$B$1:$D$183,3,FALSE)</f>
        <v>61015.88</v>
      </c>
      <c r="J86" s="1651">
        <v>41942</v>
      </c>
      <c r="K86" s="1651">
        <v>43768</v>
      </c>
      <c r="L86" s="1652"/>
      <c r="M86" s="1653">
        <f>-VLOOKUP(R86,[7]KH0010009_20170831_CRB_Output_!$D$156:$F$309,3,FALSE)</f>
        <v>47.2</v>
      </c>
      <c r="N86" s="1462"/>
      <c r="O86" s="1462"/>
      <c r="P86" s="1562" t="s">
        <v>1189</v>
      </c>
      <c r="R86" s="1514" t="s">
        <v>1169</v>
      </c>
    </row>
    <row r="87" spans="1:18" s="1377" customFormat="1" ht="29.25" customHeight="1">
      <c r="A87" s="1458">
        <v>76</v>
      </c>
      <c r="B87" s="1479" t="s">
        <v>1170</v>
      </c>
      <c r="C87" s="1459" t="s">
        <v>1180</v>
      </c>
      <c r="D87" s="1460">
        <v>0.09</v>
      </c>
      <c r="E87" s="1461">
        <v>60000</v>
      </c>
      <c r="F87" s="1461">
        <v>0</v>
      </c>
      <c r="G87" s="1461">
        <v>0</v>
      </c>
      <c r="H87" s="1461"/>
      <c r="I87" s="1650">
        <f>-VLOOKUP(R87,[6]KH0010009_20180228_CRB_Output_!$B$1:$D$183,3,FALSE)</f>
        <v>47569.49</v>
      </c>
      <c r="J87" s="1651">
        <v>42087</v>
      </c>
      <c r="K87" s="1651">
        <v>45740</v>
      </c>
      <c r="L87" s="1652"/>
      <c r="M87" s="1653">
        <f>-VLOOKUP(R87,[7]KH0010009_20170831_CRB_Output_!$D$156:$F$309,3,FALSE)</f>
        <v>99.78</v>
      </c>
      <c r="N87" s="1462"/>
      <c r="O87" s="1462"/>
      <c r="P87" s="1562" t="s">
        <v>1190</v>
      </c>
      <c r="R87" s="1514" t="s">
        <v>1170</v>
      </c>
    </row>
    <row r="88" spans="1:18" s="1377" customFormat="1" ht="24">
      <c r="A88" s="1458">
        <v>78</v>
      </c>
      <c r="B88" s="1479" t="s">
        <v>1172</v>
      </c>
      <c r="C88" s="1459" t="s">
        <v>1181</v>
      </c>
      <c r="D88" s="1460">
        <v>0.1</v>
      </c>
      <c r="E88" s="1461">
        <v>200000</v>
      </c>
      <c r="F88" s="1461">
        <v>0</v>
      </c>
      <c r="G88" s="1461">
        <v>0</v>
      </c>
      <c r="H88" s="1461"/>
      <c r="I88" s="1650">
        <f>-VLOOKUP(R88,[6]KH0010009_20180228_CRB_Output_!$B$1:$D$183,3,FALSE)</f>
        <v>61481.86</v>
      </c>
      <c r="J88" s="1651">
        <v>42342</v>
      </c>
      <c r="K88" s="1651">
        <v>43438</v>
      </c>
      <c r="L88" s="1652"/>
      <c r="M88" s="1653">
        <f>-VLOOKUP(R88,[7]KH0010009_20170831_CRB_Output_!$D$156:$F$309,3,FALSE)</f>
        <v>709.58</v>
      </c>
      <c r="N88" s="1462"/>
      <c r="O88" s="1462"/>
      <c r="P88" s="1562" t="s">
        <v>1191</v>
      </c>
      <c r="R88" s="1514" t="s">
        <v>1172</v>
      </c>
    </row>
    <row r="89" spans="1:18" s="1377" customFormat="1" ht="24">
      <c r="A89" s="1458">
        <v>79</v>
      </c>
      <c r="B89" s="1479" t="s">
        <v>1173</v>
      </c>
      <c r="C89" s="1459" t="s">
        <v>1182</v>
      </c>
      <c r="D89" s="1460">
        <v>0.12</v>
      </c>
      <c r="E89" s="1461">
        <v>13000</v>
      </c>
      <c r="F89" s="1461">
        <v>0</v>
      </c>
      <c r="G89" s="1461">
        <v>0</v>
      </c>
      <c r="H89" s="1461"/>
      <c r="I89" s="1650">
        <f>-VLOOKUP(R89,[6]KH0010009_20180228_CRB_Output_!$B$1:$D$183,3,FALSE)</f>
        <v>6746.04</v>
      </c>
      <c r="J89" s="1651">
        <v>42342</v>
      </c>
      <c r="K89" s="1651">
        <v>43803</v>
      </c>
      <c r="L89" s="1652"/>
      <c r="M89" s="1653">
        <f>-VLOOKUP(R89,[7]KH0010009_20170831_CRB_Output_!$D$156:$F$309,3,FALSE)</f>
        <v>77.8</v>
      </c>
      <c r="N89" s="1462"/>
      <c r="O89" s="1462"/>
      <c r="P89" s="1562" t="s">
        <v>1191</v>
      </c>
      <c r="R89" s="1514" t="s">
        <v>1173</v>
      </c>
    </row>
    <row r="90" spans="1:18" s="1377" customFormat="1" ht="24" customHeight="1">
      <c r="A90" s="1458">
        <v>80</v>
      </c>
      <c r="B90" s="1479" t="s">
        <v>1241</v>
      </c>
      <c r="C90" s="1459" t="s">
        <v>1183</v>
      </c>
      <c r="D90" s="1460">
        <v>0.12</v>
      </c>
      <c r="E90" s="1461">
        <v>20000</v>
      </c>
      <c r="F90" s="1461">
        <v>0</v>
      </c>
      <c r="G90" s="1461">
        <v>0</v>
      </c>
      <c r="H90" s="1461"/>
      <c r="I90" s="1650">
        <f>-VLOOKUP(R90,[6]KH0010009_20180228_CRB_Output_!$B$1:$D$183,3,FALSE)</f>
        <v>7308</v>
      </c>
      <c r="J90" s="1651">
        <v>41978</v>
      </c>
      <c r="K90" s="1651">
        <v>43804</v>
      </c>
      <c r="L90" s="1652"/>
      <c r="M90" s="1653">
        <f>-VLOOKUP(R90,[7]KH0010009_20170831_CRB_Output_!$D$156:$F$309,3,FALSE)</f>
        <v>71.39</v>
      </c>
      <c r="N90" s="1462"/>
      <c r="O90" s="1462"/>
      <c r="P90" s="1562" t="s">
        <v>1192</v>
      </c>
      <c r="R90" s="1514" t="s">
        <v>1241</v>
      </c>
    </row>
    <row r="91" spans="1:18" s="1377" customFormat="1" ht="24" customHeight="1">
      <c r="A91" s="1458">
        <v>81</v>
      </c>
      <c r="B91" s="1479" t="s">
        <v>1243</v>
      </c>
      <c r="C91" s="1459" t="s">
        <v>1244</v>
      </c>
      <c r="D91" s="1460">
        <v>0.1</v>
      </c>
      <c r="E91" s="1461">
        <v>30000</v>
      </c>
      <c r="F91" s="1461">
        <v>0</v>
      </c>
      <c r="G91" s="1461">
        <v>0</v>
      </c>
      <c r="H91" s="1461"/>
      <c r="I91" s="1650">
        <f>-VLOOKUP(R91,[6]KH0010009_20180228_CRB_Output_!$B$1:$D$183,3,FALSE)</f>
        <v>27529.58</v>
      </c>
      <c r="J91" s="1651">
        <v>42648</v>
      </c>
      <c r="K91" s="1651">
        <v>46300</v>
      </c>
      <c r="L91" s="1652"/>
      <c r="M91" s="1653">
        <f>-VLOOKUP(R91,[7]KH0010009_20170831_CRB_Output_!$D$156:$F$309,3,FALSE)</f>
        <v>213.65</v>
      </c>
      <c r="N91" s="1462"/>
      <c r="O91" s="1462"/>
      <c r="P91" s="1562" t="s">
        <v>1245</v>
      </c>
      <c r="R91" s="1514" t="s">
        <v>1243</v>
      </c>
    </row>
    <row r="92" spans="1:18" s="1377" customFormat="1" ht="24">
      <c r="A92" s="1458">
        <v>82</v>
      </c>
      <c r="B92" s="1479" t="s">
        <v>1246</v>
      </c>
      <c r="C92" s="1459" t="s">
        <v>1247</v>
      </c>
      <c r="D92" s="1460">
        <v>0.1</v>
      </c>
      <c r="E92" s="1461">
        <v>40000</v>
      </c>
      <c r="F92" s="1461">
        <v>0</v>
      </c>
      <c r="G92" s="1461">
        <v>0</v>
      </c>
      <c r="H92" s="1461"/>
      <c r="I92" s="1650">
        <f>-VLOOKUP(R92,[6]KH0010009_20180228_CRB_Output_!$B$1:$D$183,3,FALSE)</f>
        <v>36708.269999999997</v>
      </c>
      <c r="J92" s="1651">
        <v>42655</v>
      </c>
      <c r="K92" s="1651">
        <v>46307</v>
      </c>
      <c r="L92" s="1652"/>
      <c r="M92" s="1653">
        <f>-VLOOKUP(R92,[7]KH0010009_20170831_CRB_Output_!$D$156:$F$309,3,FALSE)</f>
        <v>211.03</v>
      </c>
      <c r="N92" s="1462"/>
      <c r="O92" s="1462"/>
      <c r="P92" s="1562" t="s">
        <v>1248</v>
      </c>
      <c r="R92" s="1514" t="s">
        <v>1246</v>
      </c>
    </row>
    <row r="93" spans="1:18" s="1377" customFormat="1" ht="24">
      <c r="A93" s="1458">
        <v>83</v>
      </c>
      <c r="B93" s="1479" t="s">
        <v>1258</v>
      </c>
      <c r="C93" s="1459" t="s">
        <v>1259</v>
      </c>
      <c r="D93" s="1460">
        <v>0.08</v>
      </c>
      <c r="E93" s="1461">
        <v>50000</v>
      </c>
      <c r="F93" s="1461">
        <v>0</v>
      </c>
      <c r="G93" s="1461">
        <v>0</v>
      </c>
      <c r="H93" s="1461"/>
      <c r="I93" s="1650">
        <f>-VLOOKUP(R93,[6]KH0010009_20180228_CRB_Output_!$B$1:$D$183,3,FALSE)</f>
        <v>45438.71</v>
      </c>
      <c r="J93" s="1651">
        <v>42661</v>
      </c>
      <c r="K93" s="1651">
        <v>46313</v>
      </c>
      <c r="L93" s="1652"/>
      <c r="M93" s="1653">
        <f>-VLOOKUP(R93,[7]KH0010009_20170831_CRB_Output_!$D$156:$F$309,3,FALSE)</f>
        <v>146.83000000000001</v>
      </c>
      <c r="N93" s="1462"/>
      <c r="O93" s="1462"/>
      <c r="P93" s="1562" t="s">
        <v>1260</v>
      </c>
      <c r="R93" s="1514" t="s">
        <v>1320</v>
      </c>
    </row>
    <row r="94" spans="1:18" s="1377" customFormat="1" ht="25.5" customHeight="1">
      <c r="A94" s="1458">
        <v>84</v>
      </c>
      <c r="B94" s="1479" t="s">
        <v>1264</v>
      </c>
      <c r="C94" s="1459" t="s">
        <v>1265</v>
      </c>
      <c r="D94" s="1460">
        <v>0.1</v>
      </c>
      <c r="E94" s="1461">
        <v>43000</v>
      </c>
      <c r="F94" s="1461">
        <v>0</v>
      </c>
      <c r="G94" s="1461">
        <v>0</v>
      </c>
      <c r="H94" s="1461"/>
      <c r="I94" s="1650">
        <f>-VLOOKUP(R94,[6]KH0010009_20180228_CRB_Output_!$B$1:$D$183,3,FALSE)</f>
        <v>28666.720000000001</v>
      </c>
      <c r="J94" s="1651">
        <v>42655</v>
      </c>
      <c r="K94" s="1651">
        <v>44116</v>
      </c>
      <c r="L94" s="1652"/>
      <c r="M94" s="1653">
        <f>-VLOOKUP(R94,[7]KH0010009_20170831_CRB_Output_!$D$156:$F$309,3,FALSE)</f>
        <v>189.12</v>
      </c>
      <c r="N94" s="1462"/>
      <c r="O94" s="1462"/>
      <c r="P94" s="1562" t="s">
        <v>1266</v>
      </c>
      <c r="R94" s="1514" t="s">
        <v>1264</v>
      </c>
    </row>
    <row r="95" spans="1:18" s="1377" customFormat="1" ht="24">
      <c r="A95" s="1458">
        <v>85</v>
      </c>
      <c r="B95" s="1479" t="s">
        <v>1269</v>
      </c>
      <c r="C95" s="1459" t="s">
        <v>1270</v>
      </c>
      <c r="D95" s="1460">
        <v>9.5000000000000001E-2</v>
      </c>
      <c r="E95" s="1461">
        <v>50000</v>
      </c>
      <c r="F95" s="1461">
        <v>0</v>
      </c>
      <c r="G95" s="1461">
        <v>0</v>
      </c>
      <c r="H95" s="1461"/>
      <c r="I95" s="1650">
        <f>-VLOOKUP(R95,[6]KH0010009_20180228_CRB_Output_!$B$1:$D$183,3,FALSE)</f>
        <v>45776.69</v>
      </c>
      <c r="J95" s="1651">
        <v>42664</v>
      </c>
      <c r="K95" s="1651">
        <v>46316</v>
      </c>
      <c r="L95" s="1652"/>
      <c r="M95" s="1653">
        <f>-VLOOKUP(R95,[7]KH0010009_20170831_CRB_Output_!$D$156:$F$309,3,FALSE)</f>
        <v>137.63</v>
      </c>
      <c r="N95" s="1462"/>
      <c r="O95" s="1462"/>
      <c r="P95" s="1562" t="s">
        <v>1271</v>
      </c>
      <c r="R95" s="1514" t="s">
        <v>1269</v>
      </c>
    </row>
    <row r="96" spans="1:18" s="1377" customFormat="1" ht="24">
      <c r="A96" s="1458">
        <v>86</v>
      </c>
      <c r="B96" s="1479" t="s">
        <v>1274</v>
      </c>
      <c r="C96" s="1459" t="s">
        <v>1275</v>
      </c>
      <c r="D96" s="1460">
        <v>9.5000000000000001E-2</v>
      </c>
      <c r="E96" s="1461">
        <v>25000</v>
      </c>
      <c r="F96" s="1461">
        <v>0</v>
      </c>
      <c r="G96" s="1461">
        <v>0</v>
      </c>
      <c r="H96" s="1461"/>
      <c r="I96" s="1650">
        <f>-VLOOKUP(R96,[6]KH0010009_20180228_CRB_Output_!$B$1:$D$183,3,FALSE)</f>
        <v>22870.22</v>
      </c>
      <c r="J96" s="1651">
        <v>42674</v>
      </c>
      <c r="K96" s="1651">
        <v>46326</v>
      </c>
      <c r="L96" s="1652"/>
      <c r="M96" s="1653">
        <f>-VLOOKUP(R96,[7]KH0010009_20170831_CRB_Output_!$D$156:$F$309,3,FALSE)</f>
        <v>6.26</v>
      </c>
      <c r="N96" s="1462"/>
      <c r="O96" s="1462"/>
      <c r="P96" s="1562" t="s">
        <v>1276</v>
      </c>
      <c r="R96" s="1514" t="s">
        <v>1274</v>
      </c>
    </row>
    <row r="97" spans="1:18" s="1377" customFormat="1" ht="24">
      <c r="A97" s="1458">
        <v>87</v>
      </c>
      <c r="B97" s="1479" t="s">
        <v>1285</v>
      </c>
      <c r="C97" s="1459" t="s">
        <v>1286</v>
      </c>
      <c r="D97" s="1460">
        <v>0.1</v>
      </c>
      <c r="E97" s="1461">
        <v>32000</v>
      </c>
      <c r="F97" s="1461">
        <v>0</v>
      </c>
      <c r="G97" s="1461">
        <v>0</v>
      </c>
      <c r="H97" s="1461"/>
      <c r="I97" s="1650">
        <f>-VLOOKUP(R97,[6]KH0010009_20180228_CRB_Output_!$B$1:$D$183,3,FALSE)</f>
        <v>29745.09</v>
      </c>
      <c r="J97" s="1651">
        <v>42650</v>
      </c>
      <c r="K97" s="1651">
        <v>46667</v>
      </c>
      <c r="L97" s="1652"/>
      <c r="M97" s="1653">
        <f>-VLOOKUP(R97,[7]KH0010009_20170831_CRB_Output_!$D$156:$F$309,3,FALSE)</f>
        <v>212.63</v>
      </c>
      <c r="N97" s="1462"/>
      <c r="O97" s="1462"/>
      <c r="P97" s="1562" t="s">
        <v>1290</v>
      </c>
      <c r="R97" s="1514" t="s">
        <v>1285</v>
      </c>
    </row>
    <row r="98" spans="1:18" s="1377" customFormat="1" ht="24">
      <c r="A98" s="1458">
        <v>89</v>
      </c>
      <c r="B98" s="1479" t="s">
        <v>1295</v>
      </c>
      <c r="C98" s="1459" t="s">
        <v>1296</v>
      </c>
      <c r="D98" s="1460">
        <v>9.5000000000000001E-2</v>
      </c>
      <c r="E98" s="1461">
        <v>39000</v>
      </c>
      <c r="F98" s="1461">
        <v>0</v>
      </c>
      <c r="G98" s="1461">
        <v>0</v>
      </c>
      <c r="H98" s="1461"/>
      <c r="I98" s="1650">
        <f>-VLOOKUP(R98,[6]KH0010009_20180228_CRB_Output_!$B$1:$D$183,3,FALSE)</f>
        <v>35677.46</v>
      </c>
      <c r="J98" s="1651">
        <v>42674</v>
      </c>
      <c r="K98" s="1651">
        <v>46326</v>
      </c>
      <c r="L98" s="1652"/>
      <c r="M98" s="1653">
        <f>-VLOOKUP(R98,[7]KH0010009_20170831_CRB_Output_!$D$156:$F$309,3,FALSE)</f>
        <v>9.76</v>
      </c>
      <c r="N98" s="1462"/>
      <c r="O98" s="1462"/>
      <c r="P98" s="1562" t="s">
        <v>1297</v>
      </c>
      <c r="R98" s="1514" t="s">
        <v>1295</v>
      </c>
    </row>
    <row r="99" spans="1:18" s="1377" customFormat="1" ht="24">
      <c r="A99" s="1458">
        <v>90</v>
      </c>
      <c r="B99" s="1479" t="s">
        <v>1302</v>
      </c>
      <c r="C99" s="1459" t="s">
        <v>1303</v>
      </c>
      <c r="D99" s="1460">
        <v>0.12</v>
      </c>
      <c r="E99" s="1461">
        <v>60000</v>
      </c>
      <c r="F99" s="1461">
        <v>0</v>
      </c>
      <c r="G99" s="1461">
        <v>0</v>
      </c>
      <c r="H99" s="1461"/>
      <c r="I99" s="1650">
        <f>-VLOOKUP(R99,[6]KH0010009_20180228_CRB_Output_!$B$1:$D$183,3,FALSE)</f>
        <v>55559.77</v>
      </c>
      <c r="J99" s="1651">
        <v>42668</v>
      </c>
      <c r="K99" s="1651">
        <v>46320</v>
      </c>
      <c r="L99" s="1652"/>
      <c r="M99" s="1653">
        <f>-VLOOKUP(R99,[7]KH0010009_20170831_CRB_Output_!$D$156:$F$309,3,FALSE)</f>
        <v>133.68</v>
      </c>
      <c r="N99" s="1462"/>
      <c r="O99" s="1462"/>
      <c r="P99" s="1562" t="s">
        <v>1304</v>
      </c>
      <c r="R99" s="1514" t="s">
        <v>1302</v>
      </c>
    </row>
    <row r="100" spans="1:18" s="1377" customFormat="1" ht="24">
      <c r="A100" s="1458">
        <v>91</v>
      </c>
      <c r="B100" s="1479" t="s">
        <v>1306</v>
      </c>
      <c r="C100" s="1459" t="s">
        <v>1307</v>
      </c>
      <c r="D100" s="1460">
        <v>0.1</v>
      </c>
      <c r="E100" s="1461">
        <v>40000</v>
      </c>
      <c r="F100" s="1461">
        <v>0</v>
      </c>
      <c r="G100" s="1461">
        <v>0</v>
      </c>
      <c r="H100" s="1461"/>
      <c r="I100" s="1650">
        <f>-VLOOKUP(R100,[6]KH0010009_20180228_CRB_Output_!$B$1:$D$183,3,FALSE)</f>
        <v>31233.69</v>
      </c>
      <c r="J100" s="1651">
        <v>42669</v>
      </c>
      <c r="K100" s="1651">
        <v>44495</v>
      </c>
      <c r="L100" s="1652"/>
      <c r="M100" s="1653">
        <f>-VLOOKUP(R100,[7]KH0010009_20170831_CRB_Output_!$D$156:$F$309,3,FALSE)</f>
        <v>57.75</v>
      </c>
      <c r="N100" s="1462"/>
      <c r="O100" s="1462"/>
      <c r="P100" s="1562" t="s">
        <v>1309</v>
      </c>
      <c r="R100" s="1495" t="s">
        <v>1306</v>
      </c>
    </row>
    <row r="101" spans="1:18" s="1377" customFormat="1" ht="24">
      <c r="A101" s="1458">
        <v>92</v>
      </c>
      <c r="B101" s="1479" t="s">
        <v>1305</v>
      </c>
      <c r="C101" s="1459" t="s">
        <v>1308</v>
      </c>
      <c r="D101" s="1460">
        <v>0.1</v>
      </c>
      <c r="E101" s="1461">
        <v>81000</v>
      </c>
      <c r="F101" s="1461">
        <v>0</v>
      </c>
      <c r="G101" s="1461">
        <v>0</v>
      </c>
      <c r="H101" s="1461"/>
      <c r="I101" s="1650">
        <f>-VLOOKUP(R101,[6]KH0010009_20180228_CRB_Output_!$B$1:$D$183,3,FALSE)</f>
        <v>74334.16</v>
      </c>
      <c r="J101" s="1651">
        <v>42669</v>
      </c>
      <c r="K101" s="1651">
        <v>46321</v>
      </c>
      <c r="L101" s="1652"/>
      <c r="M101" s="1653">
        <f>-VLOOKUP(R101,[7]KH0010009_20170831_CRB_Output_!$D$156:$F$309,3,FALSE)</f>
        <v>128.19999999999999</v>
      </c>
      <c r="N101" s="1462"/>
      <c r="O101" s="1462"/>
      <c r="P101" s="1562" t="s">
        <v>1310</v>
      </c>
      <c r="R101" s="1495" t="s">
        <v>1305</v>
      </c>
    </row>
    <row r="102" spans="1:18" s="1377" customFormat="1" ht="27" customHeight="1">
      <c r="A102" s="1458">
        <v>93</v>
      </c>
      <c r="B102" s="1479" t="s">
        <v>1321</v>
      </c>
      <c r="C102" s="1459" t="s">
        <v>1356</v>
      </c>
      <c r="D102" s="1460">
        <v>0.08</v>
      </c>
      <c r="E102" s="1461">
        <v>40000</v>
      </c>
      <c r="F102" s="1461">
        <v>0</v>
      </c>
      <c r="G102" s="1461">
        <v>0</v>
      </c>
      <c r="H102" s="1461"/>
      <c r="I102" s="1650">
        <f>-VLOOKUP(R102,[6]KH0010009_20180228_CRB_Output_!$B$1:$D$183,3,FALSE)</f>
        <v>35000.050000000003</v>
      </c>
      <c r="J102" s="1651">
        <v>42682</v>
      </c>
      <c r="K102" s="1651">
        <v>46334</v>
      </c>
      <c r="L102" s="1652"/>
      <c r="M102" s="1653">
        <f>-VLOOKUP(R102,[7]KH0010009_20170831_CRB_Output_!$D$156:$F$309,3,FALSE)</f>
        <v>197.33</v>
      </c>
      <c r="N102" s="1462"/>
      <c r="O102" s="1462"/>
      <c r="P102" s="1562" t="s">
        <v>1322</v>
      </c>
      <c r="R102" s="1514" t="s">
        <v>1321</v>
      </c>
    </row>
    <row r="103" spans="1:18" s="1377" customFormat="1" ht="24">
      <c r="A103" s="1458">
        <v>94</v>
      </c>
      <c r="B103" s="1479" t="s">
        <v>1326</v>
      </c>
      <c r="C103" s="1459" t="s">
        <v>1357</v>
      </c>
      <c r="D103" s="1460">
        <v>0.08</v>
      </c>
      <c r="E103" s="1461">
        <v>115000</v>
      </c>
      <c r="F103" s="1461">
        <v>0</v>
      </c>
      <c r="G103" s="1461">
        <v>0</v>
      </c>
      <c r="H103" s="1461"/>
      <c r="I103" s="1650">
        <f>-VLOOKUP(R103,[6]KH0010009_20180228_CRB_Output_!$B$1:$D$183,3,FALSE)</f>
        <v>105186.92</v>
      </c>
      <c r="J103" s="1651">
        <v>42696</v>
      </c>
      <c r="K103" s="1651">
        <v>46348</v>
      </c>
      <c r="L103" s="1652"/>
      <c r="M103" s="1653">
        <f>-VLOOKUP(R103,[7]KH0010009_20170831_CRB_Output_!$D$156:$F$309,3,FALSE)</f>
        <v>242.67</v>
      </c>
      <c r="N103" s="1462"/>
      <c r="O103" s="1462"/>
      <c r="P103" s="1562" t="s">
        <v>1330</v>
      </c>
      <c r="R103" s="1514" t="s">
        <v>1326</v>
      </c>
    </row>
    <row r="104" spans="1:18" s="1377" customFormat="1" ht="24">
      <c r="A104" s="1458">
        <v>95</v>
      </c>
      <c r="B104" s="1479" t="s">
        <v>1327</v>
      </c>
      <c r="C104" s="1459" t="s">
        <v>1358</v>
      </c>
      <c r="D104" s="1460">
        <v>0.1</v>
      </c>
      <c r="E104" s="1461">
        <v>20000</v>
      </c>
      <c r="F104" s="1461">
        <v>0</v>
      </c>
      <c r="G104" s="1461">
        <v>0</v>
      </c>
      <c r="H104" s="1461"/>
      <c r="I104" s="1650">
        <f>-VLOOKUP(R104,[6]KH0010009_20180228_CRB_Output_!$B$1:$D$183,3,FALSE)</f>
        <v>18186.68</v>
      </c>
      <c r="J104" s="1651">
        <v>42698</v>
      </c>
      <c r="K104" s="1651">
        <v>45985</v>
      </c>
      <c r="L104" s="1652"/>
      <c r="M104" s="1653">
        <f>-VLOOKUP(R104,[7]KH0010009_20170831_CRB_Output_!$D$156:$F$309,3,FALSE)</f>
        <v>42.07</v>
      </c>
      <c r="N104" s="1462"/>
      <c r="O104" s="1462"/>
      <c r="P104" s="1562" t="s">
        <v>1331</v>
      </c>
      <c r="R104" s="1514" t="s">
        <v>1355</v>
      </c>
    </row>
    <row r="105" spans="1:18" s="1377" customFormat="1" ht="24">
      <c r="A105" s="1458">
        <v>97</v>
      </c>
      <c r="B105" s="1479" t="s">
        <v>1339</v>
      </c>
      <c r="C105" s="1459" t="s">
        <v>1359</v>
      </c>
      <c r="D105" s="1460">
        <v>0.1</v>
      </c>
      <c r="E105" s="1461">
        <v>50000</v>
      </c>
      <c r="F105" s="1461">
        <v>0</v>
      </c>
      <c r="G105" s="1461">
        <v>0</v>
      </c>
      <c r="H105" s="1461"/>
      <c r="I105" s="1650">
        <f>-VLOOKUP(R105,[6]KH0010009_20180228_CRB_Output_!$B$1:$D$183,3,FALSE)</f>
        <v>46139.8</v>
      </c>
      <c r="J105" s="1651">
        <v>42703</v>
      </c>
      <c r="K105" s="1651">
        <v>46355</v>
      </c>
      <c r="L105" s="1652"/>
      <c r="M105" s="1653">
        <f>-VLOOKUP(R105,[7]KH0010009_20170831_CRB_Output_!$D$156:$F$309,3,FALSE)</f>
        <v>39.78</v>
      </c>
      <c r="N105" s="1462"/>
      <c r="O105" s="1462"/>
      <c r="P105" s="1562" t="s">
        <v>1341</v>
      </c>
      <c r="R105" s="1514" t="s">
        <v>1339</v>
      </c>
    </row>
    <row r="106" spans="1:18" s="1377" customFormat="1" ht="24">
      <c r="A106" s="1458">
        <v>98</v>
      </c>
      <c r="B106" s="1479" t="s">
        <v>1340</v>
      </c>
      <c r="C106" s="1459" t="s">
        <v>1360</v>
      </c>
      <c r="D106" s="1460">
        <v>0.08</v>
      </c>
      <c r="E106" s="1461">
        <v>30000</v>
      </c>
      <c r="F106" s="1461">
        <v>0</v>
      </c>
      <c r="G106" s="1461">
        <v>0</v>
      </c>
      <c r="H106" s="1461"/>
      <c r="I106" s="1650">
        <f>-VLOOKUP(R106,[6]KH0010009_20180228_CRB_Output_!$B$1:$D$183,3,FALSE)</f>
        <v>27658.33</v>
      </c>
      <c r="J106" s="1651">
        <v>42703</v>
      </c>
      <c r="K106" s="1651">
        <v>46361</v>
      </c>
      <c r="L106" s="1652"/>
      <c r="M106" s="1653">
        <f>-VLOOKUP(R106,[7]KH0010009_20170831_CRB_Output_!$D$156:$F$309,3,FALSE)</f>
        <v>172.2</v>
      </c>
      <c r="N106" s="1462"/>
      <c r="O106" s="1462"/>
      <c r="P106" s="1562" t="s">
        <v>1342</v>
      </c>
      <c r="R106" s="1514" t="s">
        <v>1340</v>
      </c>
    </row>
    <row r="107" spans="1:18" s="1377" customFormat="1" ht="24">
      <c r="A107" s="1458">
        <v>99</v>
      </c>
      <c r="B107" s="1479" t="s">
        <v>1353</v>
      </c>
      <c r="C107" s="1459" t="s">
        <v>1361</v>
      </c>
      <c r="D107" s="1460">
        <v>0.08</v>
      </c>
      <c r="E107" s="1461">
        <v>39000</v>
      </c>
      <c r="F107" s="1461">
        <v>0</v>
      </c>
      <c r="G107" s="1461">
        <v>0</v>
      </c>
      <c r="H107" s="1461"/>
      <c r="I107" s="1650">
        <f>-VLOOKUP(R107,[6]KH0010009_20180228_CRB_Output_!$B$1:$D$183,3,FALSE)</f>
        <v>35664.129999999997</v>
      </c>
      <c r="J107" s="1651">
        <v>42703</v>
      </c>
      <c r="K107" s="1651">
        <v>46385</v>
      </c>
      <c r="L107" s="1652"/>
      <c r="M107" s="1653">
        <f>-VLOOKUP(R107,[7]KH0010009_20170831_CRB_Output_!$D$156:$F$309,3,FALSE)</f>
        <v>24.69</v>
      </c>
      <c r="N107" s="1462"/>
      <c r="O107" s="1462"/>
      <c r="P107" s="1562" t="s">
        <v>1354</v>
      </c>
      <c r="R107" s="1514" t="s">
        <v>1353</v>
      </c>
    </row>
    <row r="108" spans="1:18" s="1377" customFormat="1" ht="24.75" customHeight="1">
      <c r="A108" s="1458">
        <v>100</v>
      </c>
      <c r="B108" s="1479" t="s">
        <v>1368</v>
      </c>
      <c r="C108" s="1459" t="s">
        <v>1373</v>
      </c>
      <c r="D108" s="1460">
        <v>0.08</v>
      </c>
      <c r="E108" s="1461">
        <v>48400</v>
      </c>
      <c r="F108" s="1461">
        <v>0</v>
      </c>
      <c r="G108" s="1461">
        <v>0</v>
      </c>
      <c r="H108" s="1461"/>
      <c r="I108" s="1650">
        <f>-VLOOKUP(R108,[6]KH0010009_20180228_CRB_Output_!$B$1:$D$183,3,FALSE)</f>
        <v>45513.88</v>
      </c>
      <c r="J108" s="1651">
        <v>42705</v>
      </c>
      <c r="K108" s="1651">
        <v>47094</v>
      </c>
      <c r="L108" s="1652"/>
      <c r="M108" s="1653">
        <f>-VLOOKUP(R108,[7]KH0010009_20170831_CRB_Output_!$D$156:$F$309,3,FALSE)</f>
        <v>260.01</v>
      </c>
      <c r="N108" s="1462"/>
      <c r="O108" s="1462"/>
      <c r="P108" s="1562" t="s">
        <v>1443</v>
      </c>
      <c r="R108" s="1514" t="s">
        <v>1368</v>
      </c>
    </row>
    <row r="109" spans="1:18" s="1377" customFormat="1" ht="24.75" customHeight="1">
      <c r="A109" s="1458">
        <v>101</v>
      </c>
      <c r="B109" s="1479" t="s">
        <v>1369</v>
      </c>
      <c r="C109" s="1459" t="s">
        <v>1374</v>
      </c>
      <c r="D109" s="1460">
        <v>0.09</v>
      </c>
      <c r="E109" s="1461">
        <v>80000</v>
      </c>
      <c r="F109" s="1461">
        <v>0</v>
      </c>
      <c r="G109" s="1461">
        <v>0</v>
      </c>
      <c r="H109" s="1461"/>
      <c r="I109" s="1650">
        <f>-VLOOKUP(R109,[6]KH0010009_20180228_CRB_Output_!$B$1:$D$183,3,FALSE)</f>
        <v>68333.38</v>
      </c>
      <c r="J109" s="1651">
        <v>42705</v>
      </c>
      <c r="K109" s="1651">
        <v>45627</v>
      </c>
      <c r="L109" s="1652"/>
      <c r="M109" s="1653">
        <f>-VLOOKUP(R109,[7]KH0010009_20170831_CRB_Output_!$D$156:$F$309,3,FALSE)</f>
        <v>568.33000000000004</v>
      </c>
      <c r="N109" s="1462"/>
      <c r="O109" s="1462"/>
      <c r="P109" s="1562" t="s">
        <v>1396</v>
      </c>
      <c r="R109" s="1514" t="s">
        <v>1369</v>
      </c>
    </row>
    <row r="110" spans="1:18" s="1377" customFormat="1" ht="24.75" customHeight="1">
      <c r="A110" s="1458">
        <v>102</v>
      </c>
      <c r="B110" s="1479" t="s">
        <v>1370</v>
      </c>
      <c r="C110" s="1459" t="s">
        <v>1375</v>
      </c>
      <c r="D110" s="1460">
        <v>0.08</v>
      </c>
      <c r="E110" s="1461">
        <v>50000</v>
      </c>
      <c r="F110" s="1461">
        <v>0</v>
      </c>
      <c r="G110" s="1461">
        <v>0</v>
      </c>
      <c r="H110" s="1461"/>
      <c r="I110" s="1650">
        <f>-VLOOKUP(R110,[6]KH0010009_20180228_CRB_Output_!$B$1:$D$183,3,FALSE)</f>
        <v>46778.27</v>
      </c>
      <c r="J110" s="1651">
        <v>42713</v>
      </c>
      <c r="K110" s="1651">
        <v>48192</v>
      </c>
      <c r="L110" s="1652"/>
      <c r="M110" s="1653">
        <f>-VLOOKUP(R110,[7]KH0010009_20170831_CRB_Output_!$D$156:$F$309,3,FALSE)</f>
        <v>233.02</v>
      </c>
      <c r="N110" s="1462"/>
      <c r="O110" s="1462"/>
      <c r="P110" s="1562" t="s">
        <v>1402</v>
      </c>
      <c r="R110" s="1514" t="s">
        <v>1370</v>
      </c>
    </row>
    <row r="111" spans="1:18" s="1377" customFormat="1" ht="24.75" customHeight="1">
      <c r="A111" s="1458">
        <v>103</v>
      </c>
      <c r="B111" s="1479" t="s">
        <v>1371</v>
      </c>
      <c r="C111" s="1459" t="s">
        <v>1376</v>
      </c>
      <c r="D111" s="1460">
        <v>0.09</v>
      </c>
      <c r="E111" s="1461">
        <v>35000</v>
      </c>
      <c r="F111" s="1461">
        <v>0</v>
      </c>
      <c r="G111" s="1461">
        <v>0</v>
      </c>
      <c r="H111" s="1461"/>
      <c r="I111" s="1650">
        <f>-VLOOKUP(R111,[6]KH0010009_20180228_CRB_Output_!$B$1:$D$183,3,FALSE)</f>
        <v>33503.199999999997</v>
      </c>
      <c r="J111" s="1651">
        <v>42719</v>
      </c>
      <c r="K111" s="1651">
        <v>48184</v>
      </c>
      <c r="L111" s="1652"/>
      <c r="M111" s="1653">
        <f>-VLOOKUP(R111,[7]KH0010009_20170831_CRB_Output_!$D$156:$F$309,3,FALSE)</f>
        <v>255.79</v>
      </c>
      <c r="N111" s="1462"/>
      <c r="O111" s="1462"/>
      <c r="P111" s="1562" t="s">
        <v>1408</v>
      </c>
      <c r="R111" s="1514" t="s">
        <v>1371</v>
      </c>
    </row>
    <row r="112" spans="1:18" s="1377" customFormat="1" ht="24.75" customHeight="1">
      <c r="A112" s="1458">
        <v>104</v>
      </c>
      <c r="B112" s="1479" t="s">
        <v>1372</v>
      </c>
      <c r="C112" s="1459" t="s">
        <v>1377</v>
      </c>
      <c r="D112" s="1460">
        <v>8.5000000000000006E-2</v>
      </c>
      <c r="E112" s="1461">
        <v>78000</v>
      </c>
      <c r="F112" s="1461">
        <v>0</v>
      </c>
      <c r="G112" s="1461">
        <v>0</v>
      </c>
      <c r="H112" s="1461"/>
      <c r="I112" s="1650">
        <f>-VLOOKUP(R112,[6]KH0010009_20180228_CRB_Output_!$B$1:$D$183,3,FALSE)</f>
        <v>74887.600000000006</v>
      </c>
      <c r="J112" s="1651">
        <v>42719</v>
      </c>
      <c r="K112" s="1651">
        <v>48197</v>
      </c>
      <c r="L112" s="1652"/>
      <c r="M112" s="1653">
        <f>-VLOOKUP(R112,[7]KH0010009_20170831_CRB_Output_!$D$156:$F$309,3,FALSE)</f>
        <v>306.02999999999997</v>
      </c>
      <c r="N112" s="1462"/>
      <c r="O112" s="1462"/>
      <c r="P112" s="1562" t="s">
        <v>1412</v>
      </c>
      <c r="R112" s="1514" t="s">
        <v>1372</v>
      </c>
    </row>
    <row r="113" spans="1:18" s="1377" customFormat="1" ht="24.75" customHeight="1">
      <c r="A113" s="1458">
        <v>105</v>
      </c>
      <c r="B113" s="1479" t="s">
        <v>1378</v>
      </c>
      <c r="C113" s="1459" t="s">
        <v>1379</v>
      </c>
      <c r="D113" s="1460">
        <v>0.08</v>
      </c>
      <c r="E113" s="1461">
        <v>36000</v>
      </c>
      <c r="F113" s="1461">
        <v>0</v>
      </c>
      <c r="G113" s="1461">
        <v>0</v>
      </c>
      <c r="H113" s="1461"/>
      <c r="I113" s="1650">
        <f>-VLOOKUP(R113,[6]KH0010009_20180228_CRB_Output_!$B$1:$D$183,3,FALSE)</f>
        <v>12059.39</v>
      </c>
      <c r="J113" s="1651">
        <v>42720</v>
      </c>
      <c r="K113" s="1651">
        <v>46361</v>
      </c>
      <c r="L113" s="1652"/>
      <c r="M113" s="1653">
        <f>-VLOOKUP(R113,[7]KH0010009_20170831_CRB_Output_!$D$156:$F$309,3,FALSE)</f>
        <v>84.94</v>
      </c>
      <c r="N113" s="1462"/>
      <c r="O113" s="1462"/>
      <c r="P113" s="1562" t="s">
        <v>1416</v>
      </c>
      <c r="R113" s="1514" t="s">
        <v>1378</v>
      </c>
    </row>
    <row r="114" spans="1:18" s="1377" customFormat="1" ht="24.75" customHeight="1">
      <c r="A114" s="1458">
        <v>106</v>
      </c>
      <c r="B114" s="1479" t="s">
        <v>1380</v>
      </c>
      <c r="C114" s="1459" t="s">
        <v>1381</v>
      </c>
      <c r="D114" s="1460">
        <v>0.1</v>
      </c>
      <c r="E114" s="1461">
        <v>22500</v>
      </c>
      <c r="F114" s="1461">
        <v>0</v>
      </c>
      <c r="G114" s="1461">
        <v>0</v>
      </c>
      <c r="H114" s="1461"/>
      <c r="I114" s="1650">
        <f>-VLOOKUP(R114,[6]KH0010009_20180228_CRB_Output_!$B$1:$D$183,3,FALSE)</f>
        <v>20242.599999999999</v>
      </c>
      <c r="J114" s="1651">
        <v>42724</v>
      </c>
      <c r="K114" s="1651">
        <v>45646</v>
      </c>
      <c r="L114" s="1652"/>
      <c r="M114" s="1653">
        <f>-VLOOKUP(R114,[7]KH0010009_20170831_CRB_Output_!$D$156:$F$309,3,FALSE)</f>
        <v>70.790000000000006</v>
      </c>
      <c r="N114" s="1462"/>
      <c r="O114" s="1462"/>
      <c r="P114" s="1562" t="s">
        <v>1424</v>
      </c>
      <c r="R114" s="1514" t="s">
        <v>1380</v>
      </c>
    </row>
    <row r="115" spans="1:18" s="1377" customFormat="1" ht="24.75" customHeight="1">
      <c r="A115" s="1458">
        <v>107</v>
      </c>
      <c r="B115" s="1479" t="s">
        <v>1382</v>
      </c>
      <c r="C115" s="1459" t="s">
        <v>1383</v>
      </c>
      <c r="D115" s="1460">
        <v>8.5000000000000006E-2</v>
      </c>
      <c r="E115" s="1461">
        <v>32600</v>
      </c>
      <c r="F115" s="1461">
        <v>0</v>
      </c>
      <c r="G115" s="1461">
        <v>0</v>
      </c>
      <c r="H115" s="1461"/>
      <c r="I115" s="1650">
        <f>-VLOOKUP(R115,[6]KH0010009_20180228_CRB_Output_!$B$1:$D$183,3,FALSE)</f>
        <v>29129.16</v>
      </c>
      <c r="J115" s="1651">
        <v>42724</v>
      </c>
      <c r="K115" s="1651">
        <v>45646</v>
      </c>
      <c r="L115" s="1652"/>
      <c r="M115" s="1653">
        <f>-VLOOKUP(R115,[7]KH0010009_20170831_CRB_Output_!$D$156:$F$309,3,FALSE)</f>
        <v>86.85</v>
      </c>
      <c r="N115" s="1462"/>
      <c r="O115" s="1462"/>
      <c r="P115" s="1562" t="s">
        <v>1429</v>
      </c>
      <c r="R115" s="1514" t="s">
        <v>1382</v>
      </c>
    </row>
    <row r="116" spans="1:18" s="1377" customFormat="1" ht="24.75" customHeight="1">
      <c r="A116" s="1458">
        <v>108</v>
      </c>
      <c r="B116" s="1479" t="s">
        <v>1384</v>
      </c>
      <c r="C116" s="1459" t="s">
        <v>1385</v>
      </c>
      <c r="D116" s="1460">
        <v>8.5000000000000006E-2</v>
      </c>
      <c r="E116" s="1461">
        <v>80000</v>
      </c>
      <c r="F116" s="1461">
        <v>0</v>
      </c>
      <c r="G116" s="1461">
        <v>0</v>
      </c>
      <c r="H116" s="1461"/>
      <c r="I116" s="1650">
        <f>-VLOOKUP(R116,[6]KH0010009_20180228_CRB_Output_!$B$1:$D$183,3,FALSE)</f>
        <v>77174.429999999993</v>
      </c>
      <c r="J116" s="1651">
        <v>42725</v>
      </c>
      <c r="K116" s="1651">
        <v>11689</v>
      </c>
      <c r="L116" s="1652"/>
      <c r="M116" s="1653">
        <f>-VLOOKUP(R116,[7]KH0010009_20170831_CRB_Output_!$D$156:$F$309,3,FALSE)</f>
        <v>575.20000000000005</v>
      </c>
      <c r="N116" s="1462"/>
      <c r="O116" s="1462"/>
      <c r="P116" s="1562" t="s">
        <v>1434</v>
      </c>
      <c r="R116" s="1514" t="s">
        <v>1384</v>
      </c>
    </row>
    <row r="117" spans="1:18" s="1377" customFormat="1" ht="24.75" customHeight="1">
      <c r="A117" s="1458">
        <v>109</v>
      </c>
      <c r="B117" s="1479" t="s">
        <v>1390</v>
      </c>
      <c r="C117" s="1459" t="s">
        <v>1387</v>
      </c>
      <c r="D117" s="1460">
        <v>0.08</v>
      </c>
      <c r="E117" s="1461">
        <v>200000</v>
      </c>
      <c r="F117" s="1461">
        <v>0</v>
      </c>
      <c r="G117" s="1461">
        <v>0</v>
      </c>
      <c r="H117" s="1461"/>
      <c r="I117" s="1650">
        <f>-VLOOKUP(R117,[6]KH0010009_20180228_CRB_Output_!$B$1:$D$183,3,FALSE)</f>
        <v>185471.02</v>
      </c>
      <c r="J117" s="1651">
        <v>42732</v>
      </c>
      <c r="K117" s="1651">
        <v>46388</v>
      </c>
      <c r="L117" s="1652"/>
      <c r="M117" s="1653">
        <f>-VLOOKUP(R117,[7]KH0010009_20170831_CRB_Output_!$D$156:$F$309,3,FALSE)</f>
        <v>1325.18</v>
      </c>
      <c r="N117" s="1462"/>
      <c r="O117" s="1462"/>
      <c r="P117" s="1562" t="s">
        <v>1441</v>
      </c>
      <c r="R117" s="1514" t="s">
        <v>1055</v>
      </c>
    </row>
    <row r="118" spans="1:18" s="1377" customFormat="1" ht="24.75" customHeight="1">
      <c r="A118" s="1458">
        <v>110</v>
      </c>
      <c r="B118" s="1479" t="s">
        <v>1388</v>
      </c>
      <c r="C118" s="1459" t="s">
        <v>1389</v>
      </c>
      <c r="D118" s="1460">
        <v>0.1</v>
      </c>
      <c r="E118" s="1461">
        <v>29000</v>
      </c>
      <c r="F118" s="1461">
        <v>0</v>
      </c>
      <c r="G118" s="1461">
        <v>0</v>
      </c>
      <c r="H118" s="1461"/>
      <c r="I118" s="1650">
        <f>-VLOOKUP(R118,[6]KH0010009_20180228_CRB_Output_!$B$1:$D$183,3,FALSE)</f>
        <v>25808</v>
      </c>
      <c r="J118" s="1651">
        <v>42734</v>
      </c>
      <c r="K118" s="1651">
        <v>11693</v>
      </c>
      <c r="L118" s="1652"/>
      <c r="M118" s="1653">
        <f>-VLOOKUP(R118,[7]KH0010009_20170831_CRB_Output_!$D$156:$F$309,3,FALSE)</f>
        <v>209</v>
      </c>
      <c r="N118" s="1462"/>
      <c r="O118" s="1462"/>
      <c r="P118" s="1562" t="s">
        <v>1438</v>
      </c>
      <c r="R118" s="1514" t="s">
        <v>1388</v>
      </c>
    </row>
    <row r="119" spans="1:18" s="1377" customFormat="1" ht="24.75" customHeight="1">
      <c r="A119" s="1458">
        <v>111</v>
      </c>
      <c r="B119" s="1479" t="s">
        <v>1470</v>
      </c>
      <c r="C119" s="1459" t="s">
        <v>1451</v>
      </c>
      <c r="D119" s="1460">
        <v>4.2500000000000003E-2</v>
      </c>
      <c r="E119" s="1461">
        <v>10000</v>
      </c>
      <c r="F119" s="1461">
        <v>0</v>
      </c>
      <c r="G119" s="1461">
        <v>0</v>
      </c>
      <c r="H119" s="1461"/>
      <c r="I119" s="1650">
        <f>-VLOOKUP(R119,[6]KH0010009_20180228_CRB_Output_!$B$1:$D$183,3,FALSE)</f>
        <v>43624.14</v>
      </c>
      <c r="J119" s="1651">
        <v>42738</v>
      </c>
      <c r="K119" s="1651">
        <v>11713</v>
      </c>
      <c r="L119" s="1652"/>
      <c r="M119" s="1653">
        <v>7.99</v>
      </c>
      <c r="N119" s="1462"/>
      <c r="O119" s="1462"/>
      <c r="P119" s="1562" t="s">
        <v>1452</v>
      </c>
      <c r="R119" s="1514" t="s">
        <v>936</v>
      </c>
    </row>
    <row r="120" spans="1:18" s="1377" customFormat="1" ht="24.75" customHeight="1">
      <c r="A120" s="1458">
        <v>112</v>
      </c>
      <c r="B120" s="1479" t="s">
        <v>1453</v>
      </c>
      <c r="C120" s="1459" t="s">
        <v>1454</v>
      </c>
      <c r="D120" s="1460">
        <v>0.1</v>
      </c>
      <c r="E120" s="1461">
        <v>25000</v>
      </c>
      <c r="F120" s="1461">
        <v>0</v>
      </c>
      <c r="G120" s="1461">
        <v>0</v>
      </c>
      <c r="H120" s="1461"/>
      <c r="I120" s="1650">
        <f>-VLOOKUP(R120,[6]KH0010009_20180228_CRB_Output_!$B$1:$D$183,3,FALSE)</f>
        <v>20823.669999999998</v>
      </c>
      <c r="J120" s="1651">
        <v>42740</v>
      </c>
      <c r="K120" s="1651">
        <v>46392</v>
      </c>
      <c r="L120" s="1652"/>
      <c r="M120" s="1653">
        <f>-VLOOKUP(R120,[7]KH0010009_20170831_CRB_Output_!$D$156:$F$309,3,FALSE)</f>
        <v>180.93</v>
      </c>
      <c r="N120" s="1462"/>
      <c r="O120" s="1462"/>
      <c r="P120" s="1562" t="s">
        <v>1455</v>
      </c>
      <c r="R120" s="1514" t="s">
        <v>1453</v>
      </c>
    </row>
    <row r="121" spans="1:18" s="1377" customFormat="1" ht="24.75" customHeight="1">
      <c r="A121" s="1458">
        <v>113</v>
      </c>
      <c r="B121" s="1479" t="s">
        <v>1472</v>
      </c>
      <c r="C121" s="1459" t="s">
        <v>1456</v>
      </c>
      <c r="D121" s="1460">
        <v>0.1</v>
      </c>
      <c r="E121" s="1461">
        <v>40000</v>
      </c>
      <c r="F121" s="1461">
        <v>0</v>
      </c>
      <c r="G121" s="1461">
        <v>0</v>
      </c>
      <c r="H121" s="1461"/>
      <c r="I121" s="1650">
        <f>-VLOOKUP(R121,[6]KH0010009_20180228_CRB_Output_!$B$1:$D$183,3,FALSE)</f>
        <v>81912.09</v>
      </c>
      <c r="J121" s="1651">
        <v>42741</v>
      </c>
      <c r="K121" s="1651">
        <v>46028</v>
      </c>
      <c r="L121" s="1652"/>
      <c r="M121" s="1653">
        <v>276.98</v>
      </c>
      <c r="N121" s="1462"/>
      <c r="O121" s="1462"/>
      <c r="P121" s="1562" t="s">
        <v>1463</v>
      </c>
      <c r="R121" s="1514" t="s">
        <v>756</v>
      </c>
    </row>
    <row r="122" spans="1:18" s="1377" customFormat="1" ht="24.75" customHeight="1">
      <c r="A122" s="1458">
        <v>114</v>
      </c>
      <c r="B122" s="1479" t="s">
        <v>1460</v>
      </c>
      <c r="C122" s="1459" t="s">
        <v>1457</v>
      </c>
      <c r="D122" s="1460">
        <v>0.1</v>
      </c>
      <c r="E122" s="1461">
        <v>30000</v>
      </c>
      <c r="F122" s="1461">
        <v>0</v>
      </c>
      <c r="G122" s="1461">
        <v>0</v>
      </c>
      <c r="H122" s="1461"/>
      <c r="I122" s="1650">
        <f>-VLOOKUP(R122,[6]KH0010009_20180228_CRB_Output_!$B$1:$D$183,3,FALSE)</f>
        <v>29025.71</v>
      </c>
      <c r="J122" s="1651">
        <v>42747</v>
      </c>
      <c r="K122" s="1651">
        <v>11700</v>
      </c>
      <c r="L122" s="1652"/>
      <c r="M122" s="1653">
        <f>-VLOOKUP(R122,[7]KH0010009_20170831_CRB_Output_!$D$156:$F$309,3,FALSE)</f>
        <v>163.77000000000001</v>
      </c>
      <c r="N122" s="1462"/>
      <c r="O122" s="1462"/>
      <c r="P122" s="1562" t="s">
        <v>1464</v>
      </c>
      <c r="R122" s="1514" t="s">
        <v>1460</v>
      </c>
    </row>
    <row r="123" spans="1:18" s="1377" customFormat="1" ht="24.75" customHeight="1">
      <c r="A123" s="1458">
        <v>115</v>
      </c>
      <c r="B123" s="1479" t="s">
        <v>1461</v>
      </c>
      <c r="C123" s="1459" t="s">
        <v>1458</v>
      </c>
      <c r="D123" s="1460">
        <v>0.1</v>
      </c>
      <c r="E123" s="1461">
        <v>20000</v>
      </c>
      <c r="F123" s="1461">
        <v>0</v>
      </c>
      <c r="G123" s="1461">
        <v>0</v>
      </c>
      <c r="H123" s="1461"/>
      <c r="I123" s="1650">
        <f>-VLOOKUP(R123,[6]KH0010009_20180228_CRB_Output_!$B$1:$D$183,3,FALSE)</f>
        <v>16482.12</v>
      </c>
      <c r="J123" s="1651">
        <v>42748</v>
      </c>
      <c r="K123" s="1651">
        <v>11701</v>
      </c>
      <c r="L123" s="1652"/>
      <c r="M123" s="1653">
        <f>-VLOOKUP(R123,[7]KH0010009_20170831_CRB_Output_!$D$156:$F$309,3,FALSE)</f>
        <v>95.78</v>
      </c>
      <c r="N123" s="1462"/>
      <c r="O123" s="1462"/>
      <c r="P123" s="1562" t="s">
        <v>1465</v>
      </c>
      <c r="R123" s="1514" t="s">
        <v>1468</v>
      </c>
    </row>
    <row r="124" spans="1:18" s="1377" customFormat="1" ht="24.75" customHeight="1">
      <c r="A124" s="1458">
        <v>116</v>
      </c>
      <c r="B124" s="1479" t="s">
        <v>1462</v>
      </c>
      <c r="C124" s="1459" t="s">
        <v>1459</v>
      </c>
      <c r="D124" s="1460">
        <v>0.08</v>
      </c>
      <c r="E124" s="1461">
        <v>50000</v>
      </c>
      <c r="F124" s="1461">
        <v>0</v>
      </c>
      <c r="G124" s="1461">
        <v>0</v>
      </c>
      <c r="H124" s="1461"/>
      <c r="I124" s="1650">
        <f>-VLOOKUP(R124,[6]KH0010009_20180228_CRB_Output_!$B$1:$D$183,3,FALSE)</f>
        <v>48067.32</v>
      </c>
      <c r="J124" s="1651">
        <v>42752</v>
      </c>
      <c r="K124" s="1651">
        <v>11705</v>
      </c>
      <c r="L124" s="1652"/>
      <c r="M124" s="1653">
        <f>-VLOOKUP(R124,[7]KH0010009_20170831_CRB_Output_!$D$156:$F$309,3,FALSE)</f>
        <v>163.22</v>
      </c>
      <c r="N124" s="1462"/>
      <c r="O124" s="1462"/>
      <c r="P124" s="1562" t="s">
        <v>1466</v>
      </c>
      <c r="R124" s="1514" t="s">
        <v>1462</v>
      </c>
    </row>
    <row r="125" spans="1:18" s="1377" customFormat="1" ht="24.75" customHeight="1">
      <c r="A125" s="1458">
        <v>117</v>
      </c>
      <c r="B125" s="1479" t="s">
        <v>1496</v>
      </c>
      <c r="C125" s="1459" t="s">
        <v>1497</v>
      </c>
      <c r="D125" s="1460">
        <v>2.75E-2</v>
      </c>
      <c r="E125" s="1461">
        <v>41500</v>
      </c>
      <c r="F125" s="1461">
        <v>0</v>
      </c>
      <c r="G125" s="1461">
        <v>0</v>
      </c>
      <c r="H125" s="1461"/>
      <c r="I125" s="1650">
        <f>-VLOOKUP(R125,[6]KH0010009_20180228_CRB_Output_!$B$1:$D$183,3,FALSE)</f>
        <v>39784.25</v>
      </c>
      <c r="J125" s="1651">
        <v>42772</v>
      </c>
      <c r="K125" s="1651">
        <v>13571</v>
      </c>
      <c r="L125" s="1652"/>
      <c r="M125" s="1653">
        <f>-VLOOKUP(R125,[7]KH0010009_20170831_CRB_Output_!$D$156:$F$309,3,FALSE)</f>
        <v>21.68</v>
      </c>
      <c r="N125" s="1462"/>
      <c r="O125" s="1462"/>
      <c r="P125" s="1562" t="s">
        <v>1498</v>
      </c>
      <c r="R125" s="1514" t="s">
        <v>1496</v>
      </c>
    </row>
    <row r="126" spans="1:18" s="1377" customFormat="1" ht="24.75" customHeight="1">
      <c r="A126" s="1458">
        <v>118</v>
      </c>
      <c r="B126" s="1479" t="s">
        <v>1499</v>
      </c>
      <c r="C126" s="1459" t="s">
        <v>1500</v>
      </c>
      <c r="D126" s="1460">
        <v>0.1</v>
      </c>
      <c r="E126" s="1461">
        <v>29000</v>
      </c>
      <c r="F126" s="1461">
        <v>0</v>
      </c>
      <c r="G126" s="1461">
        <v>0</v>
      </c>
      <c r="H126" s="1461"/>
      <c r="I126" s="1650">
        <f>-VLOOKUP(R126,[6]KH0010009_20180228_CRB_Output_!$B$1:$D$183,3,FALSE)</f>
        <v>28130.19</v>
      </c>
      <c r="J126" s="1651">
        <v>42780</v>
      </c>
      <c r="K126" s="1651">
        <v>48258</v>
      </c>
      <c r="L126" s="1652"/>
      <c r="M126" s="1653">
        <f>-VLOOKUP(R126,[7]KH0010009_20170831_CRB_Output_!$D$156:$F$309,3,FALSE)</f>
        <v>142.82</v>
      </c>
      <c r="N126" s="1462"/>
      <c r="O126" s="1462"/>
      <c r="P126" s="1562" t="s">
        <v>1501</v>
      </c>
      <c r="R126" s="1514" t="s">
        <v>1499</v>
      </c>
    </row>
    <row r="127" spans="1:18" s="1377" customFormat="1" ht="24.75" customHeight="1">
      <c r="A127" s="1458">
        <v>119</v>
      </c>
      <c r="B127" s="1479" t="s">
        <v>1502</v>
      </c>
      <c r="C127" s="1459" t="s">
        <v>1503</v>
      </c>
      <c r="D127" s="1460">
        <v>0.1</v>
      </c>
      <c r="E127" s="1461">
        <v>50000</v>
      </c>
      <c r="F127" s="1461">
        <v>0</v>
      </c>
      <c r="G127" s="1461">
        <v>0</v>
      </c>
      <c r="H127" s="1461"/>
      <c r="I127" s="1650">
        <f>-VLOOKUP(R127,[6]KH0010009_20180228_CRB_Output_!$B$1:$D$183,3,FALSE)</f>
        <v>48500.27</v>
      </c>
      <c r="J127" s="1651">
        <v>42782</v>
      </c>
      <c r="K127" s="1651">
        <v>48260</v>
      </c>
      <c r="L127" s="1652"/>
      <c r="M127" s="1653">
        <f>-VLOOKUP(R127,[7]KH0010009_20170831_CRB_Output_!$D$156:$F$309,3,FALSE)</f>
        <v>218.88</v>
      </c>
      <c r="N127" s="1462"/>
      <c r="O127" s="1462"/>
      <c r="P127" s="1562" t="s">
        <v>1504</v>
      </c>
      <c r="R127" s="1514" t="s">
        <v>1502</v>
      </c>
    </row>
    <row r="128" spans="1:18" s="1377" customFormat="1" ht="24.75" customHeight="1">
      <c r="A128" s="1458">
        <v>120</v>
      </c>
      <c r="B128" s="1479" t="s">
        <v>1505</v>
      </c>
      <c r="C128" s="1459" t="s">
        <v>1506</v>
      </c>
      <c r="D128" s="1460">
        <v>0.1</v>
      </c>
      <c r="E128" s="1461">
        <v>30000</v>
      </c>
      <c r="F128" s="1461">
        <v>0</v>
      </c>
      <c r="G128" s="1461">
        <v>0</v>
      </c>
      <c r="H128" s="1461"/>
      <c r="I128" s="1650">
        <f>-VLOOKUP(R128,[6]KH0010009_20180228_CRB_Output_!$B$1:$D$183,3,FALSE)</f>
        <v>25314.93</v>
      </c>
      <c r="J128" s="1651">
        <v>42781</v>
      </c>
      <c r="K128" s="1651">
        <v>44607</v>
      </c>
      <c r="L128" s="1652"/>
      <c r="M128" s="1653">
        <f>-VLOOKUP(R128,[7]KH0010009_20170831_CRB_Output_!$D$156:$F$309,3,FALSE)</f>
        <v>131.31</v>
      </c>
      <c r="N128" s="1462"/>
      <c r="O128" s="1462"/>
      <c r="P128" s="1562" t="s">
        <v>1507</v>
      </c>
      <c r="R128" s="1514" t="s">
        <v>1505</v>
      </c>
    </row>
    <row r="129" spans="1:18" s="1377" customFormat="1" ht="24.75" customHeight="1">
      <c r="A129" s="1458">
        <v>121</v>
      </c>
      <c r="B129" s="1608" t="s">
        <v>1543</v>
      </c>
      <c r="C129" s="1609" t="s">
        <v>1544</v>
      </c>
      <c r="D129" s="1610">
        <v>0.12</v>
      </c>
      <c r="E129" s="1611">
        <v>50000</v>
      </c>
      <c r="F129" s="1611"/>
      <c r="G129" s="1611"/>
      <c r="H129" s="1611"/>
      <c r="I129" s="1650">
        <f>-VLOOKUP(R129,[6]KH0010009_20180228_CRB_Output_!$B$1:$D$183,3,FALSE)</f>
        <v>20745.439999999999</v>
      </c>
      <c r="J129" s="1654">
        <v>42611</v>
      </c>
      <c r="K129" s="1654">
        <v>44437</v>
      </c>
      <c r="L129" s="1655"/>
      <c r="M129" s="1653">
        <f>-VLOOKUP(R129,[7]KH0010009_20170831_CRB_Output_!$D$156:$F$309,3,FALSE)</f>
        <v>27.68</v>
      </c>
      <c r="N129" s="1612"/>
      <c r="O129" s="1612"/>
      <c r="P129" s="1562" t="s">
        <v>1548</v>
      </c>
      <c r="R129" s="450" t="s">
        <v>1543</v>
      </c>
    </row>
    <row r="130" spans="1:18" s="1377" customFormat="1" ht="24.75" customHeight="1">
      <c r="A130" s="1458">
        <v>123</v>
      </c>
      <c r="B130" s="1608" t="s">
        <v>1524</v>
      </c>
      <c r="C130" s="1609" t="s">
        <v>1525</v>
      </c>
      <c r="D130" s="1610">
        <v>2.75E-2</v>
      </c>
      <c r="E130" s="1611">
        <v>28900</v>
      </c>
      <c r="F130" s="1611"/>
      <c r="G130" s="1611"/>
      <c r="H130" s="1611"/>
      <c r="I130" s="1650">
        <f>-VLOOKUP(R130,[6]KH0010009_20180228_CRB_Output_!$B$1:$D$183,3,FALSE)</f>
        <v>26994.52</v>
      </c>
      <c r="J130" s="1654">
        <v>42797</v>
      </c>
      <c r="K130" s="1654">
        <v>11773</v>
      </c>
      <c r="L130" s="1655"/>
      <c r="M130" s="1653">
        <f>-VLOOKUP(R130,[7]KH0010009_20170831_CRB_Output_!$D$156:$F$309,3,FALSE)</f>
        <v>23.1</v>
      </c>
      <c r="N130" s="1612"/>
      <c r="O130" s="1612"/>
      <c r="P130" s="1562" t="s">
        <v>1536</v>
      </c>
      <c r="R130" s="450" t="s">
        <v>1534</v>
      </c>
    </row>
    <row r="131" spans="1:18" s="1377" customFormat="1" ht="24.75" customHeight="1">
      <c r="A131" s="1458">
        <v>124</v>
      </c>
      <c r="B131" s="1608" t="s">
        <v>1526</v>
      </c>
      <c r="C131" s="1609" t="s">
        <v>1527</v>
      </c>
      <c r="D131" s="1610">
        <v>0.1</v>
      </c>
      <c r="E131" s="1611">
        <v>28800</v>
      </c>
      <c r="F131" s="1611"/>
      <c r="G131" s="1611"/>
      <c r="H131" s="1611"/>
      <c r="I131" s="1650">
        <f>-VLOOKUP(R131,[6]KH0010009_20180228_CRB_Output_!$B$1:$D$183,3,FALSE)</f>
        <v>27216.44</v>
      </c>
      <c r="J131" s="1654">
        <v>42807</v>
      </c>
      <c r="K131" s="1654">
        <v>46459</v>
      </c>
      <c r="L131" s="1655"/>
      <c r="M131" s="1653">
        <f>-VLOOKUP(R131,[7]KH0010009_20170831_CRB_Output_!$D$156:$F$309,3,FALSE)</f>
        <v>148.29</v>
      </c>
      <c r="N131" s="1612"/>
      <c r="O131" s="1612"/>
      <c r="P131" s="1562" t="s">
        <v>1537</v>
      </c>
      <c r="R131" s="450" t="s">
        <v>1526</v>
      </c>
    </row>
    <row r="132" spans="1:18" s="1377" customFormat="1" ht="24.75" customHeight="1">
      <c r="A132" s="1458">
        <v>125</v>
      </c>
      <c r="B132" s="1608" t="s">
        <v>1545</v>
      </c>
      <c r="C132" s="1609" t="s">
        <v>1546</v>
      </c>
      <c r="D132" s="1610">
        <v>0.08</v>
      </c>
      <c r="E132" s="1611">
        <v>4000</v>
      </c>
      <c r="F132" s="1611"/>
      <c r="G132" s="1611"/>
      <c r="H132" s="1611"/>
      <c r="I132" s="1650">
        <f>-VLOOKUP(R132,[6]KH0010009_20180228_CRB_Output_!$B$1:$D$183,3,FALSE)</f>
        <v>2846.35</v>
      </c>
      <c r="J132" s="1654">
        <v>42815</v>
      </c>
      <c r="K132" s="1654">
        <v>43915</v>
      </c>
      <c r="L132" s="1655"/>
      <c r="M132" s="1653">
        <f>-VLOOKUP(R132,[7]KH0010009_20170831_CRB_Output_!$D$156:$F$309,3,FALSE)</f>
        <v>3.89</v>
      </c>
      <c r="N132" s="1612"/>
      <c r="O132" s="1612"/>
      <c r="P132" s="1562" t="s">
        <v>1547</v>
      </c>
      <c r="R132" s="450" t="s">
        <v>1545</v>
      </c>
    </row>
    <row r="133" spans="1:18" s="1377" customFormat="1" ht="24.75" customHeight="1">
      <c r="A133" s="1458">
        <v>126</v>
      </c>
      <c r="B133" s="1608" t="s">
        <v>1528</v>
      </c>
      <c r="C133" s="1609" t="s">
        <v>1529</v>
      </c>
      <c r="D133" s="1610">
        <v>7.4999999999999997E-2</v>
      </c>
      <c r="E133" s="1611">
        <v>50000</v>
      </c>
      <c r="F133" s="1611"/>
      <c r="G133" s="1611"/>
      <c r="H133" s="1611"/>
      <c r="I133" s="1650">
        <f>-VLOOKUP(R133,[6]KH0010009_20180228_CRB_Output_!$B$1:$D$183,3,FALSE)</f>
        <v>45416.74</v>
      </c>
      <c r="J133" s="1654">
        <v>42821</v>
      </c>
      <c r="K133" s="1654">
        <v>46473</v>
      </c>
      <c r="L133" s="1655"/>
      <c r="M133" s="1653">
        <f>-VLOOKUP(R133,[7]KH0010009_20170831_CRB_Output_!$D$156:$F$309,3,FALSE)</f>
        <v>49.91</v>
      </c>
      <c r="N133" s="1612"/>
      <c r="O133" s="1612"/>
      <c r="P133" s="1562" t="s">
        <v>1538</v>
      </c>
      <c r="R133" s="450" t="s">
        <v>1535</v>
      </c>
    </row>
    <row r="134" spans="1:18" s="1377" customFormat="1" ht="24.75" customHeight="1">
      <c r="A134" s="1458">
        <v>127</v>
      </c>
      <c r="B134" s="1608" t="s">
        <v>1530</v>
      </c>
      <c r="C134" s="1609" t="s">
        <v>1531</v>
      </c>
      <c r="D134" s="1610">
        <v>7.4999999999999997E-2</v>
      </c>
      <c r="E134" s="1611">
        <v>40000</v>
      </c>
      <c r="F134" s="1611"/>
      <c r="G134" s="1611"/>
      <c r="H134" s="1611"/>
      <c r="I134" s="1650">
        <f>-VLOOKUP(R134,[6]KH0010009_20180228_CRB_Output_!$B$1:$D$183,3,FALSE)</f>
        <v>36333.370000000003</v>
      </c>
      <c r="J134" s="1654">
        <v>42822</v>
      </c>
      <c r="K134" s="1654">
        <v>46474</v>
      </c>
      <c r="L134" s="1655"/>
      <c r="M134" s="1653">
        <f>-VLOOKUP(R134,[7]KH0010009_20170831_CRB_Output_!$D$156:$F$309,3,FALSE)</f>
        <v>31.94</v>
      </c>
      <c r="N134" s="1612"/>
      <c r="O134" s="1612"/>
      <c r="P134" s="1562" t="s">
        <v>1539</v>
      </c>
      <c r="R134" s="450" t="s">
        <v>1530</v>
      </c>
    </row>
    <row r="135" spans="1:18" s="1377" customFormat="1" ht="24.75" customHeight="1">
      <c r="A135" s="1458">
        <v>128</v>
      </c>
      <c r="B135" s="1608" t="s">
        <v>1532</v>
      </c>
      <c r="C135" s="1609" t="s">
        <v>1533</v>
      </c>
      <c r="D135" s="1610">
        <v>2.75E-2</v>
      </c>
      <c r="E135" s="1611">
        <v>43000</v>
      </c>
      <c r="F135" s="1611"/>
      <c r="G135" s="1611"/>
      <c r="H135" s="1611"/>
      <c r="I135" s="1650">
        <f>-VLOOKUP(R135,[6]KH0010009_20180228_CRB_Output_!$B$1:$D$183,3,FALSE)</f>
        <v>41508.51</v>
      </c>
      <c r="J135" s="1654">
        <v>42823</v>
      </c>
      <c r="K135" s="1654">
        <v>13234</v>
      </c>
      <c r="L135" s="1655"/>
      <c r="M135" s="1653">
        <f>-VLOOKUP(R135,[7]KH0010009_20170831_CRB_Output_!$D$156:$F$309,3,FALSE)</f>
        <v>22.65</v>
      </c>
      <c r="N135" s="1612"/>
      <c r="O135" s="1612"/>
      <c r="P135" s="1562" t="s">
        <v>1540</v>
      </c>
      <c r="R135" s="450" t="s">
        <v>1532</v>
      </c>
    </row>
    <row r="136" spans="1:18" s="1377" customFormat="1" ht="24.75" customHeight="1">
      <c r="A136" s="1458">
        <v>129</v>
      </c>
      <c r="B136" s="1608" t="s">
        <v>1583</v>
      </c>
      <c r="C136" s="1609" t="s">
        <v>1586</v>
      </c>
      <c r="D136" s="1610">
        <v>7.4999999999999997E-2</v>
      </c>
      <c r="E136" s="1611">
        <v>115000</v>
      </c>
      <c r="F136" s="1611"/>
      <c r="G136" s="1611"/>
      <c r="H136" s="1611"/>
      <c r="I136" s="1650">
        <f>-VLOOKUP(R136,[6]KH0010009_20180228_CRB_Output_!$B$1:$D$183,3,FALSE)</f>
        <v>111498.36</v>
      </c>
      <c r="J136" s="1654">
        <v>42831</v>
      </c>
      <c r="K136" s="1654">
        <v>11785</v>
      </c>
      <c r="L136" s="1655"/>
      <c r="M136" s="1653">
        <f>-VLOOKUP(R136,[7]KH0010009_20170831_CRB_Output_!$D$156:$F$309,3,FALSE)</f>
        <v>615.41999999999996</v>
      </c>
      <c r="N136" s="1612"/>
      <c r="O136" s="1612"/>
      <c r="P136" s="1562" t="s">
        <v>1590</v>
      </c>
      <c r="R136" s="450" t="s">
        <v>1583</v>
      </c>
    </row>
    <row r="137" spans="1:18" s="1377" customFormat="1" ht="24.75" customHeight="1">
      <c r="A137" s="1458">
        <v>130</v>
      </c>
      <c r="B137" s="1608" t="s">
        <v>1584</v>
      </c>
      <c r="C137" s="1609" t="s">
        <v>1587</v>
      </c>
      <c r="D137" s="1610">
        <v>7.4999999999999997E-2</v>
      </c>
      <c r="E137" s="1611">
        <v>60000</v>
      </c>
      <c r="F137" s="1611"/>
      <c r="G137" s="1611"/>
      <c r="H137" s="1611"/>
      <c r="I137" s="1650">
        <f>-VLOOKUP(R137,[6]KH0010009_20180228_CRB_Output_!$B$1:$D$183,3,FALSE)</f>
        <v>58126.91</v>
      </c>
      <c r="J137" s="1654">
        <v>42844</v>
      </c>
      <c r="K137" s="1654">
        <v>11798</v>
      </c>
      <c r="L137" s="1655"/>
      <c r="M137" s="1653">
        <f>-VLOOKUP(R137,[7]KH0010009_20170831_CRB_Output_!$D$156:$F$309,3,FALSE)</f>
        <v>160.41999999999999</v>
      </c>
      <c r="N137" s="1612"/>
      <c r="O137" s="1612"/>
      <c r="P137" s="1562" t="s">
        <v>1591</v>
      </c>
      <c r="R137" s="450" t="s">
        <v>1592</v>
      </c>
    </row>
    <row r="138" spans="1:18" s="1377" customFormat="1" ht="24.75" customHeight="1">
      <c r="A138" s="1458">
        <v>131</v>
      </c>
      <c r="B138" s="1608" t="s">
        <v>1585</v>
      </c>
      <c r="C138" s="1609" t="s">
        <v>1588</v>
      </c>
      <c r="D138" s="1610">
        <v>9.5000000000000001E-2</v>
      </c>
      <c r="E138" s="1611">
        <v>50000</v>
      </c>
      <c r="F138" s="1611"/>
      <c r="G138" s="1611"/>
      <c r="H138" s="1611"/>
      <c r="I138" s="1650">
        <f>-VLOOKUP(R138,[6]KH0010009_20180228_CRB_Output_!$B$1:$D$183,3,FALSE)</f>
        <v>47427.87</v>
      </c>
      <c r="J138" s="1654">
        <v>42845</v>
      </c>
      <c r="K138" s="1654">
        <v>46497</v>
      </c>
      <c r="L138" s="1655"/>
      <c r="M138" s="1653">
        <f>-VLOOKUP(R138,[7]KH0010009_20170831_CRB_Output_!$D$156:$F$309,3,FALSE)</f>
        <v>155.12</v>
      </c>
      <c r="N138" s="1612"/>
      <c r="O138" s="1612"/>
      <c r="P138" s="1562" t="s">
        <v>1589</v>
      </c>
      <c r="R138" s="450" t="s">
        <v>1585</v>
      </c>
    </row>
    <row r="139" spans="1:18" s="1377" customFormat="1" ht="24.75" customHeight="1">
      <c r="A139" s="1458">
        <v>132</v>
      </c>
      <c r="B139" s="1608" t="s">
        <v>1611</v>
      </c>
      <c r="C139" s="1609" t="s">
        <v>1615</v>
      </c>
      <c r="D139" s="1632">
        <v>7.4999999999999997E-2</v>
      </c>
      <c r="E139" s="1633">
        <v>30000</v>
      </c>
      <c r="F139" s="1611"/>
      <c r="G139" s="1611"/>
      <c r="H139" s="1611"/>
      <c r="I139" s="1650">
        <f>-VLOOKUP(R139,[6]KH0010009_20180228_CRB_Output_!$B$1:$D$183,3,FALSE)</f>
        <v>27500.07</v>
      </c>
      <c r="J139" s="1656">
        <v>42860</v>
      </c>
      <c r="K139" s="1656">
        <v>46147</v>
      </c>
      <c r="L139" s="1655"/>
      <c r="M139" s="1653">
        <f>-VLOOKUP(R139,[7]KH0010009_20170831_CRB_Output_!$D$156:$F$309,3,FALSE)</f>
        <v>164.06</v>
      </c>
      <c r="N139" s="1634"/>
      <c r="O139" s="1634"/>
      <c r="P139" s="1635" t="s">
        <v>1621</v>
      </c>
      <c r="R139" s="1636" t="s">
        <v>1611</v>
      </c>
    </row>
    <row r="140" spans="1:18" s="1377" customFormat="1" ht="24.75" customHeight="1">
      <c r="A140" s="1458">
        <v>133</v>
      </c>
      <c r="B140" s="1608" t="s">
        <v>1612</v>
      </c>
      <c r="C140" s="1609" t="s">
        <v>1616</v>
      </c>
      <c r="D140" s="1632">
        <v>9.5000000000000001E-2</v>
      </c>
      <c r="E140" s="1633">
        <v>40000</v>
      </c>
      <c r="F140" s="1611"/>
      <c r="G140" s="1611"/>
      <c r="H140" s="1611"/>
      <c r="I140" s="1650">
        <f>-VLOOKUP(R140,[6]KH0010009_20180228_CRB_Output_!$B$1:$D$183,3,FALSE)</f>
        <v>38159.870000000003</v>
      </c>
      <c r="J140" s="1656">
        <v>42863</v>
      </c>
      <c r="K140" s="1656">
        <v>46515</v>
      </c>
      <c r="L140" s="1655"/>
      <c r="M140" s="1653">
        <f>-VLOOKUP(R140,[7]KH0010009_20170831_CRB_Output_!$D$156:$F$309,3,FALSE)</f>
        <v>249.5</v>
      </c>
      <c r="N140" s="1634"/>
      <c r="O140" s="1634"/>
      <c r="P140" s="1635" t="s">
        <v>1622</v>
      </c>
      <c r="R140" s="1636" t="s">
        <v>1612</v>
      </c>
    </row>
    <row r="141" spans="1:18" s="1377" customFormat="1" ht="24.75" customHeight="1">
      <c r="A141" s="1458">
        <v>134</v>
      </c>
      <c r="B141" s="1608" t="s">
        <v>1613</v>
      </c>
      <c r="C141" s="1609" t="s">
        <v>1619</v>
      </c>
      <c r="D141" s="1632">
        <v>7.4999999999999997E-2</v>
      </c>
      <c r="E141" s="1633">
        <v>40000</v>
      </c>
      <c r="F141" s="1611"/>
      <c r="G141" s="1611"/>
      <c r="H141" s="1611"/>
      <c r="I141" s="1650">
        <f>-VLOOKUP(R141,[6]KH0010009_20180228_CRB_Output_!$B$1:$D$183,3,FALSE)</f>
        <v>38917.360000000001</v>
      </c>
      <c r="J141" s="1656">
        <v>42867</v>
      </c>
      <c r="K141" s="1656">
        <v>11821</v>
      </c>
      <c r="L141" s="1655"/>
      <c r="M141" s="1653">
        <f>-VLOOKUP(R141,[7]KH0010009_20170831_CRB_Output_!$D$156:$F$309,3,FALSE)</f>
        <v>165.21</v>
      </c>
      <c r="N141" s="1634"/>
      <c r="O141" s="1634"/>
      <c r="P141" s="1635" t="s">
        <v>1623</v>
      </c>
      <c r="R141" s="1636" t="s">
        <v>1613</v>
      </c>
    </row>
    <row r="142" spans="1:18" s="1377" customFormat="1" ht="24.75" customHeight="1">
      <c r="A142" s="1458">
        <v>135</v>
      </c>
      <c r="B142" s="1608" t="s">
        <v>1614</v>
      </c>
      <c r="C142" s="1609" t="s">
        <v>1618</v>
      </c>
      <c r="D142" s="1632">
        <v>9.5000000000000001E-2</v>
      </c>
      <c r="E142" s="1633">
        <v>80000</v>
      </c>
      <c r="F142" s="1611"/>
      <c r="G142" s="1611"/>
      <c r="H142" s="1611"/>
      <c r="I142" s="1650">
        <f>-VLOOKUP(R142,[6]KH0010009_20180228_CRB_Output_!$B$1:$D$183,3,FALSE)</f>
        <v>76336.429999999993</v>
      </c>
      <c r="J142" s="1656">
        <v>42873</v>
      </c>
      <c r="K142" s="1656">
        <v>46525</v>
      </c>
      <c r="L142" s="1655"/>
      <c r="M142" s="1653">
        <f>-VLOOKUP(R142,[7]KH0010009_20170831_CRB_Output_!$D$156:$F$309,3,FALSE)</f>
        <v>291.14999999999998</v>
      </c>
      <c r="N142" s="1634"/>
      <c r="O142" s="1634"/>
      <c r="P142" s="1635" t="s">
        <v>1624</v>
      </c>
      <c r="R142" s="1636" t="s">
        <v>1614</v>
      </c>
    </row>
    <row r="143" spans="1:18" s="1377" customFormat="1" ht="24.75" customHeight="1">
      <c r="A143" s="1458">
        <v>136</v>
      </c>
      <c r="B143" s="1608" t="s">
        <v>1617</v>
      </c>
      <c r="C143" s="1609" t="s">
        <v>1620</v>
      </c>
      <c r="D143" s="1632">
        <v>8.5000000000000006E-2</v>
      </c>
      <c r="E143" s="1633">
        <v>96000</v>
      </c>
      <c r="F143" s="1611"/>
      <c r="G143" s="1611"/>
      <c r="H143" s="1611"/>
      <c r="I143" s="1650">
        <f>-VLOOKUP(R143,[6]KH0010009_20180228_CRB_Output_!$B$1:$D$183,3,FALSE)</f>
        <v>88766.69</v>
      </c>
      <c r="J143" s="1656">
        <v>42885</v>
      </c>
      <c r="K143" s="1656">
        <v>11839</v>
      </c>
      <c r="L143" s="1655"/>
      <c r="M143" s="1653">
        <f>-VLOOKUP(R143,[7]KH0010009_20170831_CRB_Output_!$D$156:$F$309,3,FALSE)</f>
        <v>560.37</v>
      </c>
      <c r="N143" s="1634"/>
      <c r="O143" s="1634"/>
      <c r="P143" s="1635" t="s">
        <v>1625</v>
      </c>
      <c r="R143" s="1636" t="s">
        <v>1617</v>
      </c>
    </row>
    <row r="144" spans="1:18" s="1647" customFormat="1" ht="24.75" customHeight="1">
      <c r="A144" s="1458">
        <v>137</v>
      </c>
      <c r="B144" s="1640" t="s">
        <v>1653</v>
      </c>
      <c r="C144" s="1641" t="s">
        <v>1654</v>
      </c>
      <c r="D144" s="1642" t="s">
        <v>1655</v>
      </c>
      <c r="E144" s="1643">
        <v>205000</v>
      </c>
      <c r="F144" s="1644"/>
      <c r="G144" s="1644"/>
      <c r="H144" s="1644"/>
      <c r="I144" s="1650">
        <f>-VLOOKUP(R144,[6]KH0010009_20180228_CRB_Output_!$B$1:$D$183,3,FALSE)</f>
        <v>172958.17</v>
      </c>
      <c r="J144" s="1645">
        <v>42893</v>
      </c>
      <c r="K144" s="1645">
        <v>46929</v>
      </c>
      <c r="L144" s="1657"/>
      <c r="M144" s="1653">
        <f>-VLOOKUP(R144,[7]KH0010009_20170831_CRB_Output_!$D$156:$F$309,3,FALSE)</f>
        <v>107.4</v>
      </c>
      <c r="N144" s="1646"/>
      <c r="O144" s="1646"/>
      <c r="P144" s="1562" t="s">
        <v>1664</v>
      </c>
      <c r="R144" s="1648" t="s">
        <v>1663</v>
      </c>
    </row>
    <row r="145" spans="1:18" s="1647" customFormat="1" ht="24.75" customHeight="1">
      <c r="A145" s="1458">
        <v>138</v>
      </c>
      <c r="B145" s="1640" t="s">
        <v>1534</v>
      </c>
      <c r="C145" s="1641" t="s">
        <v>1662</v>
      </c>
      <c r="D145" s="1642">
        <v>2.75E-2</v>
      </c>
      <c r="E145" s="1643">
        <v>60000</v>
      </c>
      <c r="F145" s="1644"/>
      <c r="G145" s="1644"/>
      <c r="H145" s="1644"/>
      <c r="I145" s="1650">
        <f>-VLOOKUP(R145,[6]KH0010009_20180228_CRB_Output_!$B$1:$D$183,3,FALSE)</f>
        <v>26994.52</v>
      </c>
      <c r="J145" s="1645">
        <v>42894</v>
      </c>
      <c r="K145" s="1645">
        <v>13674</v>
      </c>
      <c r="L145" s="1657"/>
      <c r="M145" s="1653">
        <v>31.68</v>
      </c>
      <c r="N145" s="1649"/>
      <c r="O145" s="1649"/>
      <c r="P145" s="1562" t="s">
        <v>1665</v>
      </c>
      <c r="R145" s="1648" t="s">
        <v>1534</v>
      </c>
    </row>
    <row r="146" spans="1:18" s="1647" customFormat="1" ht="24.75" customHeight="1">
      <c r="A146" s="1458">
        <v>139</v>
      </c>
      <c r="B146" s="1640" t="s">
        <v>1656</v>
      </c>
      <c r="C146" s="1641" t="s">
        <v>1657</v>
      </c>
      <c r="D146" s="1642">
        <v>7.4999999999999997E-2</v>
      </c>
      <c r="E146" s="1643">
        <v>120000</v>
      </c>
      <c r="F146" s="1644"/>
      <c r="G146" s="1644"/>
      <c r="H146" s="1644"/>
      <c r="I146" s="1650">
        <f>-VLOOKUP(R146,[6]KH0010009_20180228_CRB_Output_!$B$1:$D$183,3,FALSE)</f>
        <v>117101.02</v>
      </c>
      <c r="J146" s="1645">
        <v>42906</v>
      </c>
      <c r="K146" s="1645">
        <v>11860</v>
      </c>
      <c r="L146" s="1657"/>
      <c r="M146" s="1653">
        <f>-VLOOKUP(R146,[7]KH0010009_20170831_CRB_Output_!$D$156:$F$309,3,FALSE)</f>
        <v>298.20999999999998</v>
      </c>
      <c r="N146" s="1646"/>
      <c r="O146" s="1646"/>
      <c r="P146" s="1562" t="s">
        <v>1666</v>
      </c>
      <c r="R146" s="1648" t="s">
        <v>1656</v>
      </c>
    </row>
    <row r="147" spans="1:18" s="1647" customFormat="1" ht="24.75" customHeight="1">
      <c r="A147" s="1458">
        <v>140</v>
      </c>
      <c r="B147" s="1640" t="s">
        <v>1658</v>
      </c>
      <c r="C147" s="1641" t="s">
        <v>1659</v>
      </c>
      <c r="D147" s="1642">
        <v>7.4999999999999997E-2</v>
      </c>
      <c r="E147" s="1643">
        <v>30000</v>
      </c>
      <c r="F147" s="1644"/>
      <c r="G147" s="1644"/>
      <c r="H147" s="1644"/>
      <c r="I147" s="1650">
        <f>-VLOOKUP(R147,[6]KH0010009_20180228_CRB_Output_!$B$1:$D$183,3,FALSE)</f>
        <v>28633.57</v>
      </c>
      <c r="J147" s="1645">
        <v>42906</v>
      </c>
      <c r="K147" s="1645">
        <v>46558</v>
      </c>
      <c r="L147" s="1657"/>
      <c r="M147" s="1653">
        <f>-VLOOKUP(R147,[7]KH0010009_20170831_CRB_Output_!$D$156:$F$309,3,FALSE)</f>
        <v>74.150000000000006</v>
      </c>
      <c r="N147" s="1646"/>
      <c r="O147" s="1646"/>
      <c r="P147" s="1562" t="s">
        <v>1667</v>
      </c>
      <c r="R147" s="1648" t="s">
        <v>1658</v>
      </c>
    </row>
    <row r="148" spans="1:18" s="1647" customFormat="1" ht="24.75" customHeight="1">
      <c r="A148" s="1458">
        <v>141</v>
      </c>
      <c r="B148" s="1640" t="s">
        <v>1660</v>
      </c>
      <c r="C148" s="1641" t="s">
        <v>1661</v>
      </c>
      <c r="D148" s="1642">
        <v>7.4999999999999997E-2</v>
      </c>
      <c r="E148" s="1643">
        <v>40000</v>
      </c>
      <c r="F148" s="1644"/>
      <c r="G148" s="1644"/>
      <c r="H148" s="1644"/>
      <c r="I148" s="1650">
        <f>-VLOOKUP(R148,[6]KH0010009_20180228_CRB_Output_!$B$1:$D$183,3,FALSE)</f>
        <v>36260</v>
      </c>
      <c r="J148" s="1645">
        <v>42912</v>
      </c>
      <c r="K148" s="1645">
        <v>11866</v>
      </c>
      <c r="L148" s="1657"/>
      <c r="M148" s="1653">
        <f>-VLOOKUP(R148,[7]KH0010009_20170831_CRB_Output_!$D$156:$F$309,3,FALSE)</f>
        <v>49.45</v>
      </c>
      <c r="N148" s="1646"/>
      <c r="O148" s="1646"/>
      <c r="P148" s="1562" t="s">
        <v>1668</v>
      </c>
      <c r="R148" s="1648" t="s">
        <v>1660</v>
      </c>
    </row>
    <row r="149" spans="1:18" s="1377" customFormat="1" ht="24.75" customHeight="1">
      <c r="A149" s="1458">
        <v>142</v>
      </c>
      <c r="B149" s="1608" t="s">
        <v>1689</v>
      </c>
      <c r="C149" s="1609" t="s">
        <v>1695</v>
      </c>
      <c r="D149" s="1632">
        <v>9.5000000000000001E-2</v>
      </c>
      <c r="E149" s="1633">
        <v>50000</v>
      </c>
      <c r="F149" s="1611"/>
      <c r="G149" s="1611"/>
      <c r="H149" s="1611"/>
      <c r="I149" s="1650">
        <f>-VLOOKUP(R149,[6]KH0010009_20180228_CRB_Output_!$B$1:$D$183,3,FALSE)</f>
        <v>48238.29</v>
      </c>
      <c r="J149" s="1656">
        <v>42920</v>
      </c>
      <c r="K149" s="1656">
        <v>46572</v>
      </c>
      <c r="L149" s="1666"/>
      <c r="M149" s="1653">
        <f>-VLOOKUP(R149,[7]KH0010009_20170831_CRB_Output_!$D$156:$F$309,3,FALSE)</f>
        <v>367.66</v>
      </c>
      <c r="N149" s="1634"/>
      <c r="O149" s="1634"/>
      <c r="P149" s="1635" t="s">
        <v>1698</v>
      </c>
      <c r="R149" s="1667" t="s">
        <v>1689</v>
      </c>
    </row>
    <row r="150" spans="1:18" s="1377" customFormat="1" ht="24.75" customHeight="1">
      <c r="A150" s="1458">
        <v>143</v>
      </c>
      <c r="B150" s="1608" t="s">
        <v>1692</v>
      </c>
      <c r="C150" s="1609" t="s">
        <v>1694</v>
      </c>
      <c r="D150" s="1632">
        <v>7.4999999999999997E-2</v>
      </c>
      <c r="E150" s="1633">
        <v>50000</v>
      </c>
      <c r="F150" s="1611"/>
      <c r="G150" s="1611"/>
      <c r="H150" s="1611"/>
      <c r="I150" s="1650">
        <f>-VLOOKUP(R150,[6]KH0010009_20180228_CRB_Output_!$B$1:$D$183,3,FALSE)</f>
        <v>25756.53</v>
      </c>
      <c r="J150" s="1656">
        <v>42936</v>
      </c>
      <c r="K150" s="1656">
        <v>44762</v>
      </c>
      <c r="L150" s="1666"/>
      <c r="M150" s="1653">
        <f>-VLOOKUP(R150,[7]KH0010009_20170831_CRB_Output_!$D$156:$F$309,3,FALSE)</f>
        <v>123.3</v>
      </c>
      <c r="N150" s="1634"/>
      <c r="O150" s="1634"/>
      <c r="P150" s="1635" t="s">
        <v>1696</v>
      </c>
      <c r="R150" s="1667" t="s">
        <v>1690</v>
      </c>
    </row>
    <row r="151" spans="1:18" s="1377" customFormat="1" ht="24.75" customHeight="1">
      <c r="A151" s="1458">
        <v>144</v>
      </c>
      <c r="B151" s="1608" t="s">
        <v>1691</v>
      </c>
      <c r="C151" s="1609" t="s">
        <v>1693</v>
      </c>
      <c r="D151" s="1632">
        <v>7.4999999999999997E-2</v>
      </c>
      <c r="E151" s="1633">
        <v>70000</v>
      </c>
      <c r="F151" s="1611"/>
      <c r="G151" s="1611"/>
      <c r="H151" s="1611"/>
      <c r="I151" s="1650">
        <f>-VLOOKUP(R151,[6]KH0010009_20180228_CRB_Output_!$B$1:$D$183,3,FALSE)</f>
        <v>65919</v>
      </c>
      <c r="J151" s="1656">
        <v>42940</v>
      </c>
      <c r="K151" s="1656">
        <v>46592</v>
      </c>
      <c r="L151" s="1666"/>
      <c r="M151" s="1653">
        <f>-VLOOKUP(R151,[7]KH0010009_20170831_CRB_Output_!$D$156:$F$309,3,FALSE)</f>
        <v>115.7</v>
      </c>
      <c r="N151" s="1634"/>
      <c r="O151" s="1634"/>
      <c r="P151" s="1635" t="s">
        <v>1697</v>
      </c>
      <c r="R151" s="1667" t="s">
        <v>1691</v>
      </c>
    </row>
    <row r="152" spans="1:18" s="1377" customFormat="1" ht="24.75" customHeight="1">
      <c r="A152" s="1458">
        <v>145</v>
      </c>
      <c r="B152" s="1608" t="s">
        <v>1721</v>
      </c>
      <c r="C152" s="1609" t="s">
        <v>1722</v>
      </c>
      <c r="D152" s="1632">
        <v>7.4999999999999997E-2</v>
      </c>
      <c r="E152" s="1633">
        <v>20000</v>
      </c>
      <c r="F152" s="1611"/>
      <c r="G152" s="1611"/>
      <c r="H152" s="1611"/>
      <c r="I152" s="1650">
        <f>-VLOOKUP(R152,[6]KH0010009_20180228_CRB_Output_!$B$1:$D$183,3,FALSE)</f>
        <v>18329.310000000001</v>
      </c>
      <c r="J152" s="1656">
        <v>42949</v>
      </c>
      <c r="K152" s="1656">
        <v>44775</v>
      </c>
      <c r="L152" s="1666"/>
      <c r="M152" s="1653">
        <f>-VLOOKUP(R152,[7]KH0010009_20170831_CRB_Output_!$D$156:$F$309,3,FALSE)</f>
        <v>125</v>
      </c>
      <c r="N152" s="1634"/>
      <c r="O152" s="1634"/>
      <c r="P152" s="1635" t="s">
        <v>1729</v>
      </c>
      <c r="R152" s="1667" t="s">
        <v>1715</v>
      </c>
    </row>
    <row r="153" spans="1:18" s="1377" customFormat="1" ht="24.75" customHeight="1">
      <c r="A153" s="1458">
        <v>146</v>
      </c>
      <c r="B153" s="1608" t="s">
        <v>1716</v>
      </c>
      <c r="C153" s="1609" t="s">
        <v>1723</v>
      </c>
      <c r="D153" s="1632">
        <v>7.4999999999999997E-2</v>
      </c>
      <c r="E153" s="1633">
        <v>37000</v>
      </c>
      <c r="F153" s="1611"/>
      <c r="G153" s="1611"/>
      <c r="H153" s="1611"/>
      <c r="I153" s="1650">
        <f>-VLOOKUP(R153,[6]KH0010009_20180228_CRB_Output_!$B$1:$D$183,3,FALSE)</f>
        <v>36335.93</v>
      </c>
      <c r="J153" s="1656">
        <v>42950</v>
      </c>
      <c r="K153" s="1656">
        <v>11904</v>
      </c>
      <c r="L153" s="1666"/>
      <c r="M153" s="1653">
        <f>-VLOOKUP(R153,[7]KH0010009_20170831_CRB_Output_!$D$156:$F$309,3,FALSE)</f>
        <v>223.54</v>
      </c>
      <c r="N153" s="1634"/>
      <c r="O153" s="1634"/>
      <c r="P153" s="1635" t="s">
        <v>1730</v>
      </c>
      <c r="R153" s="1667" t="s">
        <v>1716</v>
      </c>
    </row>
    <row r="154" spans="1:18" s="1377" customFormat="1" ht="24.75" customHeight="1">
      <c r="A154" s="1458">
        <v>147</v>
      </c>
      <c r="B154" s="1608" t="s">
        <v>1724</v>
      </c>
      <c r="C154" s="1609" t="s">
        <v>1725</v>
      </c>
      <c r="D154" s="1632">
        <v>7.4999999999999997E-2</v>
      </c>
      <c r="E154" s="1633">
        <v>62300</v>
      </c>
      <c r="F154" s="1611"/>
      <c r="G154" s="1611"/>
      <c r="H154" s="1611"/>
      <c r="I154" s="1650">
        <f>-VLOOKUP(R154,[6]KH0010009_20180228_CRB_Output_!$B$1:$D$183,3,FALSE)</f>
        <v>61181.919999999998</v>
      </c>
      <c r="J154" s="1656">
        <v>42951</v>
      </c>
      <c r="K154" s="1656">
        <v>11905</v>
      </c>
      <c r="L154" s="1666"/>
      <c r="M154" s="1653">
        <f>-VLOOKUP(R154,[7]KH0010009_20170831_CRB_Output_!$D$156:$F$309,3,FALSE)</f>
        <v>363.42</v>
      </c>
      <c r="N154" s="1634"/>
      <c r="O154" s="1634"/>
      <c r="P154" s="1635" t="s">
        <v>1731</v>
      </c>
      <c r="R154" s="1667" t="s">
        <v>1717</v>
      </c>
    </row>
    <row r="155" spans="1:18" s="1377" customFormat="1" ht="24.75" customHeight="1">
      <c r="A155" s="1458">
        <v>148</v>
      </c>
      <c r="B155" s="1608" t="s">
        <v>1718</v>
      </c>
      <c r="C155" s="1609" t="s">
        <v>1726</v>
      </c>
      <c r="D155" s="1632">
        <v>7.4999999999999997E-2</v>
      </c>
      <c r="E155" s="1633">
        <v>25000</v>
      </c>
      <c r="F155" s="1611"/>
      <c r="G155" s="1611"/>
      <c r="H155" s="1611"/>
      <c r="I155" s="1650">
        <f>-VLOOKUP(R155,[6]KH0010009_20180228_CRB_Output_!$B$1:$D$183,3,FALSE)</f>
        <v>24155.82</v>
      </c>
      <c r="J155" s="1656">
        <v>42951</v>
      </c>
      <c r="K155" s="1656">
        <v>46603</v>
      </c>
      <c r="L155" s="1666"/>
      <c r="M155" s="1653">
        <f>-VLOOKUP(R155,[7]KH0010009_20170831_CRB_Output_!$D$156:$F$309,3,FALSE)</f>
        <v>145.83000000000001</v>
      </c>
      <c r="N155" s="1634"/>
      <c r="O155" s="1634"/>
      <c r="P155" s="1635" t="s">
        <v>1732</v>
      </c>
      <c r="R155" s="1667" t="s">
        <v>1718</v>
      </c>
    </row>
    <row r="156" spans="1:18" s="1377" customFormat="1" ht="24.75" customHeight="1">
      <c r="A156" s="1458">
        <v>149</v>
      </c>
      <c r="B156" s="1608" t="s">
        <v>1735</v>
      </c>
      <c r="C156" s="1609" t="s">
        <v>1736</v>
      </c>
      <c r="D156" s="1632">
        <v>7.4999999999999997E-2</v>
      </c>
      <c r="E156" s="1633">
        <v>48500</v>
      </c>
      <c r="F156" s="1611"/>
      <c r="G156" s="1611"/>
      <c r="H156" s="1611"/>
      <c r="I156" s="1650">
        <f>-VLOOKUP(R156,[6]KH0010009_20180228_CRB_Output_!$B$1:$D$183,3,FALSE)</f>
        <v>39920</v>
      </c>
      <c r="J156" s="1656">
        <v>42954</v>
      </c>
      <c r="K156" s="1656">
        <v>11908</v>
      </c>
      <c r="L156" s="1666"/>
      <c r="M156" s="1653">
        <f>-VLOOKUP(R156,[7]KH0010009_20170831_CRB_Output_!$D$156:$F$309,3,FALSE)</f>
        <v>252.6</v>
      </c>
      <c r="N156" s="1634"/>
      <c r="O156" s="1634"/>
      <c r="P156" s="1635" t="s">
        <v>1737</v>
      </c>
      <c r="R156" s="1667" t="s">
        <v>1735</v>
      </c>
    </row>
    <row r="157" spans="1:18" s="1377" customFormat="1" ht="24.75" customHeight="1">
      <c r="A157" s="1458">
        <v>151</v>
      </c>
      <c r="B157" s="1608" t="s">
        <v>1719</v>
      </c>
      <c r="C157" s="1609" t="s">
        <v>1727</v>
      </c>
      <c r="D157" s="1632">
        <v>9.5000000000000001E-2</v>
      </c>
      <c r="E157" s="1633">
        <v>96400</v>
      </c>
      <c r="F157" s="1611"/>
      <c r="G157" s="1611"/>
      <c r="H157" s="1611"/>
      <c r="I157" s="1650">
        <f>-VLOOKUP(R157,[6]KH0010009_20180228_CRB_Output_!$B$1:$D$183,3,FALSE)</f>
        <v>95433.42</v>
      </c>
      <c r="J157" s="1656">
        <v>42965</v>
      </c>
      <c r="K157" s="1656">
        <v>11919</v>
      </c>
      <c r="L157" s="1666"/>
      <c r="M157" s="1653">
        <f>-VLOOKUP(R157,[7]KH0010009_20170831_CRB_Output_!$D$156:$F$309,3,FALSE)</f>
        <v>356.14</v>
      </c>
      <c r="N157" s="1634"/>
      <c r="O157" s="1634"/>
      <c r="P157" s="1635" t="s">
        <v>1733</v>
      </c>
      <c r="R157" s="1667" t="s">
        <v>1719</v>
      </c>
    </row>
    <row r="158" spans="1:18" s="1377" customFormat="1" ht="24.75" customHeight="1">
      <c r="A158" s="1458">
        <v>152</v>
      </c>
      <c r="B158" s="1608" t="s">
        <v>1720</v>
      </c>
      <c r="C158" s="1609" t="s">
        <v>1728</v>
      </c>
      <c r="D158" s="1632">
        <v>0.105</v>
      </c>
      <c r="E158" s="1633">
        <v>36700</v>
      </c>
      <c r="F158" s="1611"/>
      <c r="G158" s="1611"/>
      <c r="H158" s="1611"/>
      <c r="I158" s="1650">
        <f>-VLOOKUP(R158,[6]KH0010009_20180228_CRB_Output_!$B$1:$D$183,3,FALSE)</f>
        <v>36192.92</v>
      </c>
      <c r="J158" s="1656">
        <v>42976</v>
      </c>
      <c r="K158" s="1656">
        <v>11930</v>
      </c>
      <c r="L158" s="1666"/>
      <c r="M158" s="1653">
        <f>-VLOOKUP(R158,[7]KH0010009_20170831_CRB_Output_!$D$156:$F$309,3,FALSE)</f>
        <v>32.11</v>
      </c>
      <c r="N158" s="1634"/>
      <c r="O158" s="1634"/>
      <c r="P158" s="1635" t="s">
        <v>1734</v>
      </c>
      <c r="R158" s="1667" t="s">
        <v>1720</v>
      </c>
    </row>
    <row r="159" spans="1:18" s="1445" customFormat="1" ht="24.75" customHeight="1">
      <c r="A159" s="1458">
        <v>153</v>
      </c>
      <c r="B159" s="1627" t="s">
        <v>1772</v>
      </c>
      <c r="C159" s="1637" t="s">
        <v>1778</v>
      </c>
      <c r="D159" s="1599">
        <v>7.4999999999999997E-2</v>
      </c>
      <c r="E159" s="1600">
        <v>45000</v>
      </c>
      <c r="F159" s="1601"/>
      <c r="G159" s="1601"/>
      <c r="H159" s="1601"/>
      <c r="I159" s="1650">
        <f>-VLOOKUP(R159,[6]KH0010009_20180228_CRB_Output_!$B$1:$D$183,3,FALSE)</f>
        <v>44326.11</v>
      </c>
      <c r="J159" s="1602">
        <v>42986</v>
      </c>
      <c r="K159" s="1602">
        <v>11940</v>
      </c>
      <c r="L159" s="1625"/>
      <c r="M159" s="1669"/>
      <c r="N159" s="1575"/>
      <c r="O159" s="1575"/>
      <c r="P159" s="1626"/>
      <c r="R159" s="1668" t="s">
        <v>1772</v>
      </c>
    </row>
    <row r="160" spans="1:18" s="1445" customFormat="1" ht="24.75" customHeight="1">
      <c r="A160" s="1458">
        <v>154</v>
      </c>
      <c r="B160" s="1627" t="s">
        <v>1773</v>
      </c>
      <c r="C160" s="1637" t="s">
        <v>1777</v>
      </c>
      <c r="D160" s="1599">
        <v>7.0000000000000007E-2</v>
      </c>
      <c r="E160" s="1600">
        <v>300000</v>
      </c>
      <c r="F160" s="1601"/>
      <c r="G160" s="1601"/>
      <c r="H160" s="1601"/>
      <c r="I160" s="1650">
        <f>-VLOOKUP(R160,[6]KH0010009_20180228_CRB_Output_!$B$1:$D$183,3,FALSE)</f>
        <v>295301.71999999997</v>
      </c>
      <c r="J160" s="1602">
        <v>42992</v>
      </c>
      <c r="K160" s="1602">
        <v>11946</v>
      </c>
      <c r="L160" s="1625"/>
      <c r="M160" s="1669"/>
      <c r="N160" s="1575"/>
      <c r="O160" s="1575"/>
      <c r="P160" s="1626"/>
      <c r="R160" s="1668" t="s">
        <v>1773</v>
      </c>
    </row>
    <row r="161" spans="1:18" s="1445" customFormat="1" ht="24.75" customHeight="1">
      <c r="A161" s="1458">
        <v>155</v>
      </c>
      <c r="B161" s="1627" t="s">
        <v>1779</v>
      </c>
      <c r="C161" s="1637" t="s">
        <v>1776</v>
      </c>
      <c r="D161" s="1599">
        <v>7.4999999999999997E-2</v>
      </c>
      <c r="E161" s="1600">
        <v>55000</v>
      </c>
      <c r="F161" s="1601"/>
      <c r="G161" s="1601"/>
      <c r="H161" s="1601"/>
      <c r="I161" s="1650">
        <f>-VLOOKUP(R161,[6]KH0010009_20180228_CRB_Output_!$B$1:$D$183,3,FALSE)</f>
        <v>51945.279999999999</v>
      </c>
      <c r="J161" s="1602">
        <v>43006</v>
      </c>
      <c r="K161" s="1602">
        <v>45197</v>
      </c>
      <c r="L161" s="1625"/>
      <c r="M161" s="1669"/>
      <c r="N161" s="1575"/>
      <c r="O161" s="1575"/>
      <c r="P161" s="1626"/>
      <c r="R161" s="1668" t="s">
        <v>1165</v>
      </c>
    </row>
    <row r="162" spans="1:18" s="1445" customFormat="1" ht="24.75" customHeight="1">
      <c r="A162" s="1458">
        <v>156</v>
      </c>
      <c r="B162" s="1627" t="s">
        <v>1774</v>
      </c>
      <c r="C162" s="1637" t="s">
        <v>1775</v>
      </c>
      <c r="D162" s="1599">
        <v>7.4999999999999997E-2</v>
      </c>
      <c r="E162" s="1600">
        <v>39000</v>
      </c>
      <c r="F162" s="1601"/>
      <c r="G162" s="1601"/>
      <c r="H162" s="1601"/>
      <c r="I162" s="1650">
        <f>-VLOOKUP(R162,[6]KH0010009_20180228_CRB_Output_!$B$1:$D$183,3,FALSE)</f>
        <v>38259.53</v>
      </c>
      <c r="J162" s="1602">
        <v>43007</v>
      </c>
      <c r="K162" s="1602">
        <v>11961</v>
      </c>
      <c r="L162" s="1625"/>
      <c r="M162" s="1669"/>
      <c r="N162" s="1575"/>
      <c r="O162" s="1575"/>
      <c r="P162" s="1626"/>
      <c r="R162" s="1668" t="s">
        <v>1774</v>
      </c>
    </row>
    <row r="163" spans="1:18" s="1445" customFormat="1" ht="24.75" customHeight="1">
      <c r="A163" s="1458">
        <v>157</v>
      </c>
      <c r="B163" s="1627" t="s">
        <v>1781</v>
      </c>
      <c r="C163" s="1637" t="s">
        <v>1789</v>
      </c>
      <c r="D163" s="1599">
        <v>7.4999999999999997E-2</v>
      </c>
      <c r="E163" s="1600">
        <v>90000</v>
      </c>
      <c r="F163" s="1601"/>
      <c r="G163" s="1601"/>
      <c r="H163" s="1601"/>
      <c r="I163" s="1650">
        <f>-VLOOKUP(R163,[6]KH0010009_20180228_CRB_Output_!$B$1:$D$183,3,FALSE)</f>
        <v>88936.43</v>
      </c>
      <c r="J163" s="1602">
        <v>43011</v>
      </c>
      <c r="K163" s="1602">
        <v>48490</v>
      </c>
      <c r="L163" s="1625"/>
      <c r="M163" s="1669"/>
      <c r="N163" s="1575"/>
      <c r="O163" s="1575"/>
      <c r="P163" s="1626"/>
      <c r="R163" t="s">
        <v>1781</v>
      </c>
    </row>
    <row r="164" spans="1:18" s="1445" customFormat="1" ht="24.75" customHeight="1">
      <c r="A164" s="1458">
        <v>158</v>
      </c>
      <c r="B164" s="1627" t="s">
        <v>1782</v>
      </c>
      <c r="C164" s="1637" t="s">
        <v>1790</v>
      </c>
      <c r="D164" s="1599">
        <v>7.4999999999999997E-2</v>
      </c>
      <c r="E164" s="1600">
        <v>297000</v>
      </c>
      <c r="F164" s="1601"/>
      <c r="G164" s="1601"/>
      <c r="H164" s="1601"/>
      <c r="I164" s="1650">
        <f>-VLOOKUP(R164,[6]KH0010009_20180228_CRB_Output_!$B$1:$D$183,3,FALSE)</f>
        <v>293490.28000000003</v>
      </c>
      <c r="J164" s="1602">
        <v>43012</v>
      </c>
      <c r="K164" s="1602">
        <v>48491</v>
      </c>
      <c r="L164" s="1625"/>
      <c r="M164" s="1669"/>
      <c r="N164" s="1575"/>
      <c r="O164" s="1575"/>
      <c r="P164" s="1626"/>
      <c r="R164" t="s">
        <v>1782</v>
      </c>
    </row>
    <row r="165" spans="1:18" s="1445" customFormat="1" ht="24.75" customHeight="1">
      <c r="A165" s="1458">
        <v>159</v>
      </c>
      <c r="B165" s="1627" t="s">
        <v>1785</v>
      </c>
      <c r="C165" s="1637" t="s">
        <v>1791</v>
      </c>
      <c r="D165" s="1599">
        <v>7.4999999999999997E-2</v>
      </c>
      <c r="E165" s="1600">
        <v>30000</v>
      </c>
      <c r="F165" s="1601"/>
      <c r="G165" s="1601"/>
      <c r="H165" s="1601"/>
      <c r="I165" s="1650">
        <f>-VLOOKUP(R165,[6]KH0010009_20180228_CRB_Output_!$B$1:$D$183,3,FALSE)</f>
        <v>29000</v>
      </c>
      <c r="J165" s="1602">
        <v>43012</v>
      </c>
      <c r="K165" s="1602">
        <v>46664</v>
      </c>
      <c r="L165" s="1625"/>
      <c r="M165" s="1669"/>
      <c r="N165" s="1575"/>
      <c r="O165" s="1575"/>
      <c r="P165" s="1626"/>
      <c r="R165" t="s">
        <v>1785</v>
      </c>
    </row>
    <row r="166" spans="1:18" s="1445" customFormat="1" ht="24.75" customHeight="1">
      <c r="A166" s="1458">
        <v>160</v>
      </c>
      <c r="B166" s="1627" t="s">
        <v>1783</v>
      </c>
      <c r="C166" s="1637" t="s">
        <v>1792</v>
      </c>
      <c r="D166" s="1599">
        <v>7.4999999999999997E-2</v>
      </c>
      <c r="E166" s="1600">
        <v>35000</v>
      </c>
      <c r="F166" s="1601"/>
      <c r="G166" s="1601"/>
      <c r="H166" s="1601"/>
      <c r="I166" s="1650">
        <f>-VLOOKUP(R166,[6]KH0010009_20180228_CRB_Output_!$B$1:$D$183,3,FALSE)</f>
        <v>33454.080000000002</v>
      </c>
      <c r="J166" s="1602">
        <v>43019</v>
      </c>
      <c r="K166" s="1602">
        <v>45210</v>
      </c>
      <c r="L166" s="1625"/>
      <c r="M166" s="1669"/>
      <c r="N166" s="1575"/>
      <c r="O166" s="1575"/>
      <c r="P166" s="1626"/>
      <c r="R166" t="s">
        <v>1783</v>
      </c>
    </row>
    <row r="167" spans="1:18" s="1445" customFormat="1" ht="24.75" customHeight="1">
      <c r="A167" s="1458">
        <v>161</v>
      </c>
      <c r="B167" s="1627" t="s">
        <v>1784</v>
      </c>
      <c r="C167" s="1637" t="s">
        <v>1793</v>
      </c>
      <c r="D167" s="1599">
        <v>7.4999999999999997E-2</v>
      </c>
      <c r="E167" s="1600">
        <v>39200</v>
      </c>
      <c r="F167" s="1601"/>
      <c r="G167" s="1601"/>
      <c r="H167" s="1601"/>
      <c r="I167" s="1650">
        <f>-VLOOKUP(R167,[6]KH0010009_20180228_CRB_Output_!$B$1:$D$183,3,FALSE)</f>
        <v>37893.360000000001</v>
      </c>
      <c r="J167" s="1602">
        <v>43025</v>
      </c>
      <c r="K167" s="1602">
        <v>46677</v>
      </c>
      <c r="L167" s="1625"/>
      <c r="M167" s="1669"/>
      <c r="N167" s="1575"/>
      <c r="O167" s="1575"/>
      <c r="P167" s="1626"/>
      <c r="R167" t="s">
        <v>1784</v>
      </c>
    </row>
    <row r="168" spans="1:18" s="1445" customFormat="1" ht="24.75" customHeight="1">
      <c r="A168" s="1458">
        <v>162</v>
      </c>
      <c r="B168" s="1627" t="s">
        <v>1786</v>
      </c>
      <c r="C168" s="1637" t="s">
        <v>1794</v>
      </c>
      <c r="D168" s="1599">
        <v>7.4999999999999997E-2</v>
      </c>
      <c r="E168" s="1600">
        <v>40500</v>
      </c>
      <c r="F168" s="1601"/>
      <c r="G168" s="1601"/>
      <c r="H168" s="1601"/>
      <c r="I168" s="1650">
        <f>-VLOOKUP(R168,[6]KH0010009_20180228_CRB_Output_!$B$1:$D$183,3,FALSE)</f>
        <v>40021.4</v>
      </c>
      <c r="J168" s="1602">
        <v>43032</v>
      </c>
      <c r="K168" s="1602">
        <v>48511</v>
      </c>
      <c r="L168" s="1625"/>
      <c r="M168" s="1669"/>
      <c r="N168" s="1575"/>
      <c r="O168" s="1575"/>
      <c r="P168" s="1626"/>
      <c r="R168" t="s">
        <v>1786</v>
      </c>
    </row>
    <row r="169" spans="1:18" s="1445" customFormat="1" ht="24.75" customHeight="1">
      <c r="A169" s="1458">
        <v>163</v>
      </c>
      <c r="B169" s="1627" t="s">
        <v>1787</v>
      </c>
      <c r="C169" s="1637" t="s">
        <v>1795</v>
      </c>
      <c r="D169" s="1599">
        <v>7.4999999999999997E-2</v>
      </c>
      <c r="E169" s="1600">
        <v>150000</v>
      </c>
      <c r="F169" s="1601"/>
      <c r="G169" s="1601"/>
      <c r="H169" s="1601"/>
      <c r="I169" s="1650">
        <f>-VLOOKUP(R169,[6]KH0010009_20180228_CRB_Output_!$B$1:$D$183,3,FALSE)</f>
        <v>148227.42000000001</v>
      </c>
      <c r="J169" s="1602">
        <v>43035</v>
      </c>
      <c r="K169" s="1602">
        <v>48514</v>
      </c>
      <c r="L169" s="1625"/>
      <c r="M169" s="1669"/>
      <c r="N169" s="1575"/>
      <c r="O169" s="1575"/>
      <c r="P169" s="1626"/>
      <c r="R169" t="s">
        <v>1787</v>
      </c>
    </row>
    <row r="170" spans="1:18" s="1445" customFormat="1" ht="24.75" customHeight="1">
      <c r="A170" s="1458">
        <v>164</v>
      </c>
      <c r="B170" s="1627" t="s">
        <v>1788</v>
      </c>
      <c r="C170" s="1637" t="s">
        <v>1796</v>
      </c>
      <c r="D170" s="1599">
        <v>9.5000000000000001E-2</v>
      </c>
      <c r="E170" s="1600">
        <v>44000</v>
      </c>
      <c r="F170" s="1601"/>
      <c r="G170" s="1601"/>
      <c r="H170" s="1601"/>
      <c r="I170" s="1650">
        <f>-VLOOKUP(R170,[6]KH0010009_20180228_CRB_Output_!$B$1:$D$183,3,FALSE)</f>
        <v>43092.75</v>
      </c>
      <c r="J170" s="1602">
        <v>43039</v>
      </c>
      <c r="K170" s="1602">
        <v>46691</v>
      </c>
      <c r="L170" s="1625"/>
      <c r="M170" s="1669"/>
      <c r="N170" s="1575"/>
      <c r="O170" s="1575"/>
      <c r="P170" s="1626"/>
      <c r="R170" t="s">
        <v>1788</v>
      </c>
    </row>
    <row r="171" spans="1:18" s="1445" customFormat="1" ht="24.75" customHeight="1">
      <c r="A171" s="1458">
        <v>165</v>
      </c>
      <c r="B171" s="1627" t="s">
        <v>1797</v>
      </c>
      <c r="C171" s="1637" t="s">
        <v>1798</v>
      </c>
      <c r="D171" s="1599">
        <v>7.4999999999999997E-2</v>
      </c>
      <c r="E171" s="1600">
        <v>55000</v>
      </c>
      <c r="F171" s="1601"/>
      <c r="G171" s="1601"/>
      <c r="H171" s="1601"/>
      <c r="I171" s="1650">
        <f>-VLOOKUP(R171,[6]KH0010009_20180228_CRB_Output_!$B$1:$D$183,3,FALSE)</f>
        <v>50416</v>
      </c>
      <c r="J171" s="1602">
        <v>43032</v>
      </c>
      <c r="K171" s="1602">
        <v>44493</v>
      </c>
      <c r="L171" s="1625"/>
      <c r="M171" s="1669"/>
      <c r="N171" s="1575"/>
      <c r="O171" s="1575"/>
      <c r="P171" s="1626"/>
      <c r="R171" t="s">
        <v>1797</v>
      </c>
    </row>
    <row r="172" spans="1:18" s="1445" customFormat="1" ht="24.75" customHeight="1">
      <c r="A172" s="1458">
        <v>166</v>
      </c>
      <c r="B172" s="1627" t="s">
        <v>1802</v>
      </c>
      <c r="C172" s="1637" t="s">
        <v>1804</v>
      </c>
      <c r="D172" s="1599">
        <v>7.4999999999999997E-2</v>
      </c>
      <c r="E172" s="1600">
        <v>25000</v>
      </c>
      <c r="F172" s="1601"/>
      <c r="G172" s="1601"/>
      <c r="H172" s="1601"/>
      <c r="I172" s="1650">
        <f>-VLOOKUP(R172,[6]KH0010009_20180228_CRB_Output_!$B$1:$D$183,3,FALSE)</f>
        <v>24320.51</v>
      </c>
      <c r="J172" s="1602">
        <v>43040</v>
      </c>
      <c r="K172" s="1602">
        <v>45597</v>
      </c>
      <c r="L172" s="1625"/>
      <c r="M172" s="1669"/>
      <c r="N172" s="1575"/>
      <c r="O172" s="1575"/>
      <c r="P172" s="1626"/>
      <c r="R172" s="1671" t="s">
        <v>1799</v>
      </c>
    </row>
    <row r="173" spans="1:18" s="1445" customFormat="1" ht="24.75" customHeight="1">
      <c r="A173" s="1458">
        <v>167</v>
      </c>
      <c r="B173" s="1627" t="s">
        <v>1803</v>
      </c>
      <c r="C173" s="1637" t="s">
        <v>1806</v>
      </c>
      <c r="D173" s="1599">
        <v>0.03</v>
      </c>
      <c r="E173" s="1600">
        <v>57000</v>
      </c>
      <c r="F173" s="1601"/>
      <c r="G173" s="1601"/>
      <c r="H173" s="1601"/>
      <c r="I173" s="1650">
        <f>-VLOOKUP(R173,[6]KH0010009_20180228_CRB_Output_!$B$1:$D$183,3,FALSE)</f>
        <v>56241.08</v>
      </c>
      <c r="J173" s="1602">
        <v>43049</v>
      </c>
      <c r="K173" s="1602">
        <v>50369</v>
      </c>
      <c r="L173" s="1625"/>
      <c r="M173" s="1669"/>
      <c r="N173" s="1575"/>
      <c r="O173" s="1575"/>
      <c r="P173" s="1626"/>
      <c r="R173" s="1672" t="s">
        <v>1800</v>
      </c>
    </row>
    <row r="174" spans="1:18" s="1445" customFormat="1" ht="24.75" customHeight="1">
      <c r="A174" s="1458">
        <v>168</v>
      </c>
      <c r="B174" s="1627" t="s">
        <v>1801</v>
      </c>
      <c r="C174" s="1637" t="s">
        <v>1805</v>
      </c>
      <c r="D174" s="1599">
        <v>8.5000000000000006E-2</v>
      </c>
      <c r="E174" s="1600">
        <v>35800</v>
      </c>
      <c r="F174" s="1601"/>
      <c r="G174" s="1601"/>
      <c r="H174" s="1601"/>
      <c r="I174" s="1650">
        <f>-VLOOKUP(R174,[6]KH0010009_20180228_CRB_Output_!$B$1:$D$183,3,FALSE)</f>
        <v>14805.01</v>
      </c>
      <c r="J174" s="1602">
        <v>43060</v>
      </c>
      <c r="K174" s="1602">
        <v>46712</v>
      </c>
      <c r="L174" s="1625"/>
      <c r="M174" s="1669"/>
      <c r="N174" s="1575"/>
      <c r="O174" s="1575"/>
      <c r="P174" s="1626"/>
      <c r="R174" s="1672" t="s">
        <v>1801</v>
      </c>
    </row>
    <row r="175" spans="1:18" s="1445" customFormat="1" ht="24.75" customHeight="1">
      <c r="A175" s="1458">
        <v>169</v>
      </c>
      <c r="B175" s="1627" t="s">
        <v>1807</v>
      </c>
      <c r="C175" s="1637" t="s">
        <v>1808</v>
      </c>
      <c r="D175" s="1599">
        <v>8.5000000000000006E-2</v>
      </c>
      <c r="E175" s="1600">
        <v>35000</v>
      </c>
      <c r="F175" s="1601"/>
      <c r="G175" s="1601"/>
      <c r="H175" s="1601"/>
      <c r="I175" s="1650">
        <f>-VLOOKUP(R175,[6]KH0010009_20180228_CRB_Output_!$B$1:$D$183,3,FALSE)</f>
        <v>34716.699999999997</v>
      </c>
      <c r="J175" s="1602">
        <v>43066</v>
      </c>
      <c r="K175" s="1602">
        <v>48545</v>
      </c>
      <c r="L175" s="1625"/>
      <c r="M175" s="1669"/>
      <c r="N175" s="1575"/>
      <c r="O175" s="1575"/>
      <c r="P175" s="1626"/>
      <c r="R175" s="1672" t="s">
        <v>1807</v>
      </c>
    </row>
    <row r="176" spans="1:18" s="1445" customFormat="1" ht="24.75" customHeight="1">
      <c r="A176" s="1458">
        <v>170</v>
      </c>
      <c r="B176" s="1673" t="s">
        <v>1816</v>
      </c>
      <c r="C176" s="1674" t="s">
        <v>1817</v>
      </c>
      <c r="D176" s="1675">
        <v>7.4999999999999997E-2</v>
      </c>
      <c r="E176" s="1676">
        <v>37500</v>
      </c>
      <c r="F176" s="1677"/>
      <c r="G176" s="1677"/>
      <c r="H176" s="1677"/>
      <c r="I176" s="1650">
        <f>-VLOOKUP(R176,[6]KH0010009_20180228_CRB_Output_!$B$1:$D$183,3,FALSE)</f>
        <v>37781.83</v>
      </c>
      <c r="J176" s="1678">
        <v>43074</v>
      </c>
      <c r="K176" s="1678">
        <v>48553</v>
      </c>
      <c r="L176" s="1625"/>
      <c r="M176" s="1669"/>
      <c r="N176" s="1679"/>
      <c r="O176" s="1679"/>
      <c r="P176" s="1626"/>
      <c r="R176" s="1680" t="s">
        <v>1815</v>
      </c>
    </row>
    <row r="177" spans="1:18" s="1445" customFormat="1" ht="24.75" customHeight="1">
      <c r="A177" s="1458">
        <v>171</v>
      </c>
      <c r="B177" s="1627" t="s">
        <v>1809</v>
      </c>
      <c r="C177" s="1637" t="s">
        <v>1819</v>
      </c>
      <c r="D177" s="1599">
        <v>7.4999999999999997E-2</v>
      </c>
      <c r="E177" s="1600">
        <v>39000</v>
      </c>
      <c r="F177" s="1601"/>
      <c r="G177" s="1601"/>
      <c r="H177" s="1601"/>
      <c r="I177" s="1650">
        <f>-VLOOKUP(R177,[6]KH0010009_20180228_CRB_Output_!$B$1:$D$183,3,FALSE)</f>
        <v>38765.269999999997</v>
      </c>
      <c r="J177" s="1602">
        <v>43082</v>
      </c>
      <c r="K177" s="1602">
        <v>48561</v>
      </c>
      <c r="L177" s="1625"/>
      <c r="M177" s="1669"/>
      <c r="N177" s="1575"/>
      <c r="O177" s="1575"/>
      <c r="P177" s="1626"/>
      <c r="R177" s="1680" t="s">
        <v>1809</v>
      </c>
    </row>
    <row r="178" spans="1:18" s="1445" customFormat="1" ht="24.75" customHeight="1">
      <c r="A178" s="1458">
        <v>172</v>
      </c>
      <c r="B178" s="1627" t="s">
        <v>1813</v>
      </c>
      <c r="C178" s="1637" t="s">
        <v>1814</v>
      </c>
      <c r="D178" s="1599">
        <v>7.4999999999999997E-2</v>
      </c>
      <c r="E178" s="1600">
        <v>30000</v>
      </c>
      <c r="F178" s="1601"/>
      <c r="G178" s="1601"/>
      <c r="H178" s="1601"/>
      <c r="I178" s="1650">
        <f>-VLOOKUP(R178,[6]KH0010009_20180228_CRB_Output_!$B$1:$D$183,3,FALSE)</f>
        <v>29827.02</v>
      </c>
      <c r="J178" s="1602">
        <v>43084</v>
      </c>
      <c r="K178" s="1602">
        <v>48563</v>
      </c>
      <c r="L178" s="1625"/>
      <c r="M178" s="1669"/>
      <c r="N178" s="1575"/>
      <c r="O178" s="1575"/>
      <c r="P178" s="1626"/>
      <c r="R178" s="1680" t="s">
        <v>1812</v>
      </c>
    </row>
    <row r="179" spans="1:18" s="1445" customFormat="1" ht="24.75" customHeight="1">
      <c r="A179" s="1458">
        <v>173</v>
      </c>
      <c r="B179" s="1627" t="s">
        <v>1811</v>
      </c>
      <c r="C179" s="1637" t="s">
        <v>1820</v>
      </c>
      <c r="D179" s="1599">
        <v>0.06</v>
      </c>
      <c r="E179" s="1600">
        <v>2400</v>
      </c>
      <c r="F179" s="1601"/>
      <c r="G179" s="1601"/>
      <c r="H179" s="1601"/>
      <c r="I179" s="1650">
        <f>-VLOOKUP(R179,[6]KH0010009_20180228_CRB_Output_!$B$1:$D$183,3,FALSE)</f>
        <v>2277.9</v>
      </c>
      <c r="J179" s="1602">
        <v>43095</v>
      </c>
      <c r="K179" s="1602">
        <v>44190</v>
      </c>
      <c r="L179" s="1625"/>
      <c r="M179" s="1669"/>
      <c r="N179" s="1575"/>
      <c r="O179" s="1575"/>
      <c r="P179" s="1626"/>
      <c r="R179" s="1680" t="s">
        <v>1811</v>
      </c>
    </row>
    <row r="180" spans="1:18" s="1445" customFormat="1" ht="24.75" customHeight="1">
      <c r="A180" s="1458">
        <v>174</v>
      </c>
      <c r="B180" s="1627" t="s">
        <v>1810</v>
      </c>
      <c r="C180" s="1637" t="s">
        <v>1818</v>
      </c>
      <c r="D180" s="1599">
        <v>7.4999999999999997E-2</v>
      </c>
      <c r="E180" s="1600">
        <v>50000</v>
      </c>
      <c r="F180" s="1601"/>
      <c r="G180" s="1601"/>
      <c r="H180" s="1601"/>
      <c r="I180" s="1650">
        <f>-VLOOKUP(R180,[6]KH0010009_20180228_CRB_Output_!$B$1:$D$183,3,FALSE)</f>
        <v>49711.73</v>
      </c>
      <c r="J180" s="1602">
        <v>43096</v>
      </c>
      <c r="K180" s="1602">
        <v>48575</v>
      </c>
      <c r="L180" s="1625"/>
      <c r="M180" s="1669"/>
      <c r="N180" s="1575"/>
      <c r="O180" s="1575"/>
      <c r="P180" s="1626"/>
      <c r="R180" s="1680" t="s">
        <v>1810</v>
      </c>
    </row>
    <row r="181" spans="1:18" s="1445" customFormat="1" ht="24.75" customHeight="1">
      <c r="A181" s="1458">
        <v>175</v>
      </c>
      <c r="B181" s="1627" t="s">
        <v>1822</v>
      </c>
      <c r="C181" s="1637" t="s">
        <v>1828</v>
      </c>
      <c r="D181" s="1599">
        <v>8.5000000000000006E-2</v>
      </c>
      <c r="E181" s="1600">
        <v>35280</v>
      </c>
      <c r="F181" s="1601"/>
      <c r="G181" s="1601"/>
      <c r="H181" s="1601"/>
      <c r="I181" s="1650">
        <f>-VLOOKUP(R181,[6]KH0010009_20180228_CRB_Output_!$B$1:$D$183,3,FALSE)</f>
        <v>35188.32</v>
      </c>
      <c r="J181" s="1602">
        <v>43115</v>
      </c>
      <c r="K181" s="1602">
        <v>12059</v>
      </c>
      <c r="L181" s="1625"/>
      <c r="M181" s="1669"/>
      <c r="N181" s="1575"/>
      <c r="O181" s="1575"/>
      <c r="P181" s="1626"/>
      <c r="R181" s="1680" t="s">
        <v>1822</v>
      </c>
    </row>
    <row r="182" spans="1:18" s="1445" customFormat="1" ht="24.75" customHeight="1">
      <c r="A182" s="1458">
        <v>176</v>
      </c>
      <c r="B182" s="1627" t="s">
        <v>1823</v>
      </c>
      <c r="C182" s="1637" t="s">
        <v>1829</v>
      </c>
      <c r="D182" s="1599">
        <v>7.4999999999999997E-2</v>
      </c>
      <c r="E182" s="1600">
        <v>30900</v>
      </c>
      <c r="F182" s="1601"/>
      <c r="G182" s="1601"/>
      <c r="H182" s="1601"/>
      <c r="I182" s="1650">
        <f>-VLOOKUP(R182,[6]KH0010009_20180228_CRB_Output_!$B$1:$D$183,3,FALSE)</f>
        <v>30731.07</v>
      </c>
      <c r="J182" s="1602">
        <v>43116</v>
      </c>
      <c r="K182" s="1602">
        <v>46758</v>
      </c>
      <c r="L182" s="1625"/>
      <c r="M182" s="1669"/>
      <c r="N182" s="1575"/>
      <c r="O182" s="1575"/>
      <c r="P182" s="1626"/>
      <c r="R182" s="1680" t="s">
        <v>1823</v>
      </c>
    </row>
    <row r="183" spans="1:18" s="1445" customFormat="1" ht="24.75" customHeight="1">
      <c r="A183" s="1458">
        <v>177</v>
      </c>
      <c r="B183" s="1627" t="s">
        <v>1824</v>
      </c>
      <c r="C183" s="1637" t="s">
        <v>1830</v>
      </c>
      <c r="D183" s="1599">
        <v>7.4999999999999997E-2</v>
      </c>
      <c r="E183" s="1600">
        <v>82600</v>
      </c>
      <c r="F183" s="1601"/>
      <c r="G183" s="1601"/>
      <c r="H183" s="1601"/>
      <c r="I183" s="1650">
        <f>-VLOOKUP(R183,[6]KH0010009_20180228_CRB_Output_!$B$1:$D$183,3,FALSE)</f>
        <v>82345.539999999994</v>
      </c>
      <c r="J183" s="1602">
        <v>43129</v>
      </c>
      <c r="K183" s="1602">
        <v>12063</v>
      </c>
      <c r="L183" s="1625"/>
      <c r="M183" s="1669"/>
      <c r="N183" s="1575"/>
      <c r="O183" s="1575"/>
      <c r="P183" s="1626"/>
      <c r="R183" s="1680" t="s">
        <v>1824</v>
      </c>
    </row>
    <row r="184" spans="1:18" s="1445" customFormat="1" ht="24.75" customHeight="1">
      <c r="A184" s="1458">
        <v>178</v>
      </c>
      <c r="B184" s="1627" t="s">
        <v>1825</v>
      </c>
      <c r="C184" s="1637" t="s">
        <v>1831</v>
      </c>
      <c r="D184" s="1599">
        <v>7.4999999999999997E-2</v>
      </c>
      <c r="E184" s="1600">
        <v>50000</v>
      </c>
      <c r="F184" s="1601"/>
      <c r="G184" s="1601"/>
      <c r="H184" s="1601"/>
      <c r="I184" s="1650">
        <f>-VLOOKUP(R184,[6]KH0010009_20180228_CRB_Output_!$B$1:$D$183,3,FALSE)</f>
        <v>49722.23</v>
      </c>
      <c r="J184" s="1602">
        <v>43129</v>
      </c>
      <c r="K184" s="1602">
        <v>12063</v>
      </c>
      <c r="L184" s="1625"/>
      <c r="M184" s="1669"/>
      <c r="N184" s="1575"/>
      <c r="O184" s="1575"/>
      <c r="P184" s="1626"/>
      <c r="R184" s="1680" t="s">
        <v>1825</v>
      </c>
    </row>
    <row r="185" spans="1:18" s="1445" customFormat="1" ht="24.75" customHeight="1">
      <c r="A185" s="1458">
        <v>179</v>
      </c>
      <c r="B185" s="1627" t="s">
        <v>1826</v>
      </c>
      <c r="C185" s="1637" t="s">
        <v>1832</v>
      </c>
      <c r="D185" s="1599">
        <v>8.5000000000000006E-2</v>
      </c>
      <c r="E185" s="1600">
        <v>37000</v>
      </c>
      <c r="F185" s="1601"/>
      <c r="G185" s="1601"/>
      <c r="H185" s="1601"/>
      <c r="I185" s="1650">
        <f>-VLOOKUP(R185,[6]KH0010009_20180228_CRB_Output_!$B$1:$D$183,3,FALSE)</f>
        <v>36800.980000000003</v>
      </c>
      <c r="J185" s="1602">
        <v>43129</v>
      </c>
      <c r="K185" s="1602">
        <v>46761</v>
      </c>
      <c r="L185" s="1625"/>
      <c r="M185" s="1669"/>
      <c r="N185" s="1575"/>
      <c r="O185" s="1575"/>
      <c r="P185" s="1626"/>
      <c r="R185" s="1680" t="s">
        <v>1826</v>
      </c>
    </row>
    <row r="186" spans="1:18" s="1445" customFormat="1" ht="24.75" customHeight="1">
      <c r="A186" s="1458">
        <v>180</v>
      </c>
      <c r="B186" s="1627" t="s">
        <v>1827</v>
      </c>
      <c r="C186" s="1637" t="s">
        <v>1833</v>
      </c>
      <c r="D186" s="1599">
        <v>7.4999999999999997E-2</v>
      </c>
      <c r="E186" s="1600">
        <v>40000</v>
      </c>
      <c r="F186" s="1601"/>
      <c r="G186" s="1601"/>
      <c r="H186" s="1601"/>
      <c r="I186" s="1650">
        <f>-VLOOKUP(R186,[6]KH0010009_20180228_CRB_Output_!$B$1:$D$183,3,FALSE)</f>
        <v>39868.449999999997</v>
      </c>
      <c r="J186" s="1602">
        <v>43130</v>
      </c>
      <c r="K186" s="1602">
        <v>48609</v>
      </c>
      <c r="L186" s="1625"/>
      <c r="M186" s="1669"/>
      <c r="N186" s="1575"/>
      <c r="O186" s="1575"/>
      <c r="P186" s="1626"/>
      <c r="R186" s="1680" t="s">
        <v>1827</v>
      </c>
    </row>
    <row r="187" spans="1:18" s="1445" customFormat="1" ht="24.75" customHeight="1">
      <c r="A187" s="1458">
        <v>181</v>
      </c>
      <c r="B187" s="1627" t="s">
        <v>1835</v>
      </c>
      <c r="C187" s="1637" t="s">
        <v>1842</v>
      </c>
      <c r="D187" s="1599">
        <v>6.5000000000000002E-2</v>
      </c>
      <c r="E187" s="1600">
        <v>70000</v>
      </c>
      <c r="F187" s="1601"/>
      <c r="G187" s="1601"/>
      <c r="H187" s="1601"/>
      <c r="I187" s="1650">
        <f>-VLOOKUP(R187,[6]KH0010009_20180228_CRB_Output_!$B$1:$D$183,3,FALSE)</f>
        <v>70000</v>
      </c>
      <c r="J187" s="1602">
        <v>43133</v>
      </c>
      <c r="K187" s="1602">
        <v>48612</v>
      </c>
      <c r="L187" s="1625"/>
      <c r="M187" s="1669"/>
      <c r="N187" s="1575"/>
      <c r="O187" s="1575"/>
      <c r="P187" s="1626"/>
      <c r="R187" s="1680" t="s">
        <v>1835</v>
      </c>
    </row>
    <row r="188" spans="1:18" s="1445" customFormat="1" ht="24.75" customHeight="1">
      <c r="A188" s="1458">
        <v>182</v>
      </c>
      <c r="B188" s="1627" t="s">
        <v>1836</v>
      </c>
      <c r="C188" s="1637" t="s">
        <v>1843</v>
      </c>
      <c r="D188" s="1599">
        <v>7.4999999999999997E-2</v>
      </c>
      <c r="E188" s="1600">
        <v>20000</v>
      </c>
      <c r="F188" s="1601"/>
      <c r="G188" s="1601"/>
      <c r="H188" s="1601"/>
      <c r="I188" s="1650">
        <f>-VLOOKUP(R188,[6]KH0010009_20180228_CRB_Output_!$B$1:$D$183,3,FALSE)</f>
        <v>20000</v>
      </c>
      <c r="J188" s="1602">
        <v>43136</v>
      </c>
      <c r="K188" s="1602">
        <v>46788</v>
      </c>
      <c r="L188" s="1625"/>
      <c r="M188" s="1669"/>
      <c r="N188" s="1575"/>
      <c r="O188" s="1575"/>
      <c r="P188" s="1626"/>
      <c r="R188" s="1680" t="s">
        <v>1836</v>
      </c>
    </row>
    <row r="189" spans="1:18" s="1445" customFormat="1" ht="24.75" customHeight="1">
      <c r="A189" s="1458">
        <v>183</v>
      </c>
      <c r="B189" s="1627" t="s">
        <v>1837</v>
      </c>
      <c r="C189" s="1637" t="s">
        <v>1844</v>
      </c>
      <c r="D189" s="1599">
        <v>9.5000000000000001E-2</v>
      </c>
      <c r="E189" s="1600">
        <v>82680</v>
      </c>
      <c r="F189" s="1601"/>
      <c r="G189" s="1601"/>
      <c r="H189" s="1601"/>
      <c r="I189" s="1650">
        <f>-VLOOKUP(R189,[6]KH0010009_20180228_CRB_Output_!$B$1:$D$183,3,FALSE)</f>
        <v>82680</v>
      </c>
      <c r="J189" s="1602">
        <v>43136</v>
      </c>
      <c r="K189" s="1602">
        <v>48615</v>
      </c>
      <c r="L189" s="1625"/>
      <c r="M189" s="1669"/>
      <c r="N189" s="1575"/>
      <c r="O189" s="1575"/>
      <c r="P189" s="1626"/>
      <c r="R189" s="1680" t="s">
        <v>1837</v>
      </c>
    </row>
    <row r="190" spans="1:18" s="1445" customFormat="1" ht="24.75" customHeight="1">
      <c r="A190" s="1458">
        <v>184</v>
      </c>
      <c r="B190" s="1627" t="s">
        <v>1838</v>
      </c>
      <c r="C190" s="1637" t="s">
        <v>1845</v>
      </c>
      <c r="D190" s="1599">
        <v>9.5000000000000001E-2</v>
      </c>
      <c r="E190" s="1600">
        <v>82000</v>
      </c>
      <c r="F190" s="1601"/>
      <c r="G190" s="1601"/>
      <c r="H190" s="1601"/>
      <c r="I190" s="1650">
        <f>-VLOOKUP(R190,[6]KH0010009_20180228_CRB_Output_!$B$1:$D$183,3,FALSE)</f>
        <v>82000</v>
      </c>
      <c r="J190" s="1602">
        <v>43143</v>
      </c>
      <c r="K190" s="1602">
        <v>48622</v>
      </c>
      <c r="L190" s="1625"/>
      <c r="M190" s="1669"/>
      <c r="N190" s="1575"/>
      <c r="O190" s="1575"/>
      <c r="P190" s="1626"/>
      <c r="R190" s="1680" t="s">
        <v>1838</v>
      </c>
    </row>
    <row r="191" spans="1:18" s="1445" customFormat="1" ht="24.75" customHeight="1">
      <c r="A191" s="1458">
        <v>185</v>
      </c>
      <c r="B191" s="1627" t="s">
        <v>1839</v>
      </c>
      <c r="C191" s="1637" t="s">
        <v>1846</v>
      </c>
      <c r="D191" s="1599">
        <v>7.4999999999999997E-2</v>
      </c>
      <c r="E191" s="1600">
        <v>45000</v>
      </c>
      <c r="F191" s="1601"/>
      <c r="G191" s="1601"/>
      <c r="H191" s="1601"/>
      <c r="I191" s="1650">
        <f>-VLOOKUP(R191,[6]KH0010009_20180228_CRB_Output_!$B$1:$D$183,3,FALSE)</f>
        <v>45000</v>
      </c>
      <c r="J191" s="1602">
        <v>43145</v>
      </c>
      <c r="K191" s="1602">
        <v>48624</v>
      </c>
      <c r="L191" s="1625"/>
      <c r="M191" s="1669"/>
      <c r="N191" s="1575"/>
      <c r="O191" s="1575"/>
      <c r="P191" s="1626"/>
      <c r="R191" s="1680" t="s">
        <v>1839</v>
      </c>
    </row>
    <row r="192" spans="1:18" s="1445" customFormat="1" ht="24.75" customHeight="1">
      <c r="A192" s="1458">
        <v>186</v>
      </c>
      <c r="B192" s="1627" t="s">
        <v>1840</v>
      </c>
      <c r="C192" s="1637" t="s">
        <v>1847</v>
      </c>
      <c r="D192" s="1599">
        <v>9.5000000000000001E-2</v>
      </c>
      <c r="E192" s="1600">
        <v>59000</v>
      </c>
      <c r="F192" s="1601"/>
      <c r="G192" s="1601"/>
      <c r="H192" s="1601"/>
      <c r="I192" s="1650">
        <f>-VLOOKUP(R192,[6]KH0010009_20180228_CRB_Output_!$B$1:$D$183,3,FALSE)</f>
        <v>59000</v>
      </c>
      <c r="J192" s="1602">
        <v>43152</v>
      </c>
      <c r="K192" s="1602">
        <v>12106</v>
      </c>
      <c r="L192" s="1625"/>
      <c r="M192" s="1669"/>
      <c r="N192" s="1575"/>
      <c r="O192" s="1575"/>
      <c r="P192" s="1626"/>
      <c r="R192" s="1680" t="s">
        <v>1840</v>
      </c>
    </row>
    <row r="193" spans="1:29" s="1445" customFormat="1" ht="24.75" customHeight="1">
      <c r="A193" s="1458">
        <v>187</v>
      </c>
      <c r="B193" s="1627" t="s">
        <v>1841</v>
      </c>
      <c r="C193" s="1637" t="s">
        <v>1848</v>
      </c>
      <c r="D193" s="1599">
        <v>7.4999999999999997E-2</v>
      </c>
      <c r="E193" s="1600">
        <v>36000</v>
      </c>
      <c r="F193" s="1601"/>
      <c r="G193" s="1601"/>
      <c r="H193" s="1601"/>
      <c r="I193" s="1650">
        <f>-VLOOKUP(R193,[6]KH0010009_20180228_CRB_Output_!$B$1:$D$183,3,FALSE)</f>
        <v>36000</v>
      </c>
      <c r="J193" s="1602">
        <v>43153</v>
      </c>
      <c r="K193" s="1602">
        <v>48632</v>
      </c>
      <c r="L193" s="1625"/>
      <c r="M193" s="1669"/>
      <c r="N193" s="1575"/>
      <c r="O193" s="1575"/>
      <c r="P193" s="1626"/>
      <c r="R193" s="1680" t="s">
        <v>1841</v>
      </c>
    </row>
    <row r="194" spans="1:29" s="1445" customFormat="1" ht="24.75" customHeight="1">
      <c r="A194" s="1458">
        <v>188</v>
      </c>
      <c r="B194" s="1627" t="s">
        <v>1850</v>
      </c>
      <c r="C194" s="1637" t="s">
        <v>1849</v>
      </c>
      <c r="D194" s="1599">
        <v>9.5000000000000001E-2</v>
      </c>
      <c r="E194" s="1600">
        <v>65000</v>
      </c>
      <c r="F194" s="1601"/>
      <c r="G194" s="1601"/>
      <c r="H194" s="1601"/>
      <c r="I194" s="1650">
        <f>-VLOOKUP(R194,[6]KH0010009_20180228_CRB_Output_!$B$1:$D$183,3,FALSE)</f>
        <v>52018.57</v>
      </c>
      <c r="J194" s="1602">
        <v>43145</v>
      </c>
      <c r="K194" s="1602">
        <v>45336</v>
      </c>
      <c r="L194" s="1625"/>
      <c r="M194" s="1669"/>
      <c r="N194" s="1575"/>
      <c r="O194" s="1575"/>
      <c r="P194" s="1626"/>
      <c r="R194" t="s">
        <v>1850</v>
      </c>
    </row>
    <row r="195" spans="1:29" s="1020" customFormat="1" ht="26.25" customHeight="1">
      <c r="A195" s="1565"/>
      <c r="B195" s="1565" t="s">
        <v>12</v>
      </c>
      <c r="C195" s="1565"/>
      <c r="D195" s="1565"/>
      <c r="E195" s="1565">
        <f>SUM(E17:E194)</f>
        <v>9518460</v>
      </c>
      <c r="F195" s="1565">
        <f>SUM(F17:F128)</f>
        <v>0</v>
      </c>
      <c r="G195" s="1579">
        <f>SUM(G17:G128)</f>
        <v>0</v>
      </c>
      <c r="H195" s="1565">
        <v>0</v>
      </c>
      <c r="I195" s="1565">
        <f>SUM(I101:I193)</f>
        <v>5016089.040000001</v>
      </c>
      <c r="J195" s="1565"/>
      <c r="K195" s="1570"/>
      <c r="L195" s="1565"/>
      <c r="M195" s="1566">
        <f>SUM(M17:M158)</f>
        <v>30051.750000000007</v>
      </c>
      <c r="N195" s="1565"/>
      <c r="O195" s="1565"/>
      <c r="P195" s="1569"/>
    </row>
    <row r="196" spans="1:29" s="472" customFormat="1" ht="31.5" customHeight="1" thickBot="1">
      <c r="A196" s="1563"/>
      <c r="B196" s="1106"/>
      <c r="C196" s="1103"/>
      <c r="D196" s="1564" t="s">
        <v>34</v>
      </c>
      <c r="E196" s="1121">
        <f>E195+E14+E10</f>
        <v>9518460</v>
      </c>
      <c r="F196" s="1121">
        <f>F195+F14+F10</f>
        <v>0</v>
      </c>
      <c r="G196" s="1121">
        <f>G195+G14+G10</f>
        <v>0</v>
      </c>
      <c r="H196" s="1121">
        <v>0</v>
      </c>
      <c r="I196" s="1121">
        <f>I195+I14+I10</f>
        <v>5016089.040000001</v>
      </c>
      <c r="J196" s="1121"/>
      <c r="K196" s="1121"/>
      <c r="L196" s="1121"/>
      <c r="M196" s="1568">
        <f>M195+M14+M10</f>
        <v>30051.750000000007</v>
      </c>
      <c r="N196" s="1121"/>
      <c r="O196" s="1121"/>
      <c r="P196" s="1567"/>
    </row>
    <row r="197" spans="1:29" s="472" customFormat="1" ht="30.75" customHeight="1" thickTop="1">
      <c r="A197" s="1137"/>
      <c r="B197" s="1137" t="s">
        <v>622</v>
      </c>
      <c r="C197" s="1137"/>
      <c r="D197" s="1138"/>
      <c r="E197" s="1139"/>
      <c r="F197" s="1140"/>
      <c r="G197" s="61"/>
      <c r="H197" s="1034"/>
      <c r="I197" s="61"/>
      <c r="J197" s="1102"/>
      <c r="K197" s="1102"/>
      <c r="L197" s="1141"/>
      <c r="M197" s="61"/>
    </row>
    <row r="198" spans="1:29" s="1079" customFormat="1" ht="19.5" customHeight="1">
      <c r="A198" s="1143"/>
      <c r="B198" s="1144"/>
      <c r="C198" s="1145"/>
      <c r="D198" s="1146"/>
      <c r="E198" s="1147"/>
      <c r="F198" s="1147"/>
      <c r="G198" s="1101"/>
      <c r="H198" s="1148"/>
      <c r="I198" s="1101"/>
      <c r="J198" s="1149"/>
      <c r="K198" s="1149"/>
      <c r="L198" s="1150"/>
      <c r="M198" s="1151"/>
    </row>
    <row r="199" spans="1:29" s="472" customFormat="1" ht="12">
      <c r="A199" s="63" t="s">
        <v>18</v>
      </c>
      <c r="B199" s="1152" t="s">
        <v>1738</v>
      </c>
      <c r="C199" s="1153"/>
      <c r="D199" s="1154"/>
      <c r="E199" s="1155"/>
      <c r="F199" s="61"/>
      <c r="G199" s="1156"/>
      <c r="H199" s="1034"/>
      <c r="I199" s="1156"/>
      <c r="J199" s="1157"/>
      <c r="K199" s="1149"/>
      <c r="L199" s="1308"/>
      <c r="M199" s="1158"/>
    </row>
    <row r="200" spans="1:29" s="1079" customFormat="1" ht="12">
      <c r="A200" s="1159" t="s">
        <v>22</v>
      </c>
      <c r="B200" s="1160" t="s">
        <v>614</v>
      </c>
      <c r="C200" s="1103"/>
      <c r="D200" s="1104"/>
      <c r="E200" s="1161"/>
      <c r="F200" s="1161"/>
      <c r="G200" s="1161"/>
      <c r="H200" s="1162"/>
      <c r="I200" s="1163"/>
      <c r="J200" s="1164"/>
      <c r="K200" s="1164"/>
      <c r="L200" s="1164"/>
      <c r="M200" s="1165"/>
    </row>
    <row r="201" spans="1:29" s="472" customFormat="1" ht="12">
      <c r="A201" s="1105" t="s">
        <v>23</v>
      </c>
      <c r="B201" s="1106" t="s">
        <v>1508</v>
      </c>
      <c r="C201" s="1107"/>
      <c r="D201" s="1108"/>
      <c r="E201" s="1080"/>
      <c r="F201" s="61"/>
      <c r="G201" s="1080"/>
      <c r="H201" s="1034"/>
      <c r="I201" s="1080"/>
      <c r="J201" s="1109"/>
      <c r="K201" s="1110"/>
      <c r="L201" s="1110"/>
      <c r="M201" s="1111"/>
      <c r="N201" s="1111"/>
      <c r="O201" s="1111"/>
      <c r="P201" s="1111"/>
      <c r="Q201" s="1111"/>
      <c r="R201" s="1111"/>
      <c r="S201" s="1111"/>
      <c r="T201" s="1111"/>
      <c r="U201" s="1111"/>
      <c r="V201" s="1111"/>
      <c r="W201" s="1111"/>
      <c r="X201" s="1111"/>
      <c r="Y201" s="1111"/>
      <c r="Z201" s="1111"/>
    </row>
    <row r="202" spans="1:29" s="472" customFormat="1">
      <c r="A202" s="1105" t="s">
        <v>24</v>
      </c>
      <c r="B202" s="1106" t="s">
        <v>623</v>
      </c>
      <c r="C202" s="1112"/>
      <c r="D202" s="1023"/>
      <c r="E202" s="61"/>
      <c r="F202" s="61"/>
      <c r="G202" s="61"/>
      <c r="H202" s="1034"/>
      <c r="J202" s="681"/>
      <c r="K202" s="681"/>
      <c r="L202" s="681"/>
      <c r="M202" s="1113"/>
      <c r="N202" s="1111"/>
      <c r="O202" s="1111"/>
      <c r="P202" s="1111"/>
      <c r="Q202" s="1111"/>
      <c r="R202" s="1111"/>
      <c r="S202" s="1111"/>
      <c r="T202" s="1111"/>
      <c r="U202" s="1111"/>
      <c r="V202" s="1111"/>
      <c r="W202" s="1111"/>
      <c r="X202" s="1111"/>
      <c r="Y202" s="1111"/>
      <c r="Z202" s="1111"/>
    </row>
    <row r="203" spans="1:29" s="472" customFormat="1" ht="11.25" customHeight="1">
      <c r="A203" s="1105" t="s">
        <v>25</v>
      </c>
      <c r="B203" s="1021" t="s">
        <v>991</v>
      </c>
      <c r="C203" s="1022"/>
      <c r="D203" s="1023"/>
      <c r="E203" s="1114"/>
      <c r="F203" s="61"/>
      <c r="G203" s="61"/>
      <c r="H203" s="1034"/>
      <c r="I203" s="61"/>
      <c r="J203" s="1115"/>
      <c r="K203" s="62"/>
      <c r="L203" s="62"/>
      <c r="M203" s="1116"/>
      <c r="N203" s="1111"/>
      <c r="O203" s="1111"/>
      <c r="P203" s="1111"/>
      <c r="Q203" s="1111"/>
      <c r="R203" s="1111"/>
      <c r="S203" s="1111"/>
      <c r="T203" s="1111"/>
      <c r="U203" s="1111"/>
      <c r="V203" s="1111"/>
      <c r="W203" s="1111"/>
      <c r="X203" s="1111"/>
      <c r="Y203" s="1111"/>
      <c r="Z203" s="1111"/>
    </row>
    <row r="204" spans="1:29" ht="23.25" customHeight="1" thickBot="1">
      <c r="A204" s="1216"/>
      <c r="B204" s="1217"/>
      <c r="C204" s="1211"/>
      <c r="D204" s="1218"/>
      <c r="E204" s="1219"/>
      <c r="F204" s="1220"/>
      <c r="G204" s="1221"/>
      <c r="H204" s="1222"/>
      <c r="I204" s="1219"/>
      <c r="J204" s="1213"/>
      <c r="K204" s="1223"/>
      <c r="L204" s="1223"/>
      <c r="M204" s="1224"/>
      <c r="N204" s="1224"/>
      <c r="O204" s="1224"/>
      <c r="P204" s="1214"/>
      <c r="Q204" s="1225"/>
      <c r="R204" s="1225"/>
      <c r="S204" s="1225"/>
      <c r="T204" s="1225"/>
      <c r="U204" s="1225"/>
      <c r="V204" s="1225"/>
      <c r="W204" s="1225"/>
      <c r="X204" s="1225"/>
      <c r="Y204" s="1225"/>
      <c r="Z204" s="1225"/>
      <c r="AA204" s="1225"/>
      <c r="AB204" s="1225"/>
      <c r="AC204" s="1225"/>
    </row>
    <row r="205" spans="1:29" s="1317" customFormat="1" ht="23.25" customHeight="1" thickTop="1">
      <c r="A205" s="1303" t="s">
        <v>612</v>
      </c>
      <c r="B205" s="1309"/>
      <c r="C205" s="1309"/>
      <c r="D205" s="1310"/>
      <c r="E205" s="1311"/>
      <c r="F205" s="1312"/>
      <c r="G205" s="1311"/>
      <c r="H205" s="1311"/>
      <c r="I205" s="1311"/>
      <c r="J205" s="1313"/>
      <c r="K205" s="1312"/>
      <c r="L205" s="1399"/>
      <c r="M205" s="1314"/>
      <c r="N205" s="1315"/>
      <c r="O205" s="1315"/>
      <c r="P205" s="1315"/>
      <c r="Q205" s="1316"/>
      <c r="R205" s="1316"/>
      <c r="S205" s="1316"/>
      <c r="T205" s="1316"/>
      <c r="U205" s="1316"/>
      <c r="V205" s="1316"/>
      <c r="W205" s="1316"/>
      <c r="X205" s="1316"/>
      <c r="Y205" s="1316"/>
      <c r="Z205" s="1316"/>
      <c r="AA205" s="1316"/>
      <c r="AB205" s="1316"/>
      <c r="AC205" s="1316"/>
    </row>
    <row r="206" spans="1:29" ht="23.25" customHeight="1">
      <c r="A206" s="1248"/>
      <c r="B206" s="1249" t="s">
        <v>608</v>
      </c>
      <c r="C206" s="1250"/>
      <c r="D206" s="1251"/>
      <c r="E206" s="1252"/>
      <c r="F206" s="1253"/>
      <c r="G206" s="1254"/>
      <c r="H206" s="1255"/>
      <c r="I206" s="1254"/>
      <c r="J206" s="1256"/>
      <c r="K206" s="1257"/>
      <c r="L206" s="1258"/>
      <c r="M206" s="1258"/>
      <c r="N206" s="1259"/>
      <c r="O206" s="1212"/>
      <c r="P206" s="1212"/>
      <c r="Q206" s="1215"/>
      <c r="R206" s="1215"/>
      <c r="S206" s="1215"/>
      <c r="T206" s="1215"/>
      <c r="U206" s="1215"/>
      <c r="V206" s="1215"/>
      <c r="W206" s="1215"/>
      <c r="X206" s="1215"/>
      <c r="Y206" s="1215"/>
      <c r="Z206" s="1215"/>
      <c r="AA206" s="1215"/>
      <c r="AB206" s="1215"/>
      <c r="AC206" s="1215"/>
    </row>
    <row r="207" spans="1:29" s="1430" customFormat="1" ht="23.25" customHeight="1">
      <c r="A207" s="1420"/>
      <c r="B207" s="1354"/>
      <c r="C207" s="1507"/>
      <c r="D207" s="1460"/>
      <c r="E207" s="1421"/>
      <c r="F207" s="1422"/>
      <c r="G207" s="1422"/>
      <c r="H207" s="1423"/>
      <c r="I207" s="1526"/>
      <c r="J207" s="1424"/>
      <c r="K207" s="1424"/>
      <c r="L207" s="1425"/>
      <c r="M207" s="1426"/>
      <c r="N207" s="1427"/>
      <c r="O207" s="1428"/>
      <c r="P207" s="1416"/>
      <c r="Q207" s="1429"/>
      <c r="R207" s="1496"/>
      <c r="S207" s="1429"/>
      <c r="T207" s="1429"/>
      <c r="U207" s="1429"/>
      <c r="V207" s="1429"/>
      <c r="W207" s="1429"/>
      <c r="X207" s="1429"/>
      <c r="Y207" s="1429"/>
      <c r="Z207" s="1429"/>
      <c r="AA207" s="1429"/>
      <c r="AB207" s="1429"/>
      <c r="AC207" s="1429"/>
    </row>
    <row r="208" spans="1:29" s="1377" customFormat="1" ht="29.25" customHeight="1">
      <c r="A208" s="1420"/>
      <c r="B208" s="1354"/>
      <c r="C208" s="1507"/>
      <c r="D208" s="1460"/>
      <c r="E208" s="1461"/>
      <c r="F208" s="1461"/>
      <c r="G208" s="1461"/>
      <c r="H208" s="1461"/>
      <c r="I208" s="1526"/>
      <c r="J208" s="1424"/>
      <c r="K208" s="1424"/>
      <c r="L208" s="1517"/>
      <c r="M208" s="1426"/>
      <c r="N208" s="1518"/>
      <c r="O208" s="1518"/>
      <c r="P208" s="1513"/>
      <c r="R208" s="1514"/>
    </row>
    <row r="209" spans="1:41" ht="23.25" customHeight="1">
      <c r="A209" s="903"/>
      <c r="B209" s="904" t="s">
        <v>12</v>
      </c>
      <c r="C209" s="959"/>
      <c r="D209" s="927"/>
      <c r="E209" s="57">
        <f>SUM(E207:H208)</f>
        <v>0</v>
      </c>
      <c r="F209" s="57">
        <f>SUM(F207:F208)</f>
        <v>0</v>
      </c>
      <c r="G209" s="57">
        <f>SUM(G207:G208)</f>
        <v>0</v>
      </c>
      <c r="H209" s="57">
        <f>SUM(H207:H208)</f>
        <v>0</v>
      </c>
      <c r="I209" s="57">
        <f>SUM(I207:I208)</f>
        <v>0</v>
      </c>
      <c r="J209" s="858"/>
      <c r="K209" s="858"/>
      <c r="L209" s="905"/>
      <c r="M209" s="917">
        <f>SUM(M207:M208)</f>
        <v>0</v>
      </c>
      <c r="N209" s="668"/>
      <c r="O209" s="668"/>
      <c r="P209" s="669"/>
    </row>
    <row r="210" spans="1:41" ht="23.25" customHeight="1">
      <c r="A210" s="909"/>
      <c r="B210" s="59" t="s">
        <v>13</v>
      </c>
      <c r="C210" s="960"/>
      <c r="D210" s="926"/>
      <c r="E210" s="53"/>
      <c r="F210" s="53"/>
      <c r="G210" s="54"/>
      <c r="H210" s="853"/>
      <c r="I210" s="54"/>
      <c r="J210" s="52"/>
      <c r="K210" s="52"/>
      <c r="L210" s="907"/>
      <c r="N210" s="672"/>
    </row>
    <row r="211" spans="1:41" ht="23.25" customHeight="1">
      <c r="A211" s="1014"/>
      <c r="B211" s="60"/>
      <c r="C211" s="957"/>
      <c r="D211" s="872"/>
      <c r="E211" s="50"/>
      <c r="F211" s="50"/>
      <c r="G211" s="874"/>
      <c r="H211" s="1032"/>
      <c r="I211" s="50"/>
      <c r="J211" s="49"/>
      <c r="K211" s="49"/>
      <c r="L211" s="902"/>
      <c r="M211" s="873"/>
      <c r="N211" s="668"/>
      <c r="O211" s="672"/>
      <c r="P211" s="673"/>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row>
    <row r="212" spans="1:41" ht="23.25" customHeight="1">
      <c r="A212" s="1014"/>
      <c r="B212" s="60"/>
      <c r="C212" s="957"/>
      <c r="D212" s="872"/>
      <c r="E212" s="50"/>
      <c r="F212" s="50"/>
      <c r="G212" s="874"/>
      <c r="H212" s="1032"/>
      <c r="I212" s="50"/>
      <c r="J212" s="49"/>
      <c r="K212" s="49"/>
      <c r="L212" s="902"/>
      <c r="M212" s="873"/>
      <c r="N212" s="668"/>
      <c r="O212" s="672"/>
      <c r="P212" s="673"/>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row>
    <row r="213" spans="1:41" ht="23.25" customHeight="1">
      <c r="A213" s="903"/>
      <c r="B213" s="904" t="s">
        <v>12</v>
      </c>
      <c r="C213" s="959"/>
      <c r="D213" s="927"/>
      <c r="E213" s="57">
        <f>SUM(E211:E211)</f>
        <v>0</v>
      </c>
      <c r="F213" s="57">
        <f>SUM(F211:F211)</f>
        <v>0</v>
      </c>
      <c r="G213" s="57">
        <f>SUM(G211:G211)</f>
        <v>0</v>
      </c>
      <c r="H213" s="57">
        <f>SUM(H211:H211)</f>
        <v>0</v>
      </c>
      <c r="I213" s="57">
        <f>SUM(I211:I211)</f>
        <v>0</v>
      </c>
      <c r="J213" s="858"/>
      <c r="K213" s="858"/>
      <c r="L213" s="912"/>
      <c r="M213" s="917">
        <f>SUM(M211:M211)</f>
        <v>0</v>
      </c>
      <c r="N213" s="668"/>
      <c r="O213" s="668"/>
      <c r="P213" s="669"/>
      <c r="Q213" s="46"/>
      <c r="R213" s="46"/>
      <c r="S213" s="46"/>
      <c r="T213" s="46"/>
      <c r="U213" s="46"/>
      <c r="V213" s="46"/>
      <c r="W213" s="46"/>
      <c r="X213" s="46"/>
      <c r="Y213" s="46"/>
      <c r="Z213" s="46"/>
      <c r="AA213" s="46"/>
      <c r="AB213" s="46"/>
      <c r="AC213" s="46"/>
    </row>
    <row r="214" spans="1:41" ht="21" customHeight="1">
      <c r="A214" s="906"/>
      <c r="B214" s="59" t="s">
        <v>14</v>
      </c>
      <c r="C214" s="960"/>
      <c r="D214" s="926"/>
      <c r="E214" s="53"/>
      <c r="F214" s="53"/>
      <c r="G214" s="54"/>
      <c r="H214" s="853"/>
      <c r="I214" s="54"/>
      <c r="J214" s="52"/>
      <c r="K214" s="52"/>
      <c r="L214" s="907"/>
      <c r="M214" s="873"/>
      <c r="N214" s="672"/>
      <c r="O214" s="672"/>
      <c r="P214" s="673"/>
      <c r="Q214" s="46"/>
      <c r="R214" s="46"/>
      <c r="S214" s="46"/>
      <c r="T214" s="46"/>
      <c r="U214" s="46"/>
      <c r="V214" s="46"/>
      <c r="W214" s="46"/>
      <c r="X214" s="46"/>
      <c r="Y214" s="46"/>
      <c r="Z214" s="46"/>
      <c r="AA214" s="46"/>
      <c r="AB214" s="46"/>
      <c r="AC214" s="46"/>
    </row>
    <row r="215" spans="1:41" ht="21.75" customHeight="1">
      <c r="A215" s="1125"/>
      <c r="B215" s="60"/>
      <c r="C215" s="957"/>
      <c r="D215" s="933"/>
      <c r="E215" s="56"/>
      <c r="F215" s="56"/>
      <c r="G215" s="56"/>
      <c r="H215" s="853"/>
      <c r="I215" s="56"/>
      <c r="J215" s="49"/>
      <c r="K215" s="55"/>
      <c r="L215" s="902"/>
      <c r="M215" s="917"/>
      <c r="N215" s="668"/>
      <c r="O215" s="668"/>
      <c r="P215" s="669"/>
      <c r="Q215" s="51"/>
      <c r="R215" s="51"/>
      <c r="S215" s="51"/>
      <c r="T215" s="51"/>
      <c r="U215" s="51"/>
      <c r="V215" s="51"/>
      <c r="W215" s="51"/>
      <c r="X215" s="51"/>
      <c r="Y215" s="51"/>
      <c r="Z215" s="51"/>
      <c r="AA215" s="51"/>
      <c r="AB215" s="51"/>
      <c r="AC215" s="51"/>
    </row>
    <row r="216" spans="1:41" ht="21.75" customHeight="1">
      <c r="A216" s="1129"/>
      <c r="B216" s="60"/>
      <c r="C216" s="957"/>
      <c r="D216" s="933"/>
      <c r="E216" s="56"/>
      <c r="F216" s="56"/>
      <c r="G216" s="56"/>
      <c r="H216" s="853"/>
      <c r="I216" s="56"/>
      <c r="J216" s="49"/>
      <c r="K216" s="55"/>
      <c r="L216" s="902"/>
      <c r="M216" s="917"/>
      <c r="N216" s="668"/>
      <c r="O216" s="668"/>
      <c r="P216" s="669"/>
      <c r="Q216" s="51"/>
      <c r="R216" s="51"/>
      <c r="S216" s="51"/>
      <c r="T216" s="51"/>
      <c r="U216" s="51"/>
      <c r="V216" s="51"/>
      <c r="W216" s="51"/>
      <c r="X216" s="51"/>
      <c r="Y216" s="51"/>
      <c r="Z216" s="51"/>
      <c r="AA216" s="51"/>
      <c r="AB216" s="51"/>
      <c r="AC216" s="51"/>
    </row>
    <row r="217" spans="1:41" ht="21" customHeight="1">
      <c r="A217" s="903"/>
      <c r="B217" s="904" t="s">
        <v>12</v>
      </c>
      <c r="C217" s="959"/>
      <c r="D217" s="927"/>
      <c r="E217" s="57">
        <f>SUM(E215:E215)</f>
        <v>0</v>
      </c>
      <c r="F217" s="57">
        <f>SUM(F215:F215)</f>
        <v>0</v>
      </c>
      <c r="G217" s="57">
        <f>SUM(G215:G215)</f>
        <v>0</v>
      </c>
      <c r="H217" s="57">
        <f>SUM(H215:H215)</f>
        <v>0</v>
      </c>
      <c r="I217" s="57">
        <f>SUM(I215:I215)</f>
        <v>0</v>
      </c>
      <c r="J217" s="858"/>
      <c r="K217" s="859"/>
      <c r="L217" s="908"/>
      <c r="M217" s="895"/>
      <c r="N217" s="668"/>
      <c r="O217" s="668"/>
      <c r="P217" s="669"/>
    </row>
    <row r="218" spans="1:41" s="479" customFormat="1" ht="23.25" customHeight="1">
      <c r="A218" s="909"/>
      <c r="B218" s="59" t="s">
        <v>15</v>
      </c>
      <c r="C218" s="960"/>
      <c r="D218" s="926"/>
      <c r="E218" s="53"/>
      <c r="F218" s="53"/>
      <c r="G218" s="54"/>
      <c r="H218" s="853"/>
      <c r="I218" s="54"/>
      <c r="J218" s="52"/>
      <c r="K218" s="528"/>
      <c r="L218" s="910"/>
      <c r="M218" s="873"/>
      <c r="N218" s="1134"/>
      <c r="O218" s="1135"/>
      <c r="Q218" s="1133"/>
    </row>
    <row r="219" spans="1:41" s="429" customFormat="1" ht="28.5" customHeight="1">
      <c r="A219" s="1129"/>
      <c r="B219" s="48"/>
      <c r="C219" s="957"/>
      <c r="D219" s="872"/>
      <c r="E219" s="50"/>
      <c r="F219" s="50"/>
      <c r="G219" s="50"/>
      <c r="H219" s="853"/>
      <c r="I219" s="50"/>
      <c r="J219" s="49"/>
      <c r="K219" s="49"/>
      <c r="L219" s="902"/>
      <c r="M219" s="873"/>
      <c r="N219" s="672"/>
      <c r="O219" s="672"/>
      <c r="P219" s="673"/>
    </row>
    <row r="220" spans="1:41" s="429" customFormat="1" ht="28.5" customHeight="1">
      <c r="A220" s="1129"/>
      <c r="B220" s="48"/>
      <c r="C220" s="957"/>
      <c r="D220" s="872"/>
      <c r="E220" s="50"/>
      <c r="F220" s="50"/>
      <c r="G220" s="50"/>
      <c r="H220" s="853"/>
      <c r="I220" s="50"/>
      <c r="J220" s="49"/>
      <c r="K220" s="49"/>
      <c r="L220" s="902"/>
      <c r="M220" s="873"/>
      <c r="N220" s="672"/>
      <c r="O220" s="672"/>
      <c r="P220" s="673"/>
    </row>
    <row r="221" spans="1:41" ht="23.25" customHeight="1">
      <c r="A221" s="1125"/>
      <c r="B221" s="904" t="s">
        <v>12</v>
      </c>
      <c r="C221" s="959"/>
      <c r="D221" s="927"/>
      <c r="E221" s="57">
        <f>SUM(E219:E220)</f>
        <v>0</v>
      </c>
      <c r="F221" s="57">
        <f>SUM(F219:F220)</f>
        <v>0</v>
      </c>
      <c r="G221" s="57">
        <f>SUM(G219:G220)</f>
        <v>0</v>
      </c>
      <c r="H221" s="57">
        <f>SUM(H219:H220)</f>
        <v>0</v>
      </c>
      <c r="I221" s="57">
        <f>SUM(I219:I220)</f>
        <v>0</v>
      </c>
      <c r="J221" s="858"/>
      <c r="K221" s="858"/>
      <c r="L221" s="912"/>
      <c r="M221" s="917">
        <f>SUM(M219:M220)</f>
        <v>0</v>
      </c>
      <c r="N221" s="668"/>
      <c r="O221" s="668"/>
      <c r="P221" s="669"/>
    </row>
    <row r="222" spans="1:41" s="871" customFormat="1" ht="23.25" customHeight="1">
      <c r="A222" s="1125"/>
      <c r="B222" s="59" t="s">
        <v>16</v>
      </c>
      <c r="C222" s="960"/>
      <c r="D222" s="926"/>
      <c r="E222" s="53"/>
      <c r="F222" s="53"/>
      <c r="G222" s="426"/>
      <c r="H222" s="426"/>
      <c r="I222" s="426"/>
      <c r="J222" s="52"/>
      <c r="K222" s="52"/>
      <c r="L222" s="907"/>
      <c r="N222" s="854"/>
    </row>
    <row r="223" spans="1:41" s="237" customFormat="1" ht="29.25" customHeight="1">
      <c r="A223" s="1129"/>
      <c r="B223" s="1130"/>
      <c r="C223" s="957"/>
      <c r="D223" s="872"/>
      <c r="E223" s="56"/>
      <c r="F223" s="50"/>
      <c r="G223" s="50"/>
      <c r="H223" s="853"/>
      <c r="I223" s="56"/>
      <c r="J223" s="1226"/>
      <c r="K223" s="1226"/>
      <c r="L223" s="902"/>
      <c r="M223" s="1227"/>
      <c r="N223" s="1228"/>
      <c r="O223" s="825"/>
      <c r="P223" s="1191"/>
    </row>
    <row r="224" spans="1:41" ht="23.25" customHeight="1">
      <c r="A224" s="903"/>
      <c r="B224" s="904" t="s">
        <v>12</v>
      </c>
      <c r="C224" s="959"/>
      <c r="D224" s="927"/>
      <c r="E224" s="57">
        <f>SUM(E223:E223)</f>
        <v>0</v>
      </c>
      <c r="F224" s="57">
        <f>SUM(F223:F223)</f>
        <v>0</v>
      </c>
      <c r="G224" s="57">
        <f>SUM(G223:G223)</f>
        <v>0</v>
      </c>
      <c r="H224" s="57">
        <f>SUM(H223:H223)</f>
        <v>0</v>
      </c>
      <c r="I224" s="57">
        <f>SUM(I223:I223)</f>
        <v>0</v>
      </c>
      <c r="J224" s="858"/>
      <c r="K224" s="858"/>
      <c r="L224" s="912"/>
      <c r="M224" s="918">
        <f>SUM(M223:M223)</f>
        <v>0</v>
      </c>
      <c r="N224" s="668"/>
      <c r="O224" s="1132"/>
      <c r="P224" s="669"/>
    </row>
    <row r="225" spans="1:29" ht="21" customHeight="1">
      <c r="A225" s="909"/>
      <c r="B225" s="59" t="s">
        <v>526</v>
      </c>
      <c r="C225" s="960"/>
      <c r="D225" s="926"/>
      <c r="E225" s="53"/>
      <c r="F225" s="53"/>
      <c r="G225" s="426"/>
      <c r="H225" s="853"/>
      <c r="I225" s="54"/>
      <c r="J225" s="52"/>
      <c r="K225" s="52"/>
      <c r="L225" s="907"/>
      <c r="M225" s="896"/>
      <c r="N225" s="706"/>
      <c r="O225" s="706"/>
      <c r="P225" s="707"/>
    </row>
    <row r="226" spans="1:29" ht="21" customHeight="1" thickBot="1">
      <c r="A226" s="909"/>
      <c r="B226" s="913"/>
      <c r="C226" s="961"/>
      <c r="D226" s="926"/>
      <c r="E226" s="53"/>
      <c r="F226" s="53"/>
      <c r="G226" s="426"/>
      <c r="H226" s="853"/>
      <c r="I226" s="54"/>
      <c r="J226" s="52"/>
      <c r="K226" s="52"/>
      <c r="L226" s="907"/>
      <c r="M226" s="897">
        <f>M225</f>
        <v>0</v>
      </c>
      <c r="N226" s="670"/>
      <c r="O226" s="670"/>
      <c r="P226" s="671"/>
    </row>
    <row r="227" spans="1:29" ht="24.75" customHeight="1" thickBot="1">
      <c r="A227" s="914"/>
      <c r="B227" s="915" t="s">
        <v>12</v>
      </c>
      <c r="C227" s="962"/>
      <c r="D227" s="928"/>
      <c r="E227" s="916"/>
      <c r="F227" s="916"/>
      <c r="G227" s="916"/>
      <c r="H227" s="916"/>
      <c r="I227" s="916"/>
      <c r="J227" s="916"/>
      <c r="K227" s="916"/>
      <c r="L227" s="916"/>
      <c r="M227" s="916">
        <f>M209</f>
        <v>0</v>
      </c>
      <c r="N227" s="61"/>
      <c r="O227" s="61"/>
      <c r="P227" s="490"/>
    </row>
    <row r="228" spans="1:29" s="450" customFormat="1" ht="30" customHeight="1" thickTop="1" thickBot="1">
      <c r="A228" s="1738" t="s">
        <v>34</v>
      </c>
      <c r="B228" s="1738"/>
      <c r="C228" s="1738"/>
      <c r="D228" s="1739"/>
      <c r="E228" s="1117">
        <f>E209+E213+E217+E221+E224+E227</f>
        <v>0</v>
      </c>
      <c r="F228" s="1118">
        <f>F209+F213+F217+F221+F224+F227</f>
        <v>0</v>
      </c>
      <c r="G228" s="1118">
        <f>G209+G213+G217+G221+G224+G227</f>
        <v>0</v>
      </c>
      <c r="H228" s="1118">
        <f>H209+H213+H217+H221+H224+H227</f>
        <v>0</v>
      </c>
      <c r="I228" s="1119">
        <f>I209+I213+I217+I221+I224+I227</f>
        <v>0</v>
      </c>
      <c r="J228" s="1537"/>
      <c r="K228" s="1538"/>
      <c r="L228" s="1604"/>
      <c r="M228" s="1603">
        <f>M227</f>
        <v>0</v>
      </c>
      <c r="N228" s="61"/>
      <c r="O228" s="61"/>
      <c r="P228" s="490"/>
    </row>
    <row r="229" spans="1:29" ht="30" customHeight="1" thickTop="1" thickBot="1">
      <c r="A229" s="1740" t="s">
        <v>569</v>
      </c>
      <c r="B229" s="1740"/>
      <c r="C229" s="1740"/>
      <c r="D229" s="1741"/>
      <c r="E229" s="1618">
        <f>SUM(E196+E228)</f>
        <v>9518460</v>
      </c>
      <c r="F229" s="1120">
        <f>F196+F228</f>
        <v>0</v>
      </c>
      <c r="G229" s="1120">
        <f>G196+G228</f>
        <v>0</v>
      </c>
      <c r="H229" s="1120">
        <f>H196+H228</f>
        <v>0</v>
      </c>
      <c r="I229" s="1527">
        <f>I228+I196</f>
        <v>5016089.040000001</v>
      </c>
      <c r="J229" s="1539"/>
      <c r="K229" s="1540"/>
      <c r="L229" s="1605"/>
      <c r="M229" s="1541">
        <f>M228+M196</f>
        <v>30051.750000000007</v>
      </c>
      <c r="N229" s="61"/>
      <c r="O229" s="61"/>
    </row>
    <row r="230" spans="1:29" ht="16.5" thickTop="1">
      <c r="A230" s="821"/>
      <c r="B230" s="821"/>
      <c r="C230" s="821"/>
      <c r="D230" s="934"/>
      <c r="E230" s="449"/>
      <c r="F230" s="449"/>
      <c r="G230" s="449"/>
      <c r="H230" s="1036"/>
      <c r="I230" s="449"/>
      <c r="J230" s="487"/>
      <c r="K230" s="449"/>
      <c r="L230" s="170"/>
      <c r="M230" s="682"/>
      <c r="N230" s="61"/>
      <c r="O230" s="61"/>
    </row>
    <row r="231" spans="1:29">
      <c r="A231" s="451" t="s">
        <v>602</v>
      </c>
      <c r="B231" s="452"/>
      <c r="C231" s="963"/>
      <c r="D231" s="930"/>
      <c r="E231" s="449"/>
      <c r="F231" s="449"/>
      <c r="G231" s="822"/>
      <c r="H231" s="1034"/>
      <c r="I231" s="449"/>
      <c r="J231" s="409"/>
      <c r="K231" s="480"/>
      <c r="L231" s="471"/>
      <c r="M231" s="61"/>
      <c r="N231" s="61"/>
      <c r="O231" s="61"/>
    </row>
    <row r="232" spans="1:29">
      <c r="A232" s="451"/>
      <c r="B232" s="452"/>
      <c r="C232" s="963"/>
      <c r="D232" s="930"/>
      <c r="E232" s="453"/>
      <c r="F232" s="454"/>
      <c r="G232" s="61"/>
      <c r="H232" s="1037"/>
      <c r="I232" s="61"/>
      <c r="J232" s="480"/>
      <c r="K232" s="472"/>
      <c r="M232" s="682"/>
      <c r="N232" s="61"/>
      <c r="O232" s="61"/>
    </row>
    <row r="233" spans="1:29" ht="15.75">
      <c r="A233" s="63" t="s">
        <v>18</v>
      </c>
      <c r="B233" s="1" t="s">
        <v>942</v>
      </c>
      <c r="C233" s="931" t="s">
        <v>486</v>
      </c>
      <c r="D233" s="931"/>
      <c r="E233" s="453"/>
      <c r="F233" s="170"/>
      <c r="G233" s="64" t="s">
        <v>584</v>
      </c>
      <c r="H233" s="64"/>
      <c r="I233" s="64" t="s">
        <v>584</v>
      </c>
      <c r="J233" s="64"/>
      <c r="K233" s="398"/>
      <c r="L233" s="65" t="s">
        <v>21</v>
      </c>
      <c r="M233" s="683"/>
      <c r="N233" s="68"/>
      <c r="O233" s="68"/>
      <c r="P233" s="68"/>
      <c r="Q233" s="68"/>
      <c r="R233" s="68"/>
      <c r="S233" s="68"/>
      <c r="T233" s="68"/>
      <c r="U233" s="68"/>
      <c r="V233" s="68"/>
      <c r="W233" s="68"/>
      <c r="X233" s="68"/>
      <c r="Y233" s="68"/>
      <c r="Z233" s="68"/>
      <c r="AA233" s="68"/>
      <c r="AB233" s="68"/>
      <c r="AC233" s="68"/>
    </row>
    <row r="234" spans="1:29" ht="15.75">
      <c r="A234" s="63" t="s">
        <v>22</v>
      </c>
      <c r="B234" s="1" t="s">
        <v>625</v>
      </c>
      <c r="C234" s="964"/>
      <c r="D234" s="929"/>
      <c r="E234" s="398"/>
      <c r="F234" s="61"/>
      <c r="G234" s="206"/>
      <c r="H234" s="1034"/>
      <c r="I234" s="64"/>
      <c r="M234" s="683"/>
      <c r="N234" s="68"/>
      <c r="O234" s="68"/>
      <c r="P234" s="68"/>
      <c r="Q234" s="68"/>
      <c r="R234" s="68"/>
      <c r="S234" s="68"/>
      <c r="T234" s="68"/>
      <c r="U234" s="68"/>
      <c r="V234" s="68"/>
      <c r="W234" s="68"/>
      <c r="X234" s="68"/>
      <c r="Y234" s="68"/>
      <c r="Z234" s="68"/>
      <c r="AA234" s="68"/>
      <c r="AB234" s="68"/>
      <c r="AC234" s="68"/>
    </row>
    <row r="235" spans="1:29" ht="15.75">
      <c r="A235" s="67" t="s">
        <v>23</v>
      </c>
      <c r="B235" s="1" t="s">
        <v>624</v>
      </c>
      <c r="C235" s="964"/>
      <c r="D235" s="932"/>
      <c r="E235" s="61"/>
      <c r="F235" s="61"/>
      <c r="G235" s="61"/>
      <c r="H235" s="1034"/>
      <c r="J235" s="454"/>
      <c r="K235" s="62"/>
      <c r="L235" s="62"/>
      <c r="M235" s="683"/>
      <c r="N235" s="68"/>
      <c r="O235" s="68"/>
      <c r="P235" s="68"/>
      <c r="Q235" s="68"/>
      <c r="R235" s="68"/>
      <c r="S235" s="68"/>
      <c r="T235" s="68"/>
      <c r="U235" s="68"/>
      <c r="V235" s="68"/>
      <c r="W235" s="68"/>
      <c r="X235" s="68"/>
      <c r="Y235" s="68"/>
      <c r="Z235" s="68"/>
      <c r="AA235" s="68"/>
      <c r="AB235" s="68"/>
      <c r="AC235" s="68"/>
    </row>
    <row r="236" spans="1:29" ht="15.75">
      <c r="A236" s="67" t="s">
        <v>24</v>
      </c>
      <c r="B236" s="1" t="s">
        <v>623</v>
      </c>
      <c r="C236" s="964"/>
      <c r="D236" s="932"/>
      <c r="E236" s="61"/>
      <c r="F236" s="61"/>
      <c r="G236" s="61"/>
      <c r="H236" s="1034"/>
      <c r="I236" s="61"/>
      <c r="J236" s="62"/>
      <c r="K236" s="62"/>
      <c r="L236" s="62"/>
    </row>
    <row r="237" spans="1:29" ht="15.75">
      <c r="A237" s="67" t="s">
        <v>25</v>
      </c>
      <c r="B237" s="1" t="s">
        <v>578</v>
      </c>
      <c r="C237" s="964"/>
      <c r="D237" s="932"/>
      <c r="E237" s="61"/>
      <c r="F237" s="61" t="s">
        <v>513</v>
      </c>
      <c r="G237" s="61"/>
      <c r="H237" s="1034"/>
      <c r="I237" s="61"/>
      <c r="J237" s="62"/>
      <c r="K237" s="62"/>
      <c r="L237" s="62"/>
      <c r="M237" s="819"/>
      <c r="N237" s="819"/>
      <c r="O237" s="819"/>
      <c r="P237" s="819"/>
      <c r="Q237" s="70"/>
      <c r="R237" s="70"/>
      <c r="S237" s="70"/>
      <c r="T237" s="70"/>
      <c r="U237" s="70"/>
      <c r="V237" s="70"/>
      <c r="W237" s="70"/>
      <c r="X237" s="70"/>
      <c r="Y237" s="70"/>
      <c r="Z237" s="70"/>
      <c r="AA237" s="70"/>
      <c r="AB237" s="70"/>
      <c r="AC237" s="70"/>
    </row>
    <row r="238" spans="1:29" ht="15.75">
      <c r="D238" s="935"/>
      <c r="E238" s="409"/>
      <c r="F238" s="61"/>
      <c r="G238" s="61"/>
      <c r="H238" s="1034"/>
      <c r="I238" s="61"/>
    </row>
    <row r="239" spans="1:29" ht="15.75">
      <c r="K239" s="69"/>
      <c r="L239" s="70"/>
    </row>
    <row r="240" spans="1:29" ht="15.75">
      <c r="C240" s="1729"/>
      <c r="D240" s="1729"/>
      <c r="E240" s="69"/>
      <c r="G240" s="69"/>
      <c r="H240" s="1039"/>
    </row>
  </sheetData>
  <sortState ref="A14:M199">
    <sortCondition ref="C354:C358"/>
  </sortState>
  <customSheetViews>
    <customSheetView guid="{E4D8AEA0-7D37-4CF1-9F19-1F9F3CB7E99E}" printArea="1">
      <pane ySplit="4" topLeftCell="A5" activePane="bottomLeft" state="frozen"/>
      <selection pane="bottomLeft" activeCell="C148" sqref="A148:XFD148"/>
      <rowBreaks count="7" manualBreakCount="7">
        <brk id="26" max="11" man="1"/>
        <brk id="50" max="11" man="1"/>
        <brk id="76" max="11" man="1"/>
        <brk id="106" max="11" man="1"/>
        <brk id="157" max="11" man="1"/>
        <brk id="213" max="11" man="1"/>
        <brk id="237" max="11" man="1"/>
      </rowBreaks>
      <pageMargins left="0.15" right="0.15" top="0.5" bottom="0.56000000000000005" header="0" footer="0"/>
      <printOptions horizontalCentered="1"/>
      <pageSetup paperSize="9" scale="48" fitToHeight="7" orientation="landscape" r:id="rId1"/>
    </customSheetView>
    <customSheetView guid="{AD634856-FDF7-4DD8-8DC5-36C324FF0C87}" printArea="1" view="pageBreakPreview">
      <pane xSplit="2" ySplit="7" topLeftCell="C347" activePane="bottomRight" state="frozen"/>
      <selection pane="bottomRight" activeCell="B348" sqref="B348"/>
      <rowBreaks count="5" manualBreakCount="5">
        <brk id="50" max="10" man="1"/>
        <brk id="88" max="10" man="1"/>
        <brk id="117" max="10" man="1"/>
        <brk id="146" max="10" man="1"/>
        <brk id="182" max="10" man="1"/>
      </rowBreaks>
      <pageMargins left="0.15" right="0.15" top="0.5" bottom="0.56000000000000005" header="0" footer="0"/>
      <printOptions horizontalCentered="1"/>
      <pageSetup paperSize="9" scale="31" fitToHeight="7" orientation="landscape" r:id="rId2"/>
    </customSheetView>
    <customSheetView guid="{61CE75AA-B849-4D18-8838-F82995C6B087}" scale="90" fitToPage="1" printArea="1">
      <pane xSplit="2" ySplit="6" topLeftCell="F204" activePane="bottomRight" state="frozen"/>
      <selection pane="bottomRight" activeCell="L205" sqref="L205"/>
      <rowBreaks count="2" manualBreakCount="2">
        <brk id="24" max="16383" man="1"/>
        <brk id="63" max="16383" man="1"/>
      </rowBreaks>
      <colBreaks count="1" manualBreakCount="1">
        <brk id="11" max="1048575" man="1"/>
      </colBreaks>
      <pageMargins left="0" right="0" top="0" bottom="0" header="0" footer="0"/>
      <printOptions horizontalCentered="1"/>
      <pageSetup paperSize="9" scale="58" fitToHeight="12" orientation="landscape" r:id="rId3"/>
    </customSheetView>
    <customSheetView guid="{7D95FE88-52D3-4AF2-A747-7A28402A32C2}" scale="90" view="pageBreakPreview">
      <pane xSplit="2" ySplit="5" topLeftCell="C441" activePane="bottomRight" state="frozen"/>
      <selection pane="bottomRight" activeCell="H442" sqref="H442"/>
      <rowBreaks count="4" manualBreakCount="4">
        <brk id="30" max="16383" man="1"/>
        <brk id="60" max="40" man="1"/>
        <brk id="90" max="40" man="1"/>
        <brk id="121" max="16383" man="1"/>
      </rowBreaks>
      <colBreaks count="1" manualBreakCount="1">
        <brk id="12" max="1048575" man="1"/>
      </colBreaks>
      <pageMargins left="0.15" right="0" top="0.5" bottom="0.56000000000000005" header="0" footer="0"/>
      <printOptions horizontalCentered="1"/>
      <pageSetup paperSize="9" scale="64" fitToHeight="7" orientation="landscape" r:id="rId4"/>
    </customSheetView>
    <customSheetView guid="{6EF26E68-1B9A-4748-A66C-9D8C184CAF14}" fitToPage="1" printArea="1">
      <pane xSplit="2" ySplit="5" topLeftCell="D272" activePane="bottomRight" state="frozen"/>
      <selection pane="bottomRight" activeCell="I272" sqref="I272"/>
      <rowBreaks count="5" manualBreakCount="5">
        <brk id="23" max="16383" man="1"/>
        <brk id="70" max="16383" man="1"/>
        <brk id="95" max="16383" man="1"/>
        <brk id="121" max="16383" man="1"/>
        <brk id="149" max="16383" man="1"/>
      </rowBreaks>
      <colBreaks count="1" manualBreakCount="1">
        <brk id="11" max="1048575" man="1"/>
      </colBreaks>
      <pageMargins left="0.15" right="0" top="0.5" bottom="0.56000000000000005" header="0" footer="0"/>
      <printOptions horizontalCentered="1"/>
      <pageSetup paperSize="9" scale="58" fitToHeight="7" orientation="landscape" r:id="rId5"/>
    </customSheetView>
    <customSheetView guid="{B8A1874B-3BEF-4479-AD53-0D9BAC54C7CD}" scale="90" printArea="1" view="pageBreakPreview">
      <pane ySplit="5" topLeftCell="A6" activePane="bottomLeft" state="frozen"/>
      <selection pane="bottomLeft" activeCell="B7" sqref="B7"/>
      <rowBreaks count="3" manualBreakCount="3">
        <brk id="228" max="11" man="1"/>
        <brk id="283" max="11" man="1"/>
        <brk id="318" max="11" man="1"/>
      </rowBreaks>
      <pageMargins left="0.15" right="0.15" top="0.5" bottom="0.56000000000000005" header="0" footer="0"/>
      <printOptions horizontalCentered="1"/>
      <pageSetup paperSize="9" scale="61" fitToHeight="7" orientation="landscape" r:id="rId6"/>
    </customSheetView>
    <customSheetView guid="{E5BCC4B4-F1B1-40C1-B93E-A6184E1EF716}" fitToPage="1" printArea="1">
      <pane xSplit="2" ySplit="6" topLeftCell="L53" activePane="bottomRight" state="frozen"/>
      <selection pane="bottomRight" activeCell="A72" sqref="A72:XFD72"/>
      <rowBreaks count="3" manualBreakCount="3">
        <brk id="24" max="16383" man="1"/>
        <brk id="64" max="16383" man="1"/>
        <brk id="92" max="16383" man="1"/>
      </rowBreaks>
      <colBreaks count="1" manualBreakCount="1">
        <brk id="11" max="1048575" man="1"/>
      </colBreaks>
      <pageMargins left="0.15" right="0.15" top="0.5" bottom="0.56000000000000005" header="0" footer="0"/>
      <printOptions horizontalCentered="1"/>
      <pageSetup paperSize="9" scale="65" fitToHeight="7" orientation="landscape" r:id="rId7"/>
    </customSheetView>
    <customSheetView guid="{994961F8-B63E-47F6-B0C5-98F862423FE5}" showGridLines="0" printArea="1" topLeftCell="A244">
      <selection activeCell="B250" sqref="B250"/>
      <rowBreaks count="2" manualBreakCount="2">
        <brk id="24" max="16383" man="1"/>
        <brk id="113" max="16383" man="1"/>
      </rowBreaks>
      <colBreaks count="1" manualBreakCount="1">
        <brk id="11" max="1048575" man="1"/>
      </colBreaks>
      <pageMargins left="0.15" right="0.15" top="0.5" bottom="0.56000000000000005" header="0" footer="0"/>
      <printOptions horizontalCentered="1"/>
      <pageSetup paperSize="9" scale="80" fitToHeight="7" orientation="landscape" r:id="rId8"/>
    </customSheetView>
    <customSheetView guid="{F89B8433-E453-4FDE-8E2A-E7E816BD4DFD}" fitToPage="1" printArea="1">
      <pane xSplit="2" ySplit="5" topLeftCell="C141" activePane="bottomRight" state="frozen"/>
      <selection pane="bottomRight" activeCell="A147" sqref="A147:K147"/>
      <rowBreaks count="5" manualBreakCount="5">
        <brk id="23" max="16383" man="1"/>
        <brk id="70" max="16383" man="1"/>
        <brk id="95" max="16383" man="1"/>
        <brk id="121" max="16383" man="1"/>
        <brk id="149" max="16383" man="1"/>
      </rowBreaks>
      <colBreaks count="1" manualBreakCount="1">
        <brk id="11" max="1048575" man="1"/>
      </colBreaks>
      <pageMargins left="0.15" right="0" top="0.5" bottom="0.56000000000000005" header="0" footer="0"/>
      <printOptions horizontalCentered="1"/>
      <pageSetup paperSize="9" scale="58" fitToHeight="7" orientation="landscape" r:id="rId9"/>
    </customSheetView>
    <customSheetView guid="{9BA226E9-1840-4D58-8634-C7CD130BA9DE}" fitToPage="1">
      <pane xSplit="2" ySplit="6" topLeftCell="C7" activePane="bottomRight" state="frozen"/>
      <selection pane="bottomRight" activeCell="E11" sqref="E11"/>
      <rowBreaks count="3" manualBreakCount="3">
        <brk id="24" max="16383" man="1"/>
        <brk id="63" max="16383" man="1"/>
        <brk id="92" max="16383" man="1"/>
      </rowBreaks>
      <colBreaks count="1" manualBreakCount="1">
        <brk id="11" max="1048575" man="1"/>
      </colBreaks>
      <pageMargins left="0.15" right="0.15" top="0.5" bottom="0.56000000000000005" header="0" footer="0"/>
      <printOptions horizontalCentered="1"/>
      <pageSetup paperSize="9" scale="71" fitToHeight="7" orientation="landscape" r:id="rId10"/>
    </customSheetView>
    <customSheetView guid="{ECC2632F-F62A-4FAF-AECC-1DDADB5FC34F}" fitToPage="1">
      <pane xSplit="2" ySplit="5" topLeftCell="C6" activePane="bottomRight" state="frozen"/>
      <selection pane="bottomRight" activeCell="O159" sqref="A1:O159"/>
      <rowBreaks count="5" manualBreakCount="5">
        <brk id="28" max="16383" man="1"/>
        <brk id="56" max="16383" man="1"/>
        <brk id="83" max="16383" man="1"/>
        <brk id="111" max="16383" man="1"/>
        <brk id="139" max="16383" man="1"/>
      </rowBreaks>
      <colBreaks count="1" manualBreakCount="1">
        <brk id="11" max="1048575" man="1"/>
      </colBreaks>
      <pageMargins left="0.15" right="0" top="0.5" bottom="0.56000000000000005" header="0" footer="0"/>
      <printOptions horizontalCentered="1"/>
      <pageSetup paperSize="9" scale="58" fitToHeight="7" orientation="landscape" r:id="rId11"/>
    </customSheetView>
    <customSheetView guid="{FB80B360-98B3-4D7B-B530-099144659D3A}">
      <pane xSplit="2" ySplit="5" topLeftCell="C6" activePane="bottomRight" state="frozen"/>
      <selection pane="bottomRight" activeCell="D7" sqref="D7"/>
      <rowBreaks count="5" manualBreakCount="5">
        <brk id="28" max="16383" man="1"/>
        <brk id="56" max="16383" man="1"/>
        <brk id="83" max="16383" man="1"/>
        <brk id="111" max="16383" man="1"/>
        <brk id="139" max="16383" man="1"/>
      </rowBreaks>
      <colBreaks count="1" manualBreakCount="1">
        <brk id="11" max="1048575" man="1"/>
      </colBreaks>
      <pageMargins left="0.15" right="0" top="0.5" bottom="0.56000000000000005" header="0" footer="0"/>
      <printOptions horizontalCentered="1"/>
      <pageSetup paperSize="9" scale="82" orientation="landscape" r:id="rId12"/>
    </customSheetView>
    <customSheetView guid="{7F784530-9B10-42D7-8F54-8EB6B060482F}">
      <pane xSplit="2" ySplit="5" topLeftCell="C49" activePane="bottomRight" state="frozen"/>
      <selection pane="bottomRight" activeCell="C52" sqref="C52"/>
      <rowBreaks count="5" manualBreakCount="5">
        <brk id="28" max="16383" man="1"/>
        <brk id="56" max="16383" man="1"/>
        <brk id="84" max="16383" man="1"/>
        <brk id="111" max="16383" man="1"/>
        <brk id="140" max="16383" man="1"/>
      </rowBreaks>
      <colBreaks count="1" manualBreakCount="1">
        <brk id="11" max="1048575" man="1"/>
      </colBreaks>
      <pageMargins left="0.15" right="0" top="0.5" bottom="0.56000000000000005" header="0" footer="0"/>
      <printOptions horizontalCentered="1"/>
      <pageSetup paperSize="9" scale="82" orientation="landscape" r:id="rId13"/>
    </customSheetView>
    <customSheetView guid="{8AF18E21-1031-46CF-B2BC-F1B32D8B514B}" topLeftCell="A13">
      <selection activeCell="K122" sqref="K122"/>
      <rowBreaks count="5" manualBreakCount="5">
        <brk id="28" max="37" man="1"/>
        <brk id="56" max="37" man="1"/>
        <brk id="86" max="16383" man="1"/>
        <brk id="115" max="16383" man="1"/>
        <brk id="133" max="16383" man="1"/>
      </rowBreaks>
      <colBreaks count="1" manualBreakCount="1">
        <brk id="11" max="1048575" man="1"/>
      </colBreaks>
      <pageMargins left="0.15" right="0" top="0.5" bottom="0.56000000000000005" header="0" footer="0"/>
      <printOptions horizontalCentered="1"/>
      <pageSetup paperSize="9" scale="83" orientation="landscape" r:id="rId14"/>
    </customSheetView>
    <customSheetView guid="{E4837792-4A99-499B-8EC2-DE4E4D167510}" showPageBreaks="1" view="pageBreakPreview" topLeftCell="A134">
      <selection activeCell="A134" sqref="A134"/>
      <rowBreaks count="6" manualBreakCount="6">
        <brk id="31" max="16383" man="1"/>
        <brk id="62" max="16383" man="1"/>
        <brk id="92" max="39" man="1"/>
        <brk id="93" max="16383" man="1"/>
        <brk id="123" max="16383" man="1"/>
        <brk id="141" max="16383" man="1"/>
      </rowBreaks>
      <colBreaks count="2" manualBreakCount="2">
        <brk id="11" max="1048575" man="1"/>
        <brk id="24" max="180" man="1"/>
      </colBreaks>
      <pageMargins left="0.15" right="0" top="0.5" bottom="0.56000000000000005" header="0" footer="0"/>
      <printOptions horizontalCentered="1"/>
      <pageSetup paperSize="9" scale="76" orientation="landscape" r:id="rId15"/>
    </customSheetView>
    <customSheetView guid="{16D4A374-74B9-406B-A5BA-2D573E6A0CF2}">
      <pane xSplit="2" ySplit="5" topLeftCell="C6" activePane="bottomRight" state="frozen"/>
      <selection pane="bottomRight" activeCell="D7" sqref="D7"/>
      <rowBreaks count="5" manualBreakCount="5">
        <brk id="28" max="16383" man="1"/>
        <brk id="56" max="16383" man="1"/>
        <brk id="83" max="16383" man="1"/>
        <brk id="111" max="16383" man="1"/>
        <brk id="139" max="16383" man="1"/>
      </rowBreaks>
      <colBreaks count="1" manualBreakCount="1">
        <brk id="11" max="1048575" man="1"/>
      </colBreaks>
      <pageMargins left="0.15" right="0" top="0.5" bottom="0.56000000000000005" header="0" footer="0"/>
      <printOptions horizontalCentered="1"/>
      <pageSetup paperSize="9" scale="82" orientation="landscape" r:id="rId16"/>
    </customSheetView>
    <customSheetView guid="{F729E7D6-6F09-4AEC-8A8D-5BB0CE563030}" fitToPage="1">
      <pane xSplit="2" ySplit="5" topLeftCell="C170" activePane="bottomRight" state="frozen"/>
      <selection pane="bottomRight" activeCell="B175" sqref="B175"/>
      <rowBreaks count="5" manualBreakCount="5">
        <brk id="24" max="16383" man="1"/>
        <brk id="67" max="16383" man="1"/>
        <brk id="92" max="16383" man="1"/>
        <brk id="118" max="16383" man="1"/>
        <brk id="146" max="16383" man="1"/>
      </rowBreaks>
      <colBreaks count="1" manualBreakCount="1">
        <brk id="11" max="1048575" man="1"/>
      </colBreaks>
      <pageMargins left="0.15" right="0" top="0.5" bottom="0.56000000000000005" header="0" footer="0"/>
      <printOptions horizontalCentered="1"/>
      <pageSetup paperSize="9" scale="58" fitToHeight="7" orientation="landscape" r:id="rId17"/>
    </customSheetView>
    <customSheetView guid="{2896A421-8E5B-4BF0-9CC6-B6380E0DB314}" fitToPage="1" printArea="1" view="pageBreakPreview">
      <pane xSplit="3" ySplit="5" topLeftCell="F6" activePane="bottomRight" state="frozen"/>
      <selection pane="bottomRight" activeCell="B88" sqref="B88"/>
      <rowBreaks count="5" manualBreakCount="5">
        <brk id="23" max="16383" man="1"/>
        <brk id="69" max="16383" man="1"/>
        <brk id="97" max="16383" man="1"/>
        <brk id="122" max="16383" man="1"/>
        <brk id="150" max="16383" man="1"/>
      </rowBreaks>
      <colBreaks count="1" manualBreakCount="1">
        <brk id="12" max="1048575" man="1"/>
      </colBreaks>
      <pageMargins left="0.15" right="0" top="0.5" bottom="0.56000000000000005" header="0" footer="0"/>
      <printOptions horizontalCentered="1"/>
      <pageSetup paperSize="9" scale="79" fitToHeight="7" orientation="landscape" r:id="rId18"/>
    </customSheetView>
    <customSheetView guid="{98D3DDB6-797A-47DD-9C96-BB16B2207A0C}" scale="90" printArea="1" topLeftCell="A203">
      <pane xSplit="1" topLeftCell="B1" activePane="topRight" state="frozen"/>
      <selection pane="topRight" activeCell="B215" sqref="B215"/>
      <rowBreaks count="9" manualBreakCount="9">
        <brk id="24" max="10" man="1"/>
        <brk id="46" max="10" man="1"/>
        <brk id="67" max="10" man="1"/>
        <brk id="98" max="10" man="1"/>
        <brk id="124" max="10" man="1"/>
        <brk id="175" max="10" man="1"/>
        <brk id="201" max="10" man="1"/>
        <brk id="232" max="10" man="1"/>
        <brk id="260" max="10" man="1"/>
      </rowBreaks>
      <pageMargins left="0.15" right="0.15" top="0.5" bottom="0.56000000000000005" header="0" footer="0"/>
      <printOptions horizontalCentered="1"/>
      <pageSetup paperSize="9" scale="72" fitToHeight="7" orientation="landscape" r:id="rId19"/>
    </customSheetView>
    <customSheetView guid="{A1D515A7-1E5B-4509-BA26-4ABAA82FF869}" printArea="1" view="pageBreakPreview">
      <pane xSplit="2" ySplit="6" topLeftCell="C268" activePane="bottomRight" state="frozen"/>
      <selection pane="bottomRight" activeCell="B273" sqref="B273"/>
      <rowBreaks count="4" manualBreakCount="4">
        <brk id="24" max="16383" man="1"/>
        <brk id="47" max="10" man="1"/>
        <brk id="77" max="10" man="1"/>
        <brk id="104" max="10" man="1"/>
      </rowBreaks>
      <colBreaks count="1" manualBreakCount="1">
        <brk id="11" max="1048575" man="1"/>
      </colBreaks>
      <pageMargins left="0.15" right="0.15" top="0.5" bottom="0.56000000000000005" header="0" footer="0"/>
      <printOptions horizontalCentered="1"/>
      <pageSetup paperSize="9" scale="58" fitToHeight="7" orientation="landscape" r:id="rId20"/>
    </customSheetView>
    <customSheetView guid="{80E06DBA-C6F3-475B-8D63-21743367E2AD}" printArea="1">
      <pane xSplit="2" ySplit="6" topLeftCell="K288" activePane="bottomRight" state="frozen"/>
      <selection pane="bottomRight" activeCell="P291" sqref="P291"/>
      <rowBreaks count="2" manualBreakCount="2">
        <brk id="24" max="16383" man="1"/>
        <brk id="63" max="16383" man="1"/>
      </rowBreaks>
      <colBreaks count="1" manualBreakCount="1">
        <brk id="11" max="1048575" man="1"/>
      </colBreaks>
      <pageMargins left="0.15" right="0.15" top="0.5" bottom="0.56000000000000005" header="0" footer="0"/>
      <printOptions horizontalCentered="1"/>
      <pageSetup paperSize="9" scale="65" fitToHeight="7" orientation="landscape" r:id="rId21"/>
    </customSheetView>
    <customSheetView guid="{9ED09EA6-4579-48A9-AD5B-8A08B9AAA8BE}" topLeftCell="F1">
      <selection activeCell="N14" sqref="N14"/>
      <rowBreaks count="5" manualBreakCount="5">
        <brk id="27" max="16383" man="1"/>
        <brk id="52" max="16383" man="1"/>
        <brk id="81" max="37" man="1"/>
        <brk id="110" max="16383" man="1"/>
        <brk id="129" max="16383" man="1"/>
      </rowBreaks>
      <colBreaks count="1" manualBreakCount="1">
        <brk id="11" max="1048575" man="1"/>
      </colBreaks>
      <pageMargins left="0.15" right="0" top="0.5" bottom="0.56000000000000005" header="0" footer="0"/>
      <printOptions horizontalCentered="1"/>
      <pageSetup paperSize="9" scale="82" orientation="landscape" r:id="rId22"/>
    </customSheetView>
    <customSheetView guid="{7631AB21-BAD4-410B-9EB7-37E4C039E55D}" scale="90" printArea="1" view="pageBreakPreview" topLeftCell="A268">
      <pane xSplit="1" topLeftCell="B1" activePane="topRight" state="frozen"/>
      <selection pane="topRight" activeCell="L272" sqref="L272"/>
      <rowBreaks count="7" manualBreakCount="7">
        <brk id="26" max="11" man="1"/>
        <brk id="51" max="11" man="1"/>
        <brk id="77" max="11" man="1"/>
        <brk id="104" max="11" man="1"/>
        <brk id="156" max="11" man="1"/>
        <brk id="211" max="11" man="1"/>
        <brk id="235" max="11" man="1"/>
      </rowBreaks>
      <pageMargins left="0.15" right="0.15" top="0.5" bottom="0.56000000000000005" header="0" footer="0"/>
      <printOptions horizontalCentered="1"/>
      <pageSetup paperSize="9" scale="36" fitToHeight="7" orientation="landscape" r:id="rId23"/>
    </customSheetView>
    <customSheetView guid="{BE76667A-60C4-4702-8334-217BF8BB1245}" fitToPage="1" printArea="1" view="pageBreakPreview">
      <pane xSplit="2" ySplit="5" topLeftCell="L6" activePane="bottomRight" state="frozen"/>
      <selection pane="bottomRight" activeCell="L9" sqref="L9"/>
      <rowBreaks count="5" manualBreakCount="5">
        <brk id="23" max="16383" man="1"/>
        <brk id="68" max="16383" man="1"/>
        <brk id="96" max="16383" man="1"/>
        <brk id="121" max="16383" man="1"/>
        <brk id="149" max="16383" man="1"/>
      </rowBreaks>
      <colBreaks count="1" manualBreakCount="1">
        <brk id="11" max="1048575" man="1"/>
      </colBreaks>
      <pageMargins left="0.15" right="0" top="0.5" bottom="0.56000000000000005" header="0" footer="0"/>
      <printOptions horizontalCentered="1"/>
      <pageSetup paperSize="9" scale="71" fitToHeight="7" orientation="landscape" r:id="rId24"/>
    </customSheetView>
    <customSheetView guid="{3FE5399F-6D96-46C9-B56D-C9200CDFFBCC}" fitToPage="1" printArea="1">
      <pane xSplit="2" ySplit="5" topLeftCell="I356" activePane="bottomRight" state="frozen"/>
      <selection pane="bottomRight" activeCell="M369" sqref="M369"/>
      <rowBreaks count="5" manualBreakCount="5">
        <brk id="23" max="16383" man="1"/>
        <brk id="68" max="16383" man="1"/>
        <brk id="96" max="16383" man="1"/>
        <brk id="121" max="16383" man="1"/>
        <brk id="148" max="16383" man="1"/>
      </rowBreaks>
      <colBreaks count="1" manualBreakCount="1">
        <brk id="11" max="1048575" man="1"/>
      </colBreaks>
      <pageMargins left="0.15" right="0" top="0.5" bottom="0.56000000000000005" header="0" footer="0"/>
      <printOptions horizontalCentered="1"/>
      <pageSetup paperSize="9" scale="67" fitToHeight="7" orientation="landscape" r:id="rId25"/>
    </customSheetView>
    <customSheetView guid="{DB5C611D-B585-4D04-94DC-84E03E7F6427}" topLeftCell="F195">
      <pane ySplit="8" topLeftCell="A16"/>
      <selection activeCell="O199" sqref="O199"/>
      <rowBreaks count="6" manualBreakCount="6">
        <brk id="25" max="11" man="1"/>
        <brk id="49" max="11" man="1"/>
        <brk id="85" max="11" man="1"/>
        <brk id="114" max="11" man="1"/>
        <brk id="142" max="11" man="1"/>
        <brk id="178" max="11" man="1"/>
      </rowBreaks>
      <pageMargins left="0.15" right="0.15" top="0.5" bottom="0.56000000000000005" header="0" footer="0"/>
      <printOptions horizontalCentered="1"/>
      <pageSetup paperSize="9" scale="31" fitToHeight="7" orientation="landscape" r:id="rId26"/>
    </customSheetView>
    <customSheetView guid="{0C6DA001-EF29-43B3-B8E5-B7C6D16AED4F}" printArea="1" topLeftCell="A73">
      <selection activeCell="C82" sqref="C82"/>
      <rowBreaks count="5" manualBreakCount="5">
        <brk id="25" max="11" man="1"/>
        <brk id="48" max="11" man="1"/>
        <brk id="84" max="11" man="1"/>
        <brk id="117" max="11" man="1"/>
        <brk id="178" max="11" man="1"/>
      </rowBreaks>
      <pageMargins left="0.15" right="0.15" top="0.5" bottom="0.56000000000000005" header="0" footer="0"/>
      <printOptions horizontalCentered="1"/>
      <pageSetup paperSize="9" scale="31" fitToHeight="7" orientation="landscape" r:id="rId27"/>
    </customSheetView>
    <customSheetView guid="{C57D03F9-88DE-4996-9965-888CDFC990C2}" printArea="1" view="pageBreakPreview">
      <pane xSplit="2" ySplit="7" topLeftCell="C482" activePane="bottomRight" state="frozen"/>
      <selection pane="bottomRight" activeCell="H2" sqref="H2"/>
      <rowBreaks count="5" manualBreakCount="5">
        <brk id="51" max="10" man="1"/>
        <brk id="89" max="10" man="1"/>
        <brk id="118" max="10" man="1"/>
        <brk id="147" max="10" man="1"/>
        <brk id="183" max="10" man="1"/>
      </rowBreaks>
      <pageMargins left="0.15" right="0.15" top="0.5" bottom="0.56000000000000005" header="0" footer="0"/>
      <printOptions horizontalCentered="1"/>
      <pageSetup paperSize="9" scale="31" fitToHeight="7" orientation="landscape" r:id="rId28"/>
    </customSheetView>
    <customSheetView guid="{51A412B5-0E75-4615-BBB6-5CF03E1A3E32}" printArea="1">
      <pane ySplit="4" topLeftCell="A8" activePane="bottomLeft" state="frozen"/>
      <selection pane="bottomLeft" activeCell="I45" sqref="I45"/>
      <pageMargins left="0.15" right="0.15" top="0.5" bottom="0.56000000000000005" header="0" footer="0"/>
      <printOptions horizontalCentered="1"/>
      <pageSetup paperSize="9" scale="31" fitToHeight="7" orientation="landscape" r:id="rId29"/>
    </customSheetView>
  </customSheetViews>
  <mergeCells count="4">
    <mergeCell ref="A6:L6"/>
    <mergeCell ref="C240:D240"/>
    <mergeCell ref="A228:D228"/>
    <mergeCell ref="A229:D229"/>
  </mergeCells>
  <phoneticPr fontId="104" type="noConversion"/>
  <printOptions horizontalCentered="1"/>
  <pageMargins left="0.15" right="0.15" top="0.33" bottom="0.3" header="0" footer="0"/>
  <pageSetup paperSize="9" fitToHeight="10" orientation="landscape"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3:AC94"/>
  <sheetViews>
    <sheetView topLeftCell="A40" zoomScaleNormal="100" zoomScaleSheetLayoutView="85" workbookViewId="0">
      <selection activeCell="E53" sqref="E53"/>
    </sheetView>
  </sheetViews>
  <sheetFormatPr defaultRowHeight="15"/>
  <cols>
    <col min="1" max="1" width="4.109375" customWidth="1"/>
    <col min="2" max="2" width="16.33203125" customWidth="1"/>
    <col min="3" max="3" width="8" customWidth="1"/>
    <col min="4" max="4" width="8.109375" customWidth="1"/>
    <col min="5" max="5" width="33.77734375" customWidth="1"/>
    <col min="6" max="6" width="8" style="965" customWidth="1"/>
    <col min="7" max="7" width="9.21875" bestFit="1" customWidth="1"/>
    <col min="8" max="8" width="15" style="804" customWidth="1"/>
    <col min="9" max="9" width="13.21875" customWidth="1"/>
    <col min="10" max="10" width="13.21875" bestFit="1" customWidth="1"/>
    <col min="11" max="11" width="14.33203125" customWidth="1"/>
    <col min="12" max="12" width="6.77734375" customWidth="1"/>
    <col min="13" max="13" width="27.88671875" customWidth="1"/>
  </cols>
  <sheetData>
    <row r="3" spans="1:13" ht="15.75">
      <c r="A3" s="357" t="s">
        <v>567</v>
      </c>
      <c r="B3" s="358"/>
      <c r="C3" s="358"/>
      <c r="D3" s="358"/>
      <c r="E3" s="358"/>
      <c r="G3" s="366"/>
    </row>
    <row r="4" spans="1:13" ht="15.75">
      <c r="A4" s="358"/>
      <c r="B4" s="358"/>
      <c r="C4" s="358"/>
      <c r="D4" s="358"/>
      <c r="E4" s="358" t="s">
        <v>1851</v>
      </c>
      <c r="G4" s="366"/>
    </row>
    <row r="5" spans="1:13" ht="15.75">
      <c r="A5" s="359" t="s">
        <v>472</v>
      </c>
      <c r="G5" s="366"/>
    </row>
    <row r="6" spans="1:13" ht="18" customHeight="1" thickBot="1">
      <c r="A6" s="359" t="s">
        <v>473</v>
      </c>
      <c r="G6" s="366"/>
    </row>
    <row r="7" spans="1:13">
      <c r="A7" s="324" t="s">
        <v>1</v>
      </c>
      <c r="B7" s="323" t="s">
        <v>27</v>
      </c>
      <c r="C7" s="324" t="s">
        <v>52</v>
      </c>
      <c r="D7" s="324" t="s">
        <v>9</v>
      </c>
      <c r="E7" s="326" t="s">
        <v>2</v>
      </c>
      <c r="F7" s="760" t="s">
        <v>393</v>
      </c>
      <c r="G7" s="17" t="s">
        <v>55</v>
      </c>
      <c r="H7" s="365" t="s">
        <v>56</v>
      </c>
      <c r="I7" s="324" t="s">
        <v>57</v>
      </c>
      <c r="J7" s="324" t="s">
        <v>58</v>
      </c>
      <c r="K7" s="324" t="s">
        <v>482</v>
      </c>
      <c r="L7" s="324" t="s">
        <v>65</v>
      </c>
      <c r="M7" s="325" t="s">
        <v>493</v>
      </c>
    </row>
    <row r="8" spans="1:13" ht="15.75" thickBot="1">
      <c r="A8" s="440"/>
      <c r="B8" s="441"/>
      <c r="C8" s="440"/>
      <c r="D8" s="440"/>
      <c r="E8" s="855"/>
      <c r="F8" s="442"/>
      <c r="G8" s="443" t="s">
        <v>391</v>
      </c>
      <c r="H8" s="805"/>
      <c r="I8" s="440"/>
      <c r="J8" s="440"/>
      <c r="K8" s="444" t="s">
        <v>481</v>
      </c>
      <c r="L8" s="440"/>
      <c r="M8" s="442"/>
    </row>
    <row r="9" spans="1:13" s="1445" customFormat="1" ht="23.25" customHeight="1" thickBot="1">
      <c r="A9" s="1229"/>
      <c r="B9" s="1442"/>
      <c r="C9" s="1443"/>
      <c r="D9" s="1444"/>
      <c r="E9" s="1401"/>
      <c r="F9" s="1229"/>
      <c r="G9" s="1232"/>
      <c r="H9" s="1233"/>
      <c r="I9" s="1234"/>
      <c r="J9" s="1235"/>
      <c r="K9" s="1236"/>
      <c r="L9" s="1229"/>
      <c r="M9" s="1446"/>
    </row>
    <row r="10" spans="1:13" ht="24.75" customHeight="1" thickBot="1">
      <c r="A10" s="1333"/>
      <c r="B10" s="1333"/>
      <c r="C10" s="1333"/>
      <c r="D10" s="1333"/>
      <c r="E10" s="1333"/>
      <c r="F10" s="1333"/>
      <c r="G10" s="1333"/>
      <c r="H10" s="1333"/>
      <c r="I10" s="1333"/>
      <c r="J10" s="1333"/>
      <c r="K10" s="1333"/>
      <c r="L10" s="1333"/>
      <c r="M10" s="1333"/>
    </row>
    <row r="11" spans="1:13" s="1342" customFormat="1" ht="23.25" customHeight="1" thickBot="1">
      <c r="A11" s="1321"/>
      <c r="B11" s="1333"/>
      <c r="C11" s="1334"/>
      <c r="D11" s="1335"/>
      <c r="E11" s="1336"/>
      <c r="F11" s="1321"/>
      <c r="G11" s="1337"/>
      <c r="H11" s="1338"/>
      <c r="I11" s="1339"/>
      <c r="J11" s="1339"/>
      <c r="K11" s="1339"/>
      <c r="L11" s="1340"/>
      <c r="M11" s="1341"/>
    </row>
    <row r="12" spans="1:13" s="472" customFormat="1" ht="16.5" customHeight="1" thickBot="1">
      <c r="B12" s="1122"/>
      <c r="C12" s="1123"/>
      <c r="F12" s="1172"/>
      <c r="H12" s="1016" t="s">
        <v>51</v>
      </c>
      <c r="I12" s="1018">
        <f>SUM(I9:I11)</f>
        <v>0</v>
      </c>
      <c r="J12" s="473">
        <f>SUM(J9:J11)</f>
        <v>0</v>
      </c>
      <c r="K12" s="473">
        <f>SUM(K9:K11)</f>
        <v>0</v>
      </c>
    </row>
    <row r="13" spans="1:13" s="472" customFormat="1" ht="16.5" customHeight="1" thickBot="1">
      <c r="F13" s="1172"/>
      <c r="H13" s="803" t="s">
        <v>483</v>
      </c>
      <c r="I13" s="1017"/>
      <c r="J13" s="474"/>
      <c r="K13" s="475" t="e">
        <f>K12/J12</f>
        <v>#DIV/0!</v>
      </c>
    </row>
    <row r="14" spans="1:13">
      <c r="E14" s="469"/>
    </row>
    <row r="15" spans="1:13" ht="15.75">
      <c r="A15" s="359" t="s">
        <v>480</v>
      </c>
      <c r="E15" s="469"/>
    </row>
    <row r="16" spans="1:13">
      <c r="E16" s="469"/>
    </row>
    <row r="17" spans="1:19" ht="15.75" thickBot="1">
      <c r="E17" s="469"/>
    </row>
    <row r="18" spans="1:19" s="1351" customFormat="1" ht="23.25" customHeight="1" thickBot="1">
      <c r="A18" s="1343"/>
      <c r="B18" s="1344"/>
      <c r="C18" s="1335"/>
      <c r="D18" s="1335"/>
      <c r="E18" s="1345"/>
      <c r="F18" s="1321"/>
      <c r="G18" s="1346"/>
      <c r="H18" s="1324"/>
      <c r="I18" s="1325"/>
      <c r="J18" s="1325"/>
      <c r="K18" s="1339"/>
      <c r="L18" s="1347"/>
      <c r="M18" s="1348"/>
      <c r="N18" s="1349"/>
      <c r="O18" s="1350"/>
      <c r="P18" s="1350"/>
      <c r="Q18" s="1350"/>
      <c r="R18" s="1350"/>
      <c r="S18" s="1350"/>
    </row>
    <row r="19" spans="1:19" s="472" customFormat="1" ht="16.5" customHeight="1" thickBot="1">
      <c r="F19" s="1172"/>
      <c r="H19" s="1016" t="s">
        <v>51</v>
      </c>
      <c r="I19" s="1018">
        <f>SUM(I18:I18)</f>
        <v>0</v>
      </c>
      <c r="J19" s="473">
        <f>SUM(J18:J18)</f>
        <v>0</v>
      </c>
      <c r="K19" s="473">
        <f>SUM(K18:K18)</f>
        <v>0</v>
      </c>
    </row>
    <row r="20" spans="1:19" s="472" customFormat="1" ht="16.5" customHeight="1" thickBot="1">
      <c r="F20" s="1172"/>
      <c r="H20" s="803" t="s">
        <v>483</v>
      </c>
      <c r="I20" s="1017"/>
      <c r="J20" s="474"/>
      <c r="K20" s="475" t="e">
        <f>K19/J19</f>
        <v>#DIV/0!</v>
      </c>
    </row>
    <row r="21" spans="1:19" s="237" customFormat="1">
      <c r="F21" s="1173"/>
      <c r="H21" s="806"/>
    </row>
    <row r="22" spans="1:19" s="237" customFormat="1" ht="15.75">
      <c r="A22" s="236" t="s">
        <v>474</v>
      </c>
      <c r="F22" s="1173"/>
      <c r="G22" s="438"/>
      <c r="H22" s="806"/>
    </row>
    <row r="23" spans="1:19" s="237" customFormat="1" ht="15.75">
      <c r="A23" s="236" t="s">
        <v>475</v>
      </c>
      <c r="F23" s="1173"/>
      <c r="G23" s="438"/>
      <c r="H23" s="806"/>
    </row>
    <row r="24" spans="1:19" s="237" customFormat="1" ht="15.75">
      <c r="A24" s="236" t="s">
        <v>476</v>
      </c>
      <c r="F24" s="1173"/>
      <c r="G24" s="438"/>
      <c r="H24" s="806"/>
    </row>
    <row r="25" spans="1:19" s="237" customFormat="1" ht="15.75">
      <c r="A25" s="236" t="s">
        <v>477</v>
      </c>
      <c r="F25" s="1173"/>
      <c r="G25" s="438"/>
      <c r="H25" s="806"/>
    </row>
    <row r="26" spans="1:19" s="237" customFormat="1">
      <c r="F26" s="1173"/>
      <c r="H26" s="806"/>
    </row>
    <row r="27" spans="1:19" s="237" customFormat="1">
      <c r="F27" s="1173"/>
      <c r="H27" s="806"/>
    </row>
    <row r="28" spans="1:19" s="237" customFormat="1" ht="15.75" thickBot="1">
      <c r="F28" s="1174"/>
      <c r="H28" s="806"/>
    </row>
    <row r="29" spans="1:19" s="1328" customFormat="1" ht="27.75" customHeight="1" thickBot="1">
      <c r="A29" s="1321"/>
      <c r="B29" s="1322"/>
      <c r="C29" s="1322"/>
      <c r="D29" s="1322"/>
      <c r="E29" s="1323"/>
      <c r="F29" s="1321"/>
      <c r="G29" s="1330"/>
      <c r="H29" s="1324"/>
      <c r="I29" s="1325"/>
      <c r="J29" s="1326"/>
      <c r="K29" s="1331"/>
      <c r="L29" s="1332"/>
      <c r="M29" s="1327"/>
    </row>
    <row r="30" spans="1:19" s="429" customFormat="1" ht="16.5" customHeight="1" thickBot="1">
      <c r="A30" s="663"/>
      <c r="B30" s="663"/>
      <c r="C30" s="663"/>
      <c r="D30" s="663"/>
      <c r="E30" s="1042"/>
      <c r="F30" s="1175"/>
      <c r="G30" s="663"/>
      <c r="H30" s="1045" t="s">
        <v>51</v>
      </c>
      <c r="I30" s="1043">
        <f>SUM(I29:I29)</f>
        <v>0</v>
      </c>
      <c r="J30" s="473">
        <f>SUM(J29:J29)</f>
        <v>0</v>
      </c>
      <c r="K30" s="473">
        <f>SUM(K29:K29)</f>
        <v>0</v>
      </c>
    </row>
    <row r="31" spans="1:19" s="429" customFormat="1" ht="16.5" customHeight="1" thickBot="1">
      <c r="E31" s="883"/>
      <c r="F31" s="1176"/>
      <c r="H31" s="1044" t="s">
        <v>483</v>
      </c>
      <c r="I31" s="1017"/>
      <c r="J31" s="474"/>
      <c r="K31" s="475" t="e">
        <f>K30/J30</f>
        <v>#DIV/0!</v>
      </c>
    </row>
    <row r="32" spans="1:19" s="429" customFormat="1" ht="10.5" customHeight="1">
      <c r="E32" s="883"/>
      <c r="F32" s="1176"/>
      <c r="H32" s="808"/>
    </row>
    <row r="33" spans="1:13" s="429" customFormat="1" ht="15.75">
      <c r="A33" s="470" t="s">
        <v>478</v>
      </c>
      <c r="E33" s="883"/>
      <c r="F33" s="1176"/>
      <c r="H33" s="808"/>
    </row>
    <row r="34" spans="1:13" s="429" customFormat="1" ht="15.75" thickBot="1">
      <c r="E34" s="883"/>
      <c r="F34" s="1176"/>
      <c r="H34" s="808"/>
    </row>
    <row r="35" spans="1:13" s="1328" customFormat="1" ht="24" customHeight="1" thickBot="1">
      <c r="A35" s="1229">
        <v>1</v>
      </c>
      <c r="B35" s="1431"/>
      <c r="C35" s="1230"/>
      <c r="D35" s="1230"/>
      <c r="E35" s="1432"/>
      <c r="F35" s="1229"/>
      <c r="G35" s="1232"/>
      <c r="H35" s="1233"/>
      <c r="I35" s="1234"/>
      <c r="J35" s="1235"/>
      <c r="K35" s="1236"/>
      <c r="L35" s="1229"/>
      <c r="M35" s="1329"/>
    </row>
    <row r="36" spans="1:13" s="1328" customFormat="1" ht="24" customHeight="1" thickBot="1">
      <c r="A36" s="1229">
        <v>2</v>
      </c>
      <c r="B36" s="1431"/>
      <c r="C36" s="1230"/>
      <c r="D36" s="1230"/>
      <c r="E36" s="1432"/>
      <c r="F36" s="1229"/>
      <c r="G36" s="1232"/>
      <c r="H36" s="1233"/>
      <c r="I36" s="1234"/>
      <c r="J36" s="1235"/>
      <c r="K36" s="1236"/>
      <c r="L36" s="1229"/>
      <c r="M36" s="1327"/>
    </row>
    <row r="37" spans="1:13" s="237" customFormat="1" ht="16.5" customHeight="1" thickBot="1">
      <c r="A37" s="1229">
        <v>3</v>
      </c>
      <c r="B37" s="1431"/>
      <c r="C37" s="1230"/>
      <c r="D37" s="1230"/>
      <c r="E37" s="1231"/>
      <c r="F37" s="1229"/>
      <c r="G37" s="1232"/>
      <c r="H37" s="1233"/>
      <c r="I37" s="1234"/>
      <c r="J37" s="1235"/>
      <c r="K37" s="1236"/>
      <c r="L37" s="1229"/>
    </row>
    <row r="38" spans="1:13" s="237" customFormat="1" ht="13.5" customHeight="1" thickBot="1">
      <c r="A38" s="1229">
        <v>4</v>
      </c>
      <c r="B38" s="1431"/>
      <c r="C38" s="1230"/>
      <c r="D38" s="1230"/>
      <c r="E38" s="1231"/>
      <c r="F38" s="1229"/>
      <c r="G38" s="1232"/>
      <c r="H38" s="1233"/>
      <c r="I38" s="1234"/>
      <c r="J38" s="1235"/>
      <c r="K38" s="1236"/>
      <c r="L38" s="1229"/>
    </row>
    <row r="39" spans="1:13" s="237" customFormat="1" ht="15.75">
      <c r="A39" s="236" t="s">
        <v>479</v>
      </c>
      <c r="E39" s="884"/>
      <c r="F39" s="1173"/>
      <c r="G39" s="438"/>
      <c r="H39" s="806"/>
    </row>
    <row r="40" spans="1:13" s="237" customFormat="1" ht="15.75">
      <c r="A40" s="236" t="s">
        <v>477</v>
      </c>
      <c r="E40" s="884"/>
      <c r="F40" s="1173"/>
      <c r="G40" s="438"/>
      <c r="H40" s="806"/>
    </row>
    <row r="41" spans="1:13" s="237" customFormat="1" ht="16.5" thickBot="1">
      <c r="A41" s="1002"/>
      <c r="B41" s="1003"/>
      <c r="E41" s="1012"/>
      <c r="F41" s="1173"/>
      <c r="G41" s="438"/>
      <c r="H41" s="806"/>
    </row>
    <row r="42" spans="1:13" s="1054" customFormat="1" ht="26.25" customHeight="1" thickBot="1">
      <c r="A42" s="1229"/>
      <c r="B42" s="1230"/>
      <c r="C42" s="1230"/>
      <c r="D42" s="1230"/>
      <c r="E42" s="1238"/>
      <c r="F42" s="1229"/>
      <c r="G42" s="1232"/>
      <c r="H42" s="1233"/>
      <c r="I42" s="1234"/>
      <c r="J42" s="1235"/>
      <c r="K42" s="1236"/>
      <c r="L42" s="1239"/>
      <c r="M42" s="1240"/>
    </row>
    <row r="43" spans="1:13" s="237" customFormat="1" ht="15.75" customHeight="1" thickBot="1">
      <c r="A43" s="1011"/>
      <c r="E43" s="884"/>
      <c r="F43" s="1173"/>
      <c r="H43" s="1016" t="s">
        <v>51</v>
      </c>
      <c r="I43" s="1018">
        <f>SUM(I42)</f>
        <v>0</v>
      </c>
      <c r="J43" s="1018">
        <f>SUM(J42)</f>
        <v>0</v>
      </c>
      <c r="K43" s="1018">
        <f>SUM(K42)</f>
        <v>0</v>
      </c>
    </row>
    <row r="44" spans="1:13" s="237" customFormat="1" ht="16.5" customHeight="1" thickBot="1">
      <c r="C44" s="1001"/>
      <c r="D44" s="1001"/>
      <c r="E44" s="884"/>
      <c r="F44" s="1173"/>
      <c r="H44" s="803" t="s">
        <v>483</v>
      </c>
      <c r="I44" s="1017"/>
      <c r="J44" s="474"/>
      <c r="K44" s="475" t="e">
        <f>K43/J43</f>
        <v>#DIV/0!</v>
      </c>
    </row>
    <row r="45" spans="1:13" s="237" customFormat="1">
      <c r="E45" s="884"/>
      <c r="F45" s="1173"/>
      <c r="H45" s="806"/>
    </row>
    <row r="46" spans="1:13" s="237" customFormat="1" ht="15.75">
      <c r="A46" s="236" t="s">
        <v>478</v>
      </c>
      <c r="E46" s="884"/>
      <c r="F46" s="1173"/>
      <c r="H46" s="806"/>
    </row>
    <row r="47" spans="1:13" s="237" customFormat="1" ht="16.5" thickBot="1">
      <c r="A47" s="236"/>
      <c r="B47" s="1003"/>
      <c r="E47" s="884"/>
      <c r="F47" s="1173"/>
      <c r="H47" s="806"/>
    </row>
    <row r="48" spans="1:13" s="1054" customFormat="1" ht="24" customHeight="1" thickBot="1">
      <c r="A48" s="1229">
        <v>1</v>
      </c>
      <c r="B48" s="1232" t="s">
        <v>1842</v>
      </c>
      <c r="C48" s="1230">
        <f>+VLOOKUP(E48,'Consolidate TL'!$B$8:$K$2562,9,FALSE)</f>
        <v>43133</v>
      </c>
      <c r="D48" s="1607">
        <f>+VLOOKUP(E48,'Consolidate TL'!$B$8:$K$2562,10,FALSE)</f>
        <v>48612</v>
      </c>
      <c r="E48" s="1691" t="s">
        <v>1835</v>
      </c>
      <c r="F48" s="1239" t="str">
        <f>+VLOOKUP(E48,'New Master-List'!$B$1:$AI$4802,10,FALSE)</f>
        <v>HL</v>
      </c>
      <c r="G48" s="1232">
        <v>180</v>
      </c>
      <c r="H48" s="1233">
        <f>+VLOOKUP(E48,'Consolidate TL'!$B$8:$K$2562,3,FALSE)</f>
        <v>6.5000000000000002E-2</v>
      </c>
      <c r="I48" s="1234">
        <f>+VLOOKUP(E48,'Consolidate TL'!$B$8:$K$2562,4,FALSE)</f>
        <v>70000</v>
      </c>
      <c r="J48" s="1235">
        <f>+VLOOKUP(E48,'Consolidate TL'!$B$8:$K$2562,8,FALSE)</f>
        <v>70000</v>
      </c>
      <c r="K48" s="1236">
        <f>J48*H48</f>
        <v>4550</v>
      </c>
      <c r="L48" s="1229" t="s">
        <v>67</v>
      </c>
      <c r="M48" s="1446" t="s">
        <v>615</v>
      </c>
    </row>
    <row r="49" spans="1:29" s="1054" customFormat="1" ht="24" customHeight="1" thickBot="1">
      <c r="A49" s="1229">
        <v>2</v>
      </c>
      <c r="B49" s="1232" t="s">
        <v>1843</v>
      </c>
      <c r="C49" s="1230">
        <f>+VLOOKUP(E49,'Consolidate TL'!$B$8:$K$2562,9,FALSE)</f>
        <v>43136</v>
      </c>
      <c r="D49" s="1607">
        <f>+VLOOKUP(E49,'Consolidate TL'!$B$8:$K$2562,10,FALSE)</f>
        <v>46788</v>
      </c>
      <c r="E49" s="1691" t="s">
        <v>1836</v>
      </c>
      <c r="F49" s="1239" t="str">
        <f>+VLOOKUP(E49,'New Master-List'!$B$1:$AI$4802,10,FALSE)</f>
        <v>HL</v>
      </c>
      <c r="G49" s="1232">
        <v>120</v>
      </c>
      <c r="H49" s="1233">
        <f>+VLOOKUP(E49,'Consolidate TL'!$B$8:$K$2562,3,FALSE)</f>
        <v>7.4999999999999997E-2</v>
      </c>
      <c r="I49" s="1234">
        <f>+VLOOKUP(E49,'Consolidate TL'!$B$8:$K$2562,4,FALSE)</f>
        <v>20000</v>
      </c>
      <c r="J49" s="1235">
        <f>+VLOOKUP(E49,'Consolidate TL'!$B$8:$K$2562,8,FALSE)</f>
        <v>20000</v>
      </c>
      <c r="K49" s="1236">
        <f t="shared" ref="K49:K55" si="0">J49*H49</f>
        <v>1500</v>
      </c>
      <c r="L49" s="1229" t="s">
        <v>67</v>
      </c>
      <c r="M49" s="1446" t="s">
        <v>615</v>
      </c>
    </row>
    <row r="50" spans="1:29" s="1054" customFormat="1" ht="24" customHeight="1" thickBot="1">
      <c r="A50" s="1229">
        <v>3</v>
      </c>
      <c r="B50" s="1232" t="s">
        <v>1844</v>
      </c>
      <c r="C50" s="1230">
        <f>+VLOOKUP(E50,'Consolidate TL'!$B$8:$K$2562,9,FALSE)</f>
        <v>43136</v>
      </c>
      <c r="D50" s="1607">
        <f>+VLOOKUP(E50,'Consolidate TL'!$B$8:$K$2562,10,FALSE)</f>
        <v>48615</v>
      </c>
      <c r="E50" s="1691" t="s">
        <v>1837</v>
      </c>
      <c r="F50" s="1239" t="str">
        <f>+VLOOKUP(E50,'New Master-List'!$B$1:$AI$4802,10,FALSE)</f>
        <v>HL</v>
      </c>
      <c r="G50" s="1232">
        <v>180</v>
      </c>
      <c r="H50" s="1233">
        <f>+VLOOKUP(E50,'Consolidate TL'!$B$8:$K$2562,3,FALSE)</f>
        <v>9.5000000000000001E-2</v>
      </c>
      <c r="I50" s="1234">
        <f>+VLOOKUP(E50,'Consolidate TL'!$B$8:$K$2562,4,FALSE)</f>
        <v>82680</v>
      </c>
      <c r="J50" s="1235">
        <f>+VLOOKUP(E50,'Consolidate TL'!$B$8:$K$2562,8,FALSE)</f>
        <v>82680</v>
      </c>
      <c r="K50" s="1236">
        <f t="shared" si="0"/>
        <v>7854.6</v>
      </c>
      <c r="L50" s="1229" t="s">
        <v>67</v>
      </c>
      <c r="M50" s="1446" t="s">
        <v>615</v>
      </c>
    </row>
    <row r="51" spans="1:29" s="1054" customFormat="1" ht="24" customHeight="1" thickBot="1">
      <c r="A51" s="1229">
        <v>4</v>
      </c>
      <c r="B51" s="1232" t="s">
        <v>1845</v>
      </c>
      <c r="C51" s="1230">
        <f>+VLOOKUP(E51,'Consolidate TL'!$B$8:$K$2562,9,FALSE)</f>
        <v>43143</v>
      </c>
      <c r="D51" s="1607">
        <f>+VLOOKUP(E51,'Consolidate TL'!$B$8:$K$2562,10,FALSE)</f>
        <v>48622</v>
      </c>
      <c r="E51" s="1691" t="s">
        <v>1838</v>
      </c>
      <c r="F51" s="1239" t="str">
        <f>+VLOOKUP(E51,'New Master-List'!$B$1:$AI$4802,10,FALSE)</f>
        <v>HL</v>
      </c>
      <c r="G51" s="1682">
        <v>180</v>
      </c>
      <c r="H51" s="1233">
        <f>+VLOOKUP(E51,'Consolidate TL'!$B$8:$K$2562,3,FALSE)</f>
        <v>9.5000000000000001E-2</v>
      </c>
      <c r="I51" s="1234">
        <f>+VLOOKUP(E51,'Consolidate TL'!$B$8:$K$2562,4,FALSE)</f>
        <v>82000</v>
      </c>
      <c r="J51" s="1235">
        <f>+VLOOKUP(E51,'Consolidate TL'!$B$8:$K$2562,8,FALSE)</f>
        <v>82000</v>
      </c>
      <c r="K51" s="1236">
        <f t="shared" si="0"/>
        <v>7790</v>
      </c>
      <c r="L51" s="1681" t="s">
        <v>67</v>
      </c>
      <c r="M51" s="1683" t="s">
        <v>615</v>
      </c>
    </row>
    <row r="52" spans="1:29" s="1054" customFormat="1" ht="24" customHeight="1" thickBot="1">
      <c r="A52" s="1229">
        <v>5</v>
      </c>
      <c r="B52" s="1232" t="s">
        <v>1846</v>
      </c>
      <c r="C52" s="1230">
        <f>+VLOOKUP(E52,'Consolidate TL'!$B$8:$K$2562,9,FALSE)</f>
        <v>43145</v>
      </c>
      <c r="D52" s="1607">
        <f>+VLOOKUP(E52,'Consolidate TL'!$B$8:$K$2562,10,FALSE)</f>
        <v>48624</v>
      </c>
      <c r="E52" s="1691" t="s">
        <v>1839</v>
      </c>
      <c r="F52" s="1239" t="str">
        <f>+VLOOKUP(E52,'New Master-List'!$B$1:$AI$4802,10,FALSE)</f>
        <v>HL</v>
      </c>
      <c r="G52" s="1232">
        <v>180</v>
      </c>
      <c r="H52" s="1233">
        <f>+VLOOKUP(E52,'Consolidate TL'!$B$8:$K$2562,3,FALSE)</f>
        <v>7.4999999999999997E-2</v>
      </c>
      <c r="I52" s="1234">
        <f>+VLOOKUP(E52,'Consolidate TL'!$B$8:$K$2562,4,FALSE)</f>
        <v>45000</v>
      </c>
      <c r="J52" s="1235">
        <f>+VLOOKUP(E52,'Consolidate TL'!$B$8:$K$2562,8,FALSE)</f>
        <v>45000</v>
      </c>
      <c r="K52" s="1236">
        <f t="shared" si="0"/>
        <v>3375</v>
      </c>
      <c r="L52" s="1229" t="s">
        <v>67</v>
      </c>
      <c r="M52" s="1446" t="s">
        <v>615</v>
      </c>
    </row>
    <row r="53" spans="1:29" s="1054" customFormat="1" ht="24" customHeight="1" thickBot="1">
      <c r="A53" s="1229">
        <v>6</v>
      </c>
      <c r="B53" s="1232" t="s">
        <v>1847</v>
      </c>
      <c r="C53" s="1230">
        <f>+VLOOKUP(E53,'Consolidate TL'!$B$8:$K$2562,9,FALSE)</f>
        <v>43152</v>
      </c>
      <c r="D53" s="1607">
        <f>+VLOOKUP(E53,'Consolidate TL'!$B$8:$K$2562,10,FALSE)</f>
        <v>12106</v>
      </c>
      <c r="E53" s="1691" t="s">
        <v>1840</v>
      </c>
      <c r="F53" s="1239" t="str">
        <f>+VLOOKUP(E53,'New Master-List'!$B$1:$AI$4802,10,FALSE)</f>
        <v>HL</v>
      </c>
      <c r="G53" s="1682">
        <v>180</v>
      </c>
      <c r="H53" s="1233">
        <f>+VLOOKUP(E53,'Consolidate TL'!$B$8:$K$2562,3,FALSE)</f>
        <v>9.5000000000000001E-2</v>
      </c>
      <c r="I53" s="1234">
        <f>+VLOOKUP(E53,'Consolidate TL'!$B$8:$K$2562,4,FALSE)</f>
        <v>59000</v>
      </c>
      <c r="J53" s="1235">
        <f>+VLOOKUP(E53,'Consolidate TL'!$B$8:$K$2562,8,FALSE)</f>
        <v>59000</v>
      </c>
      <c r="K53" s="1236">
        <f t="shared" si="0"/>
        <v>5605</v>
      </c>
      <c r="L53" s="1681" t="s">
        <v>67</v>
      </c>
      <c r="M53" s="1683" t="s">
        <v>615</v>
      </c>
    </row>
    <row r="54" spans="1:29" s="1054" customFormat="1" ht="24" customHeight="1" thickBot="1">
      <c r="A54" s="1681">
        <v>7</v>
      </c>
      <c r="B54" s="1232" t="s">
        <v>1848</v>
      </c>
      <c r="C54" s="1230">
        <f>+VLOOKUP(E54,'Consolidate TL'!$B$8:$K$2562,9,FALSE)</f>
        <v>43153</v>
      </c>
      <c r="D54" s="1607">
        <f>+VLOOKUP(E54,'Consolidate TL'!$B$8:$K$2562,10,FALSE)</f>
        <v>48632</v>
      </c>
      <c r="E54" s="1691" t="s">
        <v>1841</v>
      </c>
      <c r="F54" s="1239" t="str">
        <f>+VLOOKUP(E54,'New Master-List'!$B$1:$AI$4802,10,FALSE)</f>
        <v>HL</v>
      </c>
      <c r="G54" s="1682">
        <v>180</v>
      </c>
      <c r="H54" s="1233">
        <f>+VLOOKUP(E54,'Consolidate TL'!$B$8:$K$2562,3,FALSE)</f>
        <v>7.4999999999999997E-2</v>
      </c>
      <c r="I54" s="1234">
        <f>+VLOOKUP(E54,'Consolidate TL'!$B$8:$K$2562,4,FALSE)</f>
        <v>36000</v>
      </c>
      <c r="J54" s="1235">
        <f>+VLOOKUP(E54,'Consolidate TL'!$B$8:$K$2562,8,FALSE)</f>
        <v>36000</v>
      </c>
      <c r="K54" s="1236">
        <f t="shared" si="0"/>
        <v>2700</v>
      </c>
      <c r="L54" s="1229" t="s">
        <v>67</v>
      </c>
      <c r="M54" s="1446" t="s">
        <v>615</v>
      </c>
    </row>
    <row r="55" spans="1:29" s="1054" customFormat="1" ht="24" customHeight="1" thickBot="1">
      <c r="A55" s="1686">
        <v>8</v>
      </c>
      <c r="B55" s="1232" t="s">
        <v>1849</v>
      </c>
      <c r="C55" s="1230">
        <f>+VLOOKUP(E55,'Consolidate TL'!$B$8:$K$2562,9,FALSE)</f>
        <v>43145</v>
      </c>
      <c r="D55" s="1607">
        <f>+VLOOKUP(E55,'Consolidate TL'!$B$8:$K$2562,10,FALSE)</f>
        <v>45336</v>
      </c>
      <c r="E55" s="1693" t="s">
        <v>1850</v>
      </c>
      <c r="F55" s="1239" t="str">
        <f>+VLOOKUP(E55,'New Master-List'!$B$1:$AI$4802,10,FALSE)</f>
        <v>HL</v>
      </c>
      <c r="G55" s="1232">
        <v>72</v>
      </c>
      <c r="H55" s="1233">
        <f>+VLOOKUP(E55,'Consolidate TL'!$B$8:$K$2562,3,FALSE)</f>
        <v>9.5000000000000001E-2</v>
      </c>
      <c r="I55" s="1234">
        <f>+VLOOKUP(E55,'Consolidate TL'!$B$8:$K$2562,4,FALSE)</f>
        <v>65000</v>
      </c>
      <c r="J55" s="1235">
        <f>+VLOOKUP(E55,'Consolidate TL'!$B$8:$K$2562,8,FALSE)</f>
        <v>52018.57</v>
      </c>
      <c r="K55" s="1236">
        <f t="shared" si="0"/>
        <v>4941.76415</v>
      </c>
      <c r="L55" s="1229" t="s">
        <v>67</v>
      </c>
      <c r="M55" s="1446" t="s">
        <v>615</v>
      </c>
    </row>
    <row r="56" spans="1:29" s="1687" customFormat="1" ht="16.5" customHeight="1">
      <c r="A56" s="1742"/>
      <c r="B56" s="1743"/>
      <c r="C56" s="1743"/>
      <c r="D56" s="1743"/>
      <c r="E56" s="1743"/>
      <c r="F56" s="1743"/>
      <c r="G56" s="1744"/>
      <c r="H56" s="1688" t="s">
        <v>51</v>
      </c>
      <c r="I56" s="1689">
        <f>SUM(I48:I55)</f>
        <v>459680</v>
      </c>
      <c r="J56" s="1689">
        <f>SUM(J48:J55)</f>
        <v>446698.57</v>
      </c>
      <c r="K56" s="1689">
        <f>SUM(K48:K55)</f>
        <v>38316.364150000001</v>
      </c>
      <c r="N56" s="1690"/>
      <c r="O56" s="1690"/>
      <c r="P56" s="1690"/>
      <c r="Q56" s="1690"/>
      <c r="R56" s="1690"/>
      <c r="S56" s="1690"/>
      <c r="T56" s="1690"/>
      <c r="U56" s="1690"/>
      <c r="V56" s="1690"/>
      <c r="W56" s="1690"/>
      <c r="X56" s="1690"/>
      <c r="Y56" s="1690"/>
      <c r="Z56" s="1690"/>
      <c r="AA56" s="1690"/>
      <c r="AB56" s="1690"/>
      <c r="AC56" s="1690"/>
    </row>
    <row r="57" spans="1:29" s="237" customFormat="1" ht="16.5" customHeight="1" thickBot="1">
      <c r="E57" s="884"/>
      <c r="F57" s="1173"/>
      <c r="H57" s="1044" t="s">
        <v>483</v>
      </c>
      <c r="I57" s="1576"/>
      <c r="J57" s="1577"/>
      <c r="K57" s="1578">
        <f>K56/J56</f>
        <v>8.5776778175045421E-2</v>
      </c>
      <c r="N57" s="429"/>
      <c r="O57" s="429"/>
      <c r="P57" s="429"/>
      <c r="Q57" s="429"/>
      <c r="R57" s="429"/>
      <c r="S57" s="429"/>
      <c r="T57" s="429"/>
      <c r="U57" s="429"/>
      <c r="V57" s="429"/>
      <c r="W57" s="429"/>
      <c r="X57" s="429"/>
      <c r="Y57" s="429"/>
      <c r="Z57" s="429"/>
      <c r="AA57" s="429"/>
      <c r="AB57" s="429"/>
      <c r="AC57" s="429"/>
    </row>
    <row r="58" spans="1:29" s="237" customFormat="1">
      <c r="A58" s="360"/>
      <c r="B58" s="439"/>
      <c r="C58" s="363"/>
      <c r="D58" s="363"/>
      <c r="E58" s="885"/>
      <c r="F58" s="364"/>
      <c r="G58" s="364"/>
      <c r="H58" s="373"/>
      <c r="I58" s="362"/>
      <c r="J58" s="362"/>
      <c r="K58" s="372"/>
      <c r="L58" s="361"/>
      <c r="N58" s="429"/>
      <c r="O58" s="429"/>
      <c r="P58" s="429"/>
      <c r="Q58" s="429"/>
      <c r="R58" s="429"/>
      <c r="S58" s="429"/>
      <c r="T58" s="429"/>
      <c r="U58" s="429"/>
      <c r="V58" s="429"/>
      <c r="W58" s="429"/>
      <c r="X58" s="429"/>
      <c r="Y58" s="429"/>
      <c r="Z58" s="429"/>
      <c r="AA58" s="429"/>
      <c r="AB58" s="429"/>
      <c r="AC58" s="429"/>
    </row>
    <row r="59" spans="1:29" s="237" customFormat="1">
      <c r="E59" s="884"/>
      <c r="F59" s="1173"/>
      <c r="H59" s="806"/>
      <c r="N59" s="429"/>
      <c r="O59" s="429"/>
      <c r="P59" s="429"/>
      <c r="Q59" s="429"/>
      <c r="R59" s="429"/>
      <c r="S59" s="429"/>
      <c r="T59" s="429"/>
      <c r="U59" s="429"/>
      <c r="V59" s="429"/>
      <c r="W59" s="429"/>
      <c r="X59" s="429"/>
      <c r="Y59" s="429"/>
      <c r="Z59" s="429"/>
      <c r="AA59" s="429"/>
      <c r="AB59" s="429"/>
      <c r="AC59" s="429"/>
    </row>
    <row r="60" spans="1:29" s="237" customFormat="1" ht="15.75">
      <c r="A60" s="359" t="s">
        <v>480</v>
      </c>
      <c r="E60" s="884"/>
      <c r="F60" s="1173"/>
      <c r="H60" s="806"/>
      <c r="J60" s="1639"/>
      <c r="N60" s="429"/>
      <c r="O60" s="429"/>
      <c r="P60" s="429"/>
      <c r="Q60" s="429"/>
      <c r="R60" s="429"/>
      <c r="S60" s="429"/>
      <c r="T60" s="429"/>
      <c r="U60" s="429"/>
      <c r="V60" s="429"/>
      <c r="W60" s="429"/>
      <c r="X60" s="429"/>
      <c r="Y60" s="429"/>
      <c r="Z60" s="429"/>
      <c r="AA60" s="429"/>
      <c r="AB60" s="429"/>
      <c r="AC60" s="429"/>
    </row>
    <row r="61" spans="1:29" s="237" customFormat="1" ht="15.75">
      <c r="A61" s="236" t="s">
        <v>476</v>
      </c>
      <c r="E61" s="884"/>
      <c r="F61" s="1173"/>
      <c r="G61" s="438"/>
      <c r="H61" s="806"/>
      <c r="N61" s="1054"/>
      <c r="O61" s="1054"/>
      <c r="P61" s="1054"/>
      <c r="Q61" s="1054"/>
      <c r="R61" s="1054"/>
      <c r="S61" s="1054"/>
      <c r="T61" s="1054"/>
      <c r="U61" s="1054"/>
      <c r="V61" s="1054"/>
      <c r="W61" s="1054"/>
      <c r="X61" s="1054"/>
      <c r="Y61" s="1054"/>
      <c r="Z61" s="1054"/>
      <c r="AA61" s="1054"/>
      <c r="AB61" s="1054"/>
      <c r="AC61" s="1054"/>
    </row>
    <row r="62" spans="1:29" s="237" customFormat="1" ht="24" customHeight="1" thickBot="1">
      <c r="A62" s="359" t="s">
        <v>477</v>
      </c>
      <c r="B62" s="1003"/>
      <c r="E62" s="884"/>
      <c r="F62" s="1173"/>
      <c r="G62" s="438"/>
      <c r="H62" s="806"/>
      <c r="N62" s="429"/>
      <c r="O62" s="429"/>
      <c r="P62" s="429"/>
      <c r="Q62" s="429"/>
      <c r="R62" s="429"/>
      <c r="S62" s="429"/>
      <c r="T62" s="429"/>
      <c r="U62" s="429"/>
      <c r="V62" s="429"/>
      <c r="W62" s="429"/>
      <c r="X62" s="429"/>
      <c r="Y62" s="429"/>
      <c r="Z62" s="429"/>
      <c r="AA62" s="429"/>
      <c r="AB62" s="429"/>
      <c r="AC62" s="429"/>
    </row>
    <row r="63" spans="1:29" s="477" customFormat="1" ht="21" customHeight="1" thickBot="1">
      <c r="A63" s="726"/>
      <c r="B63" s="860"/>
      <c r="C63" s="860"/>
      <c r="D63" s="860"/>
      <c r="E63" s="1048"/>
      <c r="F63" s="726"/>
      <c r="G63" s="1004"/>
      <c r="H63" s="807"/>
      <c r="I63" s="1005"/>
      <c r="J63" s="1005"/>
      <c r="K63" s="1006"/>
      <c r="L63" s="1046"/>
      <c r="M63" s="476"/>
      <c r="N63" s="429"/>
      <c r="O63" s="429"/>
      <c r="P63" s="429"/>
      <c r="Q63" s="429"/>
      <c r="R63" s="429"/>
      <c r="S63" s="429"/>
      <c r="T63" s="429"/>
      <c r="U63" s="429"/>
      <c r="V63" s="429"/>
      <c r="W63" s="429"/>
      <c r="X63" s="429"/>
      <c r="Y63" s="429"/>
      <c r="Z63" s="429"/>
      <c r="AA63" s="429"/>
      <c r="AB63" s="429"/>
      <c r="AC63" s="429"/>
    </row>
    <row r="64" spans="1:29" s="429" customFormat="1" ht="16.5" customHeight="1" thickBot="1">
      <c r="A64" s="481"/>
      <c r="E64" s="883"/>
      <c r="F64" s="1176"/>
      <c r="G64" s="482"/>
      <c r="H64" s="839" t="s">
        <v>51</v>
      </c>
      <c r="I64" s="1018">
        <f>SUM(I63)</f>
        <v>0</v>
      </c>
      <c r="J64" s="1018">
        <f>SUM(J63)</f>
        <v>0</v>
      </c>
      <c r="K64" s="1018">
        <f>SUM(K63)</f>
        <v>0</v>
      </c>
    </row>
    <row r="65" spans="1:29" s="429" customFormat="1" ht="17.25" customHeight="1" thickBot="1">
      <c r="A65" s="481"/>
      <c r="E65" s="883"/>
      <c r="F65" s="1176"/>
      <c r="G65" s="482"/>
      <c r="H65" s="803" t="s">
        <v>483</v>
      </c>
      <c r="I65" s="1017"/>
      <c r="J65" s="474"/>
      <c r="K65" s="475" t="e">
        <f>K64/J64</f>
        <v>#DIV/0!</v>
      </c>
    </row>
    <row r="66" spans="1:29" s="429" customFormat="1" ht="17.25" customHeight="1">
      <c r="A66" s="481"/>
      <c r="E66" s="883"/>
      <c r="F66" s="1176"/>
      <c r="G66" s="482"/>
      <c r="H66" s="808"/>
      <c r="I66" s="484"/>
      <c r="J66" s="484"/>
      <c r="K66" s="485"/>
    </row>
    <row r="67" spans="1:29" s="429" customFormat="1" ht="17.25" customHeight="1">
      <c r="A67" s="481"/>
      <c r="D67" s="1581"/>
      <c r="E67" s="1582"/>
      <c r="F67" s="1176"/>
      <c r="G67" s="482"/>
      <c r="H67" s="808"/>
      <c r="I67" s="484"/>
      <c r="J67" s="484"/>
      <c r="K67" s="485"/>
    </row>
    <row r="68" spans="1:29" s="429" customFormat="1" ht="25.5" customHeight="1" thickBot="1">
      <c r="A68" s="481" t="s">
        <v>478</v>
      </c>
      <c r="B68" s="663"/>
      <c r="E68" s="883"/>
      <c r="F68" s="1176"/>
      <c r="H68" s="808"/>
      <c r="K68" s="483"/>
    </row>
    <row r="69" spans="1:29" s="1054" customFormat="1" ht="31.5" customHeight="1" thickBot="1">
      <c r="A69" s="1229"/>
      <c r="B69" s="1230"/>
      <c r="C69" s="1230"/>
      <c r="D69" s="1230"/>
      <c r="E69" s="1231"/>
      <c r="F69" s="1229"/>
      <c r="G69" s="1232"/>
      <c r="H69" s="1233"/>
      <c r="I69" s="1234"/>
      <c r="J69" s="1235"/>
      <c r="K69" s="1236"/>
      <c r="L69" s="1229"/>
      <c r="M69" s="1237"/>
      <c r="N69" s="477"/>
      <c r="O69" s="477"/>
      <c r="P69" s="477"/>
      <c r="Q69" s="477"/>
      <c r="R69" s="477"/>
      <c r="S69" s="477"/>
      <c r="T69" s="477"/>
      <c r="U69" s="477"/>
      <c r="V69" s="477"/>
      <c r="W69" s="477"/>
      <c r="X69" s="477"/>
      <c r="Y69" s="477"/>
      <c r="Z69" s="477"/>
      <c r="AA69" s="477"/>
      <c r="AB69" s="477"/>
      <c r="AC69" s="477"/>
    </row>
    <row r="70" spans="1:29" s="429" customFormat="1" ht="16.5" thickBot="1">
      <c r="A70" s="470"/>
      <c r="F70" s="1176"/>
      <c r="H70" s="839" t="s">
        <v>51</v>
      </c>
      <c r="I70" s="1018">
        <f>SUM(I69:I69)</f>
        <v>0</v>
      </c>
      <c r="J70" s="1018">
        <f>SUM(J69:J69)</f>
        <v>0</v>
      </c>
      <c r="K70" s="1018">
        <f>SUM(K69:K69)</f>
        <v>0</v>
      </c>
    </row>
    <row r="71" spans="1:29" s="429" customFormat="1" ht="16.5" thickBot="1">
      <c r="A71" s="470"/>
      <c r="F71" s="1176"/>
      <c r="H71" s="803" t="s">
        <v>483</v>
      </c>
      <c r="I71" s="1017"/>
      <c r="J71" s="474"/>
      <c r="K71" s="475" t="e">
        <f>K70/J70</f>
        <v>#DIV/0!</v>
      </c>
    </row>
    <row r="72" spans="1:29" s="429" customFormat="1" ht="15.75">
      <c r="A72" s="470"/>
      <c r="F72" s="1176"/>
      <c r="H72" s="808"/>
    </row>
    <row r="73" spans="1:29" s="429" customFormat="1" ht="15.75">
      <c r="A73" s="470" t="s">
        <v>479</v>
      </c>
      <c r="F73" s="1176"/>
      <c r="G73" s="482"/>
      <c r="H73" s="808"/>
    </row>
    <row r="74" spans="1:29" s="429" customFormat="1" ht="15.75">
      <c r="A74" s="470" t="s">
        <v>477</v>
      </c>
      <c r="F74" s="1176"/>
      <c r="G74" s="482"/>
      <c r="H74" s="808"/>
      <c r="N74" s="1054"/>
      <c r="O74" s="1054"/>
      <c r="P74" s="1054"/>
      <c r="Q74" s="1054"/>
      <c r="R74" s="1054"/>
      <c r="S74" s="1054"/>
      <c r="T74" s="1054"/>
      <c r="U74" s="1054"/>
      <c r="V74" s="1054"/>
      <c r="W74" s="1054"/>
      <c r="X74" s="1054"/>
      <c r="Y74" s="1054"/>
      <c r="Z74" s="1054"/>
      <c r="AA74" s="1054"/>
      <c r="AB74" s="1054"/>
      <c r="AC74" s="1054"/>
    </row>
    <row r="75" spans="1:29" s="429" customFormat="1" ht="15.75">
      <c r="A75" s="481"/>
      <c r="F75" s="1176"/>
      <c r="G75" s="482"/>
      <c r="H75" s="808"/>
      <c r="N75" s="472"/>
      <c r="O75" s="472"/>
      <c r="P75" s="472"/>
      <c r="Q75" s="472"/>
      <c r="R75" s="472"/>
      <c r="S75" s="472"/>
      <c r="T75" s="472"/>
      <c r="U75" s="472"/>
      <c r="V75" s="472"/>
      <c r="W75" s="472"/>
      <c r="X75" s="472"/>
      <c r="Y75" s="472"/>
      <c r="Z75" s="472"/>
      <c r="AA75" s="472"/>
      <c r="AB75" s="472"/>
      <c r="AC75" s="472"/>
    </row>
    <row r="76" spans="1:29" s="429" customFormat="1" ht="16.5" thickBot="1">
      <c r="A76" s="481"/>
      <c r="B76" s="663"/>
      <c r="F76" s="1176"/>
      <c r="G76" s="482"/>
      <c r="H76" s="808"/>
      <c r="N76"/>
      <c r="O76"/>
      <c r="P76"/>
      <c r="Q76"/>
      <c r="R76"/>
      <c r="S76"/>
      <c r="T76"/>
      <c r="U76"/>
      <c r="V76"/>
      <c r="W76"/>
      <c r="X76"/>
      <c r="Y76"/>
      <c r="Z76"/>
      <c r="AA76"/>
      <c r="AB76"/>
      <c r="AC76"/>
    </row>
    <row r="77" spans="1:29" s="477" customFormat="1" ht="27" customHeight="1" thickBot="1">
      <c r="A77" s="726"/>
      <c r="B77" s="860"/>
      <c r="C77" s="860"/>
      <c r="D77" s="860"/>
      <c r="E77" s="1193"/>
      <c r="F77" s="726"/>
      <c r="G77" s="1004"/>
      <c r="H77" s="807"/>
      <c r="I77" s="1005"/>
      <c r="J77" s="1005"/>
      <c r="K77" s="1006"/>
      <c r="L77" s="726"/>
      <c r="M77" s="1358"/>
      <c r="N77"/>
      <c r="O77"/>
      <c r="P77"/>
      <c r="Q77"/>
      <c r="R77"/>
      <c r="S77"/>
      <c r="T77"/>
      <c r="U77"/>
      <c r="V77"/>
      <c r="W77"/>
      <c r="X77"/>
      <c r="Y77"/>
      <c r="Z77"/>
      <c r="AA77"/>
      <c r="AB77"/>
      <c r="AC77"/>
    </row>
    <row r="78" spans="1:29" s="429" customFormat="1" ht="15.75" thickBot="1">
      <c r="A78" s="830"/>
      <c r="B78" s="831"/>
      <c r="C78" s="832"/>
      <c r="D78" s="832"/>
      <c r="E78" s="833"/>
      <c r="F78" s="834"/>
      <c r="G78" s="834"/>
      <c r="H78" s="839" t="s">
        <v>51</v>
      </c>
      <c r="I78" s="1018">
        <f>SUM(I77:I77)</f>
        <v>0</v>
      </c>
      <c r="J78" s="1018">
        <f>SUM(J77:J77)</f>
        <v>0</v>
      </c>
      <c r="K78" s="1018">
        <f>SUM(K77:K77)</f>
        <v>0</v>
      </c>
      <c r="L78" s="838"/>
      <c r="M78" s="837"/>
      <c r="N78"/>
      <c r="O78"/>
      <c r="P78"/>
      <c r="Q78"/>
      <c r="R78"/>
      <c r="S78"/>
      <c r="T78"/>
      <c r="U78"/>
      <c r="V78"/>
      <c r="W78"/>
      <c r="X78"/>
      <c r="Y78"/>
      <c r="Z78"/>
      <c r="AA78"/>
      <c r="AB78"/>
      <c r="AC78"/>
    </row>
    <row r="79" spans="1:29" s="429" customFormat="1" ht="15.75" thickBot="1">
      <c r="A79" s="830"/>
      <c r="B79" s="831"/>
      <c r="C79" s="832"/>
      <c r="D79" s="832"/>
      <c r="E79" s="833"/>
      <c r="F79" s="834"/>
      <c r="G79" s="834"/>
      <c r="H79" s="803" t="s">
        <v>483</v>
      </c>
      <c r="I79" s="1017"/>
      <c r="J79" s="474"/>
      <c r="K79" s="475" t="e">
        <f>K78/J78</f>
        <v>#DIV/0!</v>
      </c>
      <c r="L79" s="835"/>
      <c r="M79" s="836"/>
      <c r="N79"/>
      <c r="O79"/>
      <c r="P79"/>
      <c r="Q79"/>
      <c r="R79"/>
      <c r="S79"/>
      <c r="T79"/>
      <c r="U79"/>
      <c r="V79"/>
      <c r="W79"/>
      <c r="X79"/>
      <c r="Y79"/>
      <c r="Z79"/>
      <c r="AA79"/>
      <c r="AB79"/>
      <c r="AC79"/>
    </row>
    <row r="80" spans="1:29" s="429" customFormat="1" ht="15.75">
      <c r="A80" s="481" t="s">
        <v>478</v>
      </c>
      <c r="F80" s="1176"/>
      <c r="H80" s="808"/>
      <c r="N80"/>
      <c r="O80"/>
      <c r="P80"/>
      <c r="Q80"/>
      <c r="R80"/>
      <c r="S80"/>
      <c r="T80"/>
      <c r="U80"/>
      <c r="V80"/>
      <c r="W80"/>
      <c r="X80"/>
      <c r="Y80"/>
      <c r="Z80"/>
      <c r="AA80"/>
      <c r="AB80"/>
      <c r="AC80"/>
    </row>
    <row r="81" spans="1:29" s="429" customFormat="1" ht="15.75" thickBot="1">
      <c r="A81" s="1000"/>
      <c r="B81" s="1000"/>
      <c r="C81" s="1000"/>
      <c r="D81" s="1000"/>
      <c r="F81" s="1176"/>
      <c r="H81" s="808"/>
      <c r="L81" s="1000"/>
      <c r="M81" s="1000"/>
      <c r="N81"/>
      <c r="O81"/>
      <c r="P81"/>
      <c r="Q81"/>
      <c r="R81"/>
      <c r="S81"/>
      <c r="T81"/>
      <c r="U81"/>
      <c r="V81"/>
      <c r="W81"/>
      <c r="X81"/>
      <c r="Y81"/>
      <c r="Z81"/>
      <c r="AA81"/>
      <c r="AB81"/>
      <c r="AC81"/>
    </row>
    <row r="82" spans="1:29" s="1054" customFormat="1" ht="19.5" customHeight="1" thickBot="1">
      <c r="A82" s="1229"/>
      <c r="B82" s="1230"/>
      <c r="C82" s="1230"/>
      <c r="D82" s="1230"/>
      <c r="E82" s="1318"/>
      <c r="F82" s="1229"/>
      <c r="G82" s="1232"/>
      <c r="H82" s="1319"/>
      <c r="I82" s="1320"/>
      <c r="J82" s="1320"/>
      <c r="K82" s="1236"/>
      <c r="L82" s="1229"/>
      <c r="M82" s="1357"/>
      <c r="N82"/>
      <c r="O82"/>
      <c r="P82"/>
      <c r="Q82"/>
      <c r="R82"/>
      <c r="S82"/>
      <c r="T82"/>
      <c r="U82"/>
      <c r="V82"/>
      <c r="W82"/>
      <c r="X82"/>
      <c r="Y82"/>
      <c r="Z82"/>
      <c r="AA82"/>
      <c r="AB82"/>
      <c r="AC82"/>
    </row>
    <row r="83" spans="1:29" s="472" customFormat="1" ht="15.75" thickBot="1">
      <c r="F83" s="1172"/>
      <c r="H83" s="839" t="s">
        <v>51</v>
      </c>
      <c r="I83" s="1018">
        <f>SUM(I82)</f>
        <v>0</v>
      </c>
      <c r="J83" s="1018">
        <f>SUM(J82)</f>
        <v>0</v>
      </c>
      <c r="K83" s="1018">
        <f>SUM(K82)</f>
        <v>0</v>
      </c>
      <c r="N83"/>
      <c r="O83"/>
      <c r="P83"/>
      <c r="Q83"/>
      <c r="R83"/>
      <c r="S83"/>
      <c r="T83"/>
      <c r="U83"/>
      <c r="V83"/>
      <c r="W83"/>
      <c r="X83"/>
      <c r="Y83"/>
      <c r="Z83"/>
      <c r="AA83"/>
      <c r="AB83"/>
      <c r="AC83"/>
    </row>
    <row r="84" spans="1:29" ht="15.75" thickBot="1">
      <c r="H84" s="803" t="s">
        <v>483</v>
      </c>
      <c r="I84" s="1017"/>
      <c r="J84" s="474"/>
      <c r="K84" s="475" t="e">
        <f>K83/J83</f>
        <v>#DIV/0!</v>
      </c>
    </row>
    <row r="86" spans="1:29" s="358" customFormat="1" ht="15.75">
      <c r="A86" s="358" t="s">
        <v>1834</v>
      </c>
      <c r="F86" s="1658"/>
      <c r="H86" s="1659"/>
    </row>
    <row r="87" spans="1:29" s="358" customFormat="1" ht="15.75">
      <c r="F87" s="1658"/>
      <c r="H87" s="1659"/>
    </row>
    <row r="88" spans="1:29" s="358" customFormat="1" ht="15.75">
      <c r="A88" s="358" t="s">
        <v>571</v>
      </c>
      <c r="B88" s="1658"/>
      <c r="C88" s="1658"/>
      <c r="F88" s="1658"/>
      <c r="H88" s="1659"/>
    </row>
    <row r="89" spans="1:29" s="358" customFormat="1" ht="15.75">
      <c r="B89" s="1658"/>
      <c r="C89" s="1658"/>
      <c r="F89" s="1658"/>
      <c r="H89" s="1659"/>
    </row>
    <row r="90" spans="1:29" s="358" customFormat="1" ht="15.75">
      <c r="F90" s="1658"/>
      <c r="H90" s="1659"/>
    </row>
    <row r="91" spans="1:29" s="358" customFormat="1" ht="15.75">
      <c r="F91" s="1658"/>
      <c r="H91" s="1659"/>
    </row>
    <row r="92" spans="1:29" s="358" customFormat="1" ht="15.75">
      <c r="B92" s="358" t="s">
        <v>1699</v>
      </c>
      <c r="F92" s="1658"/>
      <c r="H92" s="1659"/>
    </row>
    <row r="93" spans="1:29" s="358" customFormat="1" ht="15.75">
      <c r="F93" s="1658"/>
      <c r="H93" s="1659"/>
    </row>
    <row r="94" spans="1:29" s="358" customFormat="1" ht="20.25" customHeight="1">
      <c r="F94" s="1658"/>
      <c r="H94" s="1659"/>
    </row>
  </sheetData>
  <customSheetViews>
    <customSheetView guid="{E4D8AEA0-7D37-4CF1-9F19-1F9F3CB7E99E}" topLeftCell="C1">
      <selection activeCell="A62" sqref="A62:XFD62"/>
      <pageMargins left="0.2" right="0.2" top="0.6" bottom="0.55000000000000004" header="0.3" footer="0.3"/>
      <pageSetup paperSize="9" scale="55" orientation="portrait" r:id="rId1"/>
    </customSheetView>
    <customSheetView guid="{AD634856-FDF7-4DD8-8DC5-36C324FF0C87}" view="pageBreakPreview" topLeftCell="E76">
      <selection activeCell="G70" sqref="G70"/>
      <colBreaks count="1" manualBreakCount="1">
        <brk id="15" max="1048575" man="1"/>
      </colBreaks>
      <pageMargins left="0.2" right="0.2" top="0.6" bottom="0.55000000000000004" header="0.3" footer="0.3"/>
      <pageSetup paperSize="9" scale="48" orientation="portrait" r:id="rId2"/>
    </customSheetView>
    <customSheetView guid="{61CE75AA-B849-4D18-8838-F82995C6B087}" topLeftCell="A55">
      <selection activeCell="A109" sqref="A109:XFD109"/>
      <pageMargins left="0.2" right="0.2" top="0.6" bottom="0.55000000000000004" header="0.3" footer="0.3"/>
      <pageSetup paperSize="9" scale="55" orientation="portrait" r:id="rId3"/>
    </customSheetView>
    <customSheetView guid="{7D95FE88-52D3-4AF2-A747-7A28402A32C2}">
      <selection activeCell="A113" sqref="A113:XFD113"/>
      <pageMargins left="0.2" right="0.2" top="0.6" bottom="0.55000000000000004" header="0.3" footer="0.3"/>
      <pageSetup paperSize="9" scale="55" orientation="portrait" r:id="rId4"/>
    </customSheetView>
    <customSheetView guid="{6EF26E68-1B9A-4748-A66C-9D8C184CAF14}" topLeftCell="F7">
      <selection activeCell="M17" sqref="M17"/>
      <pageMargins left="0.2" right="0.2" top="0.6" bottom="0.55000000000000004" header="0.3" footer="0.3"/>
      <pageSetup paperSize="9" scale="55" orientation="portrait" r:id="rId5"/>
    </customSheetView>
    <customSheetView guid="{B8A1874B-3BEF-4479-AD53-0D9BAC54C7CD}" topLeftCell="C43">
      <selection activeCell="A43" sqref="A43:XFD43"/>
      <pageMargins left="0.2" right="0.2" top="0.6" bottom="0.55000000000000004" header="0.3" footer="0.3"/>
      <pageSetup paperSize="9" scale="55" orientation="portrait" r:id="rId6"/>
    </customSheetView>
    <customSheetView guid="{E5BCC4B4-F1B1-40C1-B93E-A6184E1EF716}">
      <selection activeCell="A97" sqref="A97:XFD97"/>
      <pageMargins left="0.2" right="0.2" top="0.6" bottom="0.55000000000000004" header="0.3" footer="0.3"/>
      <pageSetup paperSize="9" scale="55" orientation="portrait" r:id="rId7"/>
    </customSheetView>
    <customSheetView guid="{994961F8-B63E-47F6-B0C5-98F862423FE5}" scale="80">
      <selection activeCell="F117" sqref="F117"/>
      <pageMargins left="0.2" right="0.2" top="0.6" bottom="0.55000000000000004" header="0.3" footer="0.3"/>
      <pageSetup paperSize="9" scale="55" orientation="portrait" r:id="rId8"/>
    </customSheetView>
    <customSheetView guid="{F89B8433-E453-4FDE-8E2A-E7E816BD4DFD}" topLeftCell="F7">
      <selection activeCell="M17" sqref="M17"/>
      <pageMargins left="0.2" right="0.2" top="0.6" bottom="0.55000000000000004" header="0.3" footer="0.3"/>
      <pageSetup paperSize="9" scale="55" orientation="portrait" r:id="rId9"/>
    </customSheetView>
    <customSheetView guid="{9BA226E9-1840-4D58-8634-C7CD130BA9DE}">
      <selection activeCell="F10" sqref="F10"/>
      <pageMargins left="0.2" right="0.2" top="0.6" bottom="0.55000000000000004" header="0.3" footer="0.3"/>
      <pageSetup paperSize="9" scale="55" orientation="portrait" r:id="rId10"/>
    </customSheetView>
    <customSheetView guid="{ECC2632F-F62A-4FAF-AECC-1DDADB5FC34F}" topLeftCell="G40">
      <selection activeCell="N63" sqref="N63"/>
      <pageMargins left="0.2" right="0.2" top="0.4" bottom="0.3" header="0.3" footer="0.3"/>
      <pageSetup paperSize="9" scale="55" orientation="portrait" r:id="rId11"/>
    </customSheetView>
    <customSheetView guid="{FB80B360-98B3-4D7B-B530-099144659D3A}" topLeftCell="G40">
      <selection activeCell="N63" sqref="N63"/>
      <pageMargins left="0.2" right="0.2" top="0.4" bottom="0.3" header="0.3" footer="0.3"/>
      <pageSetup paperSize="9" scale="55" orientation="portrait" r:id="rId12"/>
    </customSheetView>
    <customSheetView guid="{7F784530-9B10-42D7-8F54-8EB6B060482F}" topLeftCell="G40">
      <selection activeCell="N63" sqref="N63"/>
      <pageMargins left="0.2" right="0.2" top="0.4" bottom="0.3" header="0.3" footer="0.3"/>
      <pageSetup paperSize="9" scale="55" orientation="portrait" r:id="rId13"/>
    </customSheetView>
    <customSheetView guid="{8AF18E21-1031-46CF-B2BC-F1B32D8B514B}" showPageBreaks="1">
      <selection activeCell="H29" sqref="H29"/>
      <pageMargins left="0.7" right="0.7" top="0.75" bottom="0.75" header="0.3" footer="0.3"/>
      <pageSetup scale="56" orientation="portrait" r:id="rId14"/>
    </customSheetView>
    <customSheetView guid="{E4837792-4A99-499B-8EC2-DE4E4D167510}" showPageBreaks="1" topLeftCell="E9">
      <selection activeCell="M60" sqref="M60"/>
      <pageMargins left="0.7" right="0.7" top="0.75" bottom="0.75" header="0.3" footer="0.3"/>
      <pageSetup scale="56" orientation="portrait" r:id="rId15"/>
    </customSheetView>
    <customSheetView guid="{16D4A374-74B9-406B-A5BA-2D573E6A0CF2}" topLeftCell="G40">
      <selection activeCell="N63" sqref="N63"/>
      <pageMargins left="0.2" right="0.2" top="0.4" bottom="0.3" header="0.3" footer="0.3"/>
      <pageSetup paperSize="9" scale="55" orientation="portrait" r:id="rId16"/>
    </customSheetView>
    <customSheetView guid="{F729E7D6-6F09-4AEC-8A8D-5BB0CE563030}" topLeftCell="E4">
      <selection activeCell="L36" sqref="L36"/>
      <pageMargins left="0.2" right="0.2" top="0.6" bottom="0.55000000000000004" header="0.3" footer="0.3"/>
      <pageSetup paperSize="9" scale="55" orientation="portrait" r:id="rId17"/>
    </customSheetView>
    <customSheetView guid="{2896A421-8E5B-4BF0-9CC6-B6380E0DB314}">
      <selection activeCell="E15" sqref="E15"/>
      <pageMargins left="0.2" right="0.2" top="0.6" bottom="0.55000000000000004" header="0.3" footer="0.3"/>
      <pageSetup paperSize="9" scale="55" orientation="portrait" r:id="rId18"/>
    </customSheetView>
    <customSheetView guid="{98D3DDB6-797A-47DD-9C96-BB16B2207A0C}" topLeftCell="A85">
      <selection activeCell="A57" sqref="A57:XFD57"/>
      <pageMargins left="0.2" right="0.2" top="0.6" bottom="0.55000000000000004" header="0.3" footer="0.3"/>
      <pageSetup paperSize="9" scale="55" orientation="portrait" r:id="rId19"/>
    </customSheetView>
    <customSheetView guid="{A1D515A7-1E5B-4509-BA26-4ABAA82FF869}" topLeftCell="F25">
      <selection activeCell="A121" sqref="A121:XFD121"/>
      <pageMargins left="0.2" right="0.2" top="0.6" bottom="0.55000000000000004" header="0.3" footer="0.3"/>
      <pageSetup paperSize="9" scale="55" orientation="portrait" r:id="rId20"/>
    </customSheetView>
    <customSheetView guid="{80E06DBA-C6F3-475B-8D63-21743367E2AD}">
      <selection activeCell="A45" sqref="A45:XFD46"/>
      <pageMargins left="0.2" right="0.2" top="0.6" bottom="0.55000000000000004" header="0.3" footer="0.3"/>
      <pageSetup paperSize="9" scale="55" orientation="portrait" r:id="rId21"/>
    </customSheetView>
    <customSheetView guid="{9ED09EA6-4579-48A9-AD5B-8A08B9AAA8BE}" topLeftCell="E4">
      <selection activeCell="M60" sqref="M60"/>
      <pageMargins left="0.7" right="0.7" top="0.75" bottom="0.75" header="0.3" footer="0.3"/>
      <pageSetup scale="56" orientation="portrait" r:id="rId22"/>
    </customSheetView>
    <customSheetView guid="{7631AB21-BAD4-410B-9EB7-37E4C039E55D}">
      <selection activeCell="A124" sqref="A124"/>
      <pageMargins left="0.2" right="0.2" top="0.6" bottom="0.55000000000000004" header="0.3" footer="0.3"/>
      <pageSetup paperSize="9" scale="55" orientation="portrait" r:id="rId23"/>
    </customSheetView>
    <customSheetView guid="{BE76667A-60C4-4702-8334-217BF8BB1245}" topLeftCell="D31">
      <selection activeCell="L44" sqref="L44"/>
      <pageMargins left="0.2" right="0.2" top="0.6" bottom="0.55000000000000004" header="0.3" footer="0.3"/>
      <pageSetup paperSize="9" scale="55" orientation="portrait" r:id="rId24"/>
    </customSheetView>
    <customSheetView guid="{3FE5399F-6D96-46C9-B56D-C9200CDFFBCC}">
      <selection activeCell="C9" sqref="C9"/>
      <pageMargins left="0.2" right="0.2" top="0.6" bottom="0.55000000000000004" header="0.3" footer="0.3"/>
      <pageSetup paperSize="9" scale="55" orientation="portrait" r:id="rId25"/>
    </customSheetView>
    <customSheetView guid="{DB5C611D-B585-4D04-94DC-84E03E7F6427}" view="pageBreakPreview">
      <selection activeCell="A47" sqref="A47:XFD47"/>
      <colBreaks count="1" manualBreakCount="1">
        <brk id="15" max="1048575" man="1"/>
      </colBreaks>
      <pageMargins left="0.2" right="0.2" top="0.6" bottom="0.55000000000000004" header="0.3" footer="0.3"/>
      <pageSetup paperSize="9" scale="48" orientation="portrait" r:id="rId26"/>
    </customSheetView>
    <customSheetView guid="{0C6DA001-EF29-43B3-B8E5-B7C6D16AED4F}" view="pageBreakPreview" topLeftCell="A16">
      <selection activeCell="E60" sqref="E60"/>
      <colBreaks count="1" manualBreakCount="1">
        <brk id="15" max="1048575" man="1"/>
      </colBreaks>
      <pageMargins left="0.2" right="0.2" top="0.6" bottom="0.55000000000000004" header="0.3" footer="0.3"/>
      <pageSetup paperSize="9" scale="48" orientation="portrait" r:id="rId27"/>
    </customSheetView>
    <customSheetView guid="{C57D03F9-88DE-4996-9965-888CDFC990C2}" view="pageBreakPreview" topLeftCell="A106">
      <selection activeCell="F15" sqref="F15"/>
      <colBreaks count="1" manualBreakCount="1">
        <brk id="15" max="1048575" man="1"/>
      </colBreaks>
      <pageMargins left="0.2" right="0.2" top="0.6" bottom="0.55000000000000004" header="0.3" footer="0.3"/>
      <pageSetup paperSize="9" scale="48" orientation="portrait" r:id="rId28"/>
    </customSheetView>
    <customSheetView guid="{51A412B5-0E75-4615-BBB6-5CF03E1A3E32}" view="pageBreakPreview" topLeftCell="A16">
      <selection activeCell="E60" sqref="E60"/>
      <colBreaks count="1" manualBreakCount="1">
        <brk id="15" max="1048575" man="1"/>
      </colBreaks>
      <pageMargins left="0.2" right="0.2" top="0.6" bottom="0.55000000000000004" header="0.3" footer="0.3"/>
      <pageSetup paperSize="9" scale="48" orientation="portrait" r:id="rId29"/>
    </customSheetView>
  </customSheetViews>
  <mergeCells count="1">
    <mergeCell ref="A56:G56"/>
  </mergeCells>
  <phoneticPr fontId="104" type="noConversion"/>
  <pageMargins left="0.2" right="0.2" top="0.6" bottom="0.55000000000000004" header="0.3" footer="0.3"/>
  <pageSetup paperSize="9" scale="47" orientation="portrait" r:id="rId30"/>
  <colBreaks count="1" manualBreakCount="1">
    <brk id="1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W409"/>
  <sheetViews>
    <sheetView showGridLines="0" zoomScaleNormal="100" zoomScaleSheetLayoutView="70" workbookViewId="0">
      <selection activeCell="B15" sqref="B15"/>
    </sheetView>
  </sheetViews>
  <sheetFormatPr defaultColWidth="8.88671875" defaultRowHeight="15"/>
  <cols>
    <col min="1" max="1" width="5.33203125" style="415" customWidth="1"/>
    <col min="2" max="2" width="36.88671875" style="415" customWidth="1"/>
    <col min="3" max="4" width="12" style="415" customWidth="1"/>
    <col min="5" max="5" width="13.88671875" style="415" customWidth="1"/>
    <col min="6" max="6" width="11.109375" style="415" customWidth="1"/>
    <col min="7" max="7" width="14.5546875" style="415" customWidth="1"/>
    <col min="8" max="8" width="40.5546875" style="415" customWidth="1"/>
    <col min="9" max="9" width="54" style="415" customWidth="1"/>
    <col min="10" max="16384" width="8.88671875" style="415"/>
  </cols>
  <sheetData>
    <row r="1" spans="1:257" ht="29.25" customHeight="1">
      <c r="A1" s="1764" t="s">
        <v>37</v>
      </c>
      <c r="B1" s="1764"/>
      <c r="C1" s="1764"/>
      <c r="D1" s="1764"/>
      <c r="E1" s="1764"/>
      <c r="F1" s="1764"/>
      <c r="G1" s="1764"/>
      <c r="H1" s="1764"/>
      <c r="I1" s="1764"/>
    </row>
    <row r="2" spans="1:257" ht="21.75" customHeight="1">
      <c r="A2" s="1764" t="s">
        <v>38</v>
      </c>
      <c r="B2" s="1764"/>
      <c r="C2" s="1764"/>
      <c r="D2" s="1764"/>
      <c r="E2" s="1764"/>
      <c r="F2" s="1764"/>
      <c r="G2" s="1764"/>
      <c r="H2" s="1764"/>
      <c r="I2" s="1764"/>
    </row>
    <row r="3" spans="1:257" ht="25.5" customHeight="1" thickBot="1">
      <c r="A3" s="1765" t="str">
        <f>'New Master-List'!A4</f>
        <v>As of 31 Aug 2017</v>
      </c>
      <c r="B3" s="1765"/>
      <c r="C3" s="1765"/>
      <c r="D3" s="1765"/>
      <c r="E3" s="1765"/>
      <c r="F3" s="1765"/>
      <c r="G3" s="1765"/>
      <c r="H3" s="1765"/>
      <c r="I3" s="1765"/>
      <c r="J3" s="72"/>
      <c r="K3" s="72"/>
      <c r="L3" s="72"/>
      <c r="M3" s="72"/>
      <c r="N3" s="72"/>
      <c r="O3" s="72"/>
      <c r="P3" s="1763"/>
      <c r="Q3" s="1763"/>
      <c r="R3" s="1763"/>
      <c r="S3" s="1763"/>
      <c r="T3" s="1763"/>
      <c r="U3" s="1763"/>
      <c r="V3" s="1763"/>
      <c r="W3" s="1763"/>
      <c r="X3" s="1763"/>
      <c r="Y3" s="1763"/>
      <c r="Z3" s="1763"/>
      <c r="AA3" s="1763"/>
      <c r="AB3" s="1763"/>
      <c r="AC3" s="1763"/>
      <c r="AD3" s="1763"/>
      <c r="AE3" s="1763"/>
      <c r="AF3" s="1763"/>
      <c r="AG3" s="1763"/>
      <c r="AH3" s="1763"/>
      <c r="AI3" s="1763"/>
      <c r="AJ3" s="1763"/>
      <c r="AK3" s="1763"/>
      <c r="AL3" s="1763"/>
      <c r="AM3" s="1763"/>
      <c r="AN3" s="1763"/>
      <c r="AO3" s="1763"/>
      <c r="AP3" s="1763"/>
      <c r="AQ3" s="1763"/>
      <c r="AR3" s="1763"/>
      <c r="AS3" s="1763"/>
      <c r="AT3" s="1763"/>
      <c r="AU3" s="1763"/>
      <c r="AV3" s="1763"/>
      <c r="AW3" s="1763"/>
      <c r="AX3" s="1763"/>
      <c r="AY3" s="1763"/>
      <c r="AZ3" s="1763"/>
      <c r="BA3" s="1763"/>
      <c r="BB3" s="1763"/>
      <c r="BC3" s="1763"/>
      <c r="BD3" s="1763"/>
      <c r="BE3" s="1763"/>
      <c r="BF3" s="1763"/>
      <c r="BG3" s="1763"/>
      <c r="BH3" s="1763"/>
      <c r="BI3" s="1763"/>
      <c r="BJ3" s="1763"/>
      <c r="BK3" s="1763"/>
      <c r="BL3" s="1763"/>
      <c r="BM3" s="1763"/>
      <c r="BN3" s="1763"/>
      <c r="BO3" s="1763"/>
      <c r="BP3" s="1763"/>
      <c r="BQ3" s="1763"/>
      <c r="BR3" s="1763"/>
      <c r="BS3" s="1763"/>
      <c r="BT3" s="1763"/>
      <c r="BU3" s="1763"/>
      <c r="BV3" s="1763"/>
      <c r="BW3" s="1763"/>
      <c r="BX3" s="1763"/>
      <c r="BY3" s="1763"/>
      <c r="BZ3" s="1763"/>
      <c r="CA3" s="1763"/>
      <c r="CB3" s="1763"/>
      <c r="CC3" s="1763"/>
      <c r="CD3" s="1763"/>
      <c r="CE3" s="1763"/>
      <c r="CF3" s="1763"/>
      <c r="CG3" s="1763"/>
      <c r="CH3" s="1763"/>
      <c r="CI3" s="1763"/>
      <c r="CJ3" s="1763"/>
      <c r="CK3" s="1763"/>
      <c r="CL3" s="1763"/>
      <c r="CM3" s="1763"/>
      <c r="CN3" s="1763"/>
      <c r="CO3" s="1763"/>
      <c r="CP3" s="1763"/>
      <c r="CQ3" s="1763"/>
      <c r="CR3" s="1763"/>
      <c r="CS3" s="1763"/>
      <c r="CT3" s="1763"/>
      <c r="CU3" s="1763"/>
      <c r="CV3" s="1763"/>
      <c r="CW3" s="1763"/>
      <c r="CX3" s="1763"/>
      <c r="CY3" s="1763"/>
      <c r="CZ3" s="1763"/>
      <c r="DA3" s="1763"/>
      <c r="DB3" s="1763"/>
      <c r="DC3" s="1763"/>
      <c r="DD3" s="1763"/>
      <c r="DE3" s="1763"/>
      <c r="DF3" s="1763"/>
      <c r="DG3" s="1763"/>
      <c r="DH3" s="1763"/>
      <c r="DI3" s="1763"/>
      <c r="DJ3" s="1763"/>
      <c r="DK3" s="1763"/>
      <c r="DL3" s="1763"/>
      <c r="DM3" s="1763"/>
      <c r="DN3" s="1763"/>
      <c r="DO3" s="1763"/>
      <c r="DP3" s="1763"/>
      <c r="DQ3" s="1763"/>
      <c r="DR3" s="1763"/>
      <c r="DS3" s="1763"/>
      <c r="DT3" s="1763"/>
      <c r="DU3" s="1763"/>
      <c r="DV3" s="1763"/>
      <c r="DW3" s="1763"/>
      <c r="DX3" s="1763"/>
      <c r="DY3" s="1763"/>
      <c r="DZ3" s="1763"/>
      <c r="EA3" s="1763"/>
      <c r="EB3" s="1763"/>
      <c r="EC3" s="1763"/>
      <c r="ED3" s="1763"/>
      <c r="EE3" s="1763"/>
      <c r="EF3" s="1763"/>
      <c r="EG3" s="1763"/>
      <c r="EH3" s="1763"/>
      <c r="EI3" s="1763"/>
      <c r="EJ3" s="1763"/>
      <c r="EK3" s="1763"/>
      <c r="EL3" s="1763"/>
      <c r="EM3" s="1763"/>
      <c r="EN3" s="1763"/>
      <c r="EO3" s="1763"/>
      <c r="EP3" s="1763"/>
      <c r="EQ3" s="1763"/>
      <c r="ER3" s="1763"/>
      <c r="ES3" s="1763"/>
      <c r="ET3" s="1763"/>
      <c r="EU3" s="1763"/>
      <c r="EV3" s="1763"/>
      <c r="EW3" s="1763"/>
      <c r="EX3" s="1763"/>
      <c r="EY3" s="1763"/>
      <c r="EZ3" s="1763"/>
      <c r="FA3" s="1763"/>
      <c r="FB3" s="1763"/>
      <c r="FC3" s="1763"/>
      <c r="FD3" s="1763"/>
      <c r="FE3" s="1763"/>
      <c r="FF3" s="1763"/>
      <c r="FG3" s="1763"/>
      <c r="FH3" s="1763"/>
      <c r="FI3" s="1763"/>
      <c r="FJ3" s="1763"/>
      <c r="FK3" s="1763"/>
      <c r="FL3" s="1763"/>
      <c r="FM3" s="1763"/>
      <c r="FN3" s="1763"/>
      <c r="FO3" s="1763"/>
      <c r="FP3" s="1763"/>
      <c r="FQ3" s="1763"/>
      <c r="FR3" s="1763"/>
      <c r="FS3" s="1763"/>
      <c r="FT3" s="1763"/>
      <c r="FU3" s="1763"/>
      <c r="FV3" s="1763"/>
      <c r="FW3" s="1763"/>
      <c r="FX3" s="1763"/>
      <c r="FY3" s="1763"/>
      <c r="FZ3" s="1763"/>
      <c r="GA3" s="1763"/>
      <c r="GB3" s="1763"/>
      <c r="GC3" s="1763"/>
      <c r="GD3" s="1763"/>
      <c r="GE3" s="1763"/>
      <c r="GF3" s="1763"/>
      <c r="GG3" s="1763"/>
      <c r="GH3" s="1763"/>
      <c r="GI3" s="1763"/>
      <c r="GJ3" s="1763"/>
      <c r="GK3" s="1763"/>
      <c r="GL3" s="1763"/>
      <c r="GM3" s="1763"/>
      <c r="GN3" s="1763"/>
      <c r="GO3" s="1763"/>
      <c r="GP3" s="1763"/>
      <c r="GQ3" s="1763"/>
      <c r="GR3" s="1763"/>
      <c r="GS3" s="1763"/>
      <c r="GT3" s="1763"/>
      <c r="GU3" s="1763"/>
      <c r="GV3" s="1763"/>
      <c r="GW3" s="1763"/>
      <c r="GX3" s="1763"/>
      <c r="GY3" s="1763"/>
      <c r="GZ3" s="1763"/>
      <c r="HA3" s="1763"/>
      <c r="HB3" s="1763"/>
      <c r="HC3" s="1763"/>
      <c r="HD3" s="1763"/>
      <c r="HE3" s="1763"/>
      <c r="HF3" s="1763"/>
      <c r="HG3" s="1763"/>
      <c r="HH3" s="1763"/>
      <c r="HI3" s="1763"/>
      <c r="HJ3" s="1763"/>
      <c r="HK3" s="1763"/>
      <c r="HL3" s="1763"/>
      <c r="HM3" s="1763"/>
      <c r="HN3" s="1763"/>
      <c r="HO3" s="1763"/>
      <c r="HP3" s="1763"/>
      <c r="HQ3" s="1763"/>
      <c r="HR3" s="1763"/>
      <c r="HS3" s="1763"/>
      <c r="HT3" s="1763"/>
      <c r="HU3" s="1763"/>
      <c r="HV3" s="1763"/>
      <c r="HW3" s="1763"/>
      <c r="HX3" s="1763"/>
      <c r="HY3" s="1763"/>
      <c r="HZ3" s="1763"/>
      <c r="IA3" s="1763"/>
      <c r="IB3" s="1763"/>
      <c r="IC3" s="1763"/>
      <c r="ID3" s="1763"/>
      <c r="IE3" s="1763"/>
      <c r="IF3" s="1763"/>
      <c r="IG3" s="1763"/>
      <c r="IH3" s="1763"/>
      <c r="II3" s="1763"/>
      <c r="IJ3" s="1763"/>
      <c r="IK3" s="1763"/>
      <c r="IL3" s="1763"/>
      <c r="IM3" s="1763"/>
      <c r="IN3" s="1763"/>
      <c r="IO3" s="1763"/>
      <c r="IP3" s="1763"/>
      <c r="IQ3" s="1763"/>
      <c r="IR3" s="1763"/>
      <c r="IS3" s="1763"/>
      <c r="IT3" s="1763"/>
      <c r="IU3" s="1763"/>
      <c r="IV3" s="1763"/>
      <c r="IW3" s="1763"/>
    </row>
    <row r="4" spans="1:257" s="416" customFormat="1" ht="17.25" customHeight="1">
      <c r="A4" s="1760" t="s">
        <v>26</v>
      </c>
      <c r="B4" s="1760" t="s">
        <v>39</v>
      </c>
      <c r="C4" s="1178" t="s">
        <v>44</v>
      </c>
      <c r="D4" s="1178" t="s">
        <v>9</v>
      </c>
      <c r="E4" s="1760" t="s">
        <v>7</v>
      </c>
      <c r="F4" s="1760" t="s">
        <v>40</v>
      </c>
      <c r="G4" s="1758" t="s">
        <v>41</v>
      </c>
      <c r="H4" s="1760" t="s">
        <v>42</v>
      </c>
      <c r="I4" s="1760" t="s">
        <v>30</v>
      </c>
    </row>
    <row r="5" spans="1:257" s="416" customFormat="1" ht="17.25" customHeight="1" thickBot="1">
      <c r="A5" s="1761"/>
      <c r="B5" s="1761"/>
      <c r="C5" s="1179"/>
      <c r="D5" s="1179"/>
      <c r="E5" s="1762"/>
      <c r="F5" s="1761"/>
      <c r="G5" s="1759"/>
      <c r="H5" s="1761"/>
      <c r="I5" s="1762"/>
    </row>
    <row r="6" spans="1:257" s="416" customFormat="1" ht="21" customHeight="1">
      <c r="A6" s="404" t="s">
        <v>471</v>
      </c>
      <c r="B6" s="404"/>
      <c r="C6" s="1185"/>
      <c r="D6" s="1185"/>
      <c r="E6" s="529"/>
      <c r="F6" s="530"/>
      <c r="G6" s="531"/>
      <c r="H6" s="530"/>
      <c r="I6" s="532"/>
    </row>
    <row r="7" spans="1:257" s="416" customFormat="1" ht="21" customHeight="1">
      <c r="A7" s="404" t="s">
        <v>494</v>
      </c>
      <c r="B7" s="404"/>
      <c r="C7" s="1185"/>
      <c r="D7" s="1185"/>
      <c r="E7" s="533"/>
      <c r="F7" s="534"/>
      <c r="G7" s="535"/>
      <c r="H7" s="534"/>
      <c r="I7" s="536"/>
    </row>
    <row r="8" spans="1:257" s="417" customFormat="1" ht="22.5" customHeight="1">
      <c r="A8" s="1745"/>
      <c r="B8" s="1746"/>
      <c r="C8" s="1182"/>
      <c r="D8" s="1182"/>
      <c r="E8" s="581"/>
      <c r="F8" s="577">
        <v>0.01</v>
      </c>
      <c r="G8" s="738">
        <f>E8*F8</f>
        <v>0</v>
      </c>
      <c r="H8" s="205"/>
      <c r="I8" s="448"/>
      <c r="J8" s="80"/>
    </row>
    <row r="9" spans="1:257" s="416" customFormat="1" ht="23.25" customHeight="1">
      <c r="A9" s="1745" t="s">
        <v>12</v>
      </c>
      <c r="B9" s="1746"/>
      <c r="C9" s="1182"/>
      <c r="D9" s="1182"/>
      <c r="E9" s="516">
        <f>E8</f>
        <v>0</v>
      </c>
      <c r="F9" s="74"/>
      <c r="G9" s="516">
        <f>G8</f>
        <v>0</v>
      </c>
      <c r="H9" s="74"/>
      <c r="I9" s="73"/>
    </row>
    <row r="10" spans="1:257" s="416" customFormat="1" ht="24.75" customHeight="1">
      <c r="A10" s="404" t="s">
        <v>495</v>
      </c>
      <c r="B10" s="404"/>
      <c r="C10" s="1183"/>
      <c r="D10" s="1183"/>
      <c r="E10" s="73"/>
      <c r="F10" s="74"/>
      <c r="G10" s="75"/>
      <c r="H10" s="74"/>
      <c r="I10" s="73"/>
    </row>
    <row r="11" spans="1:257" s="416" customFormat="1" ht="24.75" customHeight="1">
      <c r="A11" s="1749" t="s">
        <v>471</v>
      </c>
      <c r="B11" s="1749"/>
      <c r="C11" s="1183"/>
      <c r="D11" s="1183"/>
      <c r="E11" s="73"/>
      <c r="F11" s="74"/>
      <c r="G11" s="75"/>
      <c r="H11" s="74"/>
      <c r="I11" s="73"/>
    </row>
    <row r="12" spans="1:257" s="416" customFormat="1" ht="24.75" customHeight="1">
      <c r="A12" s="427" t="s">
        <v>498</v>
      </c>
      <c r="B12" s="405"/>
      <c r="C12" s="405"/>
      <c r="D12" s="405"/>
      <c r="E12" s="73"/>
      <c r="F12" s="74"/>
      <c r="G12" s="75"/>
      <c r="H12" s="74"/>
      <c r="I12" s="73"/>
    </row>
    <row r="13" spans="1:257" s="416" customFormat="1" ht="27.75" customHeight="1">
      <c r="A13" s="76">
        <v>1</v>
      </c>
      <c r="B13" s="1052" t="s">
        <v>1467</v>
      </c>
      <c r="C13" s="1189">
        <v>42359</v>
      </c>
      <c r="D13" s="1190">
        <v>45281</v>
      </c>
      <c r="E13" s="78">
        <v>37276.379999999997</v>
      </c>
      <c r="F13" s="582">
        <v>0.03</v>
      </c>
      <c r="G13" s="368">
        <f>E13*F13</f>
        <v>1118.2913999999998</v>
      </c>
      <c r="H13" s="576"/>
      <c r="I13" s="448"/>
    </row>
    <row r="14" spans="1:257" s="416" customFormat="1" ht="34.5" customHeight="1">
      <c r="A14" s="76">
        <v>2</v>
      </c>
      <c r="B14" s="1052" t="s">
        <v>1367</v>
      </c>
      <c r="C14" s="1189">
        <v>42588</v>
      </c>
      <c r="D14" s="1190">
        <v>44413</v>
      </c>
      <c r="E14" s="78">
        <v>989899</v>
      </c>
      <c r="F14" s="582">
        <v>0.03</v>
      </c>
      <c r="G14" s="368">
        <f>E14*F14</f>
        <v>29696.969999999998</v>
      </c>
      <c r="H14" s="729"/>
      <c r="I14" s="448"/>
    </row>
    <row r="15" spans="1:257" s="416" customFormat="1" ht="24.75" customHeight="1">
      <c r="A15" s="549"/>
      <c r="B15" s="550" t="s">
        <v>12</v>
      </c>
      <c r="C15" s="1182"/>
      <c r="D15" s="1182"/>
      <c r="E15" s="516">
        <f>SUM(E13:E14)</f>
        <v>1027175.38</v>
      </c>
      <c r="F15" s="516"/>
      <c r="G15" s="516">
        <f>SUM(G13:G14)</f>
        <v>30815.261399999996</v>
      </c>
      <c r="H15" s="74"/>
      <c r="I15" s="73"/>
    </row>
    <row r="16" spans="1:257" s="416" customFormat="1" ht="24.75" customHeight="1">
      <c r="A16" s="427" t="s">
        <v>499</v>
      </c>
      <c r="B16" s="405"/>
      <c r="C16" s="405"/>
      <c r="D16" s="405"/>
      <c r="E16" s="73"/>
      <c r="F16" s="74"/>
      <c r="G16" s="75"/>
      <c r="H16" s="74"/>
      <c r="I16" s="73"/>
    </row>
    <row r="17" spans="1:9" s="416" customFormat="1" ht="31.5" customHeight="1">
      <c r="A17" s="76"/>
      <c r="B17" s="448"/>
      <c r="C17" s="1189"/>
      <c r="D17" s="1190"/>
      <c r="E17" s="78"/>
      <c r="F17" s="582">
        <v>0.2</v>
      </c>
      <c r="G17" s="368">
        <f>E17*F17</f>
        <v>0</v>
      </c>
      <c r="H17" s="576"/>
      <c r="I17" s="448"/>
    </row>
    <row r="18" spans="1:9" s="416" customFormat="1" ht="76.5" customHeight="1">
      <c r="A18" s="76"/>
      <c r="B18" s="448"/>
      <c r="C18" s="1189"/>
      <c r="D18" s="1190"/>
      <c r="E18" s="78"/>
      <c r="F18" s="582">
        <v>0.2</v>
      </c>
      <c r="G18" s="368">
        <f>E18*F18</f>
        <v>0</v>
      </c>
      <c r="H18" s="729"/>
      <c r="I18" s="448"/>
    </row>
    <row r="19" spans="1:9" s="416" customFormat="1" ht="24.75" customHeight="1">
      <c r="A19" s="1745" t="s">
        <v>12</v>
      </c>
      <c r="B19" s="1746"/>
      <c r="C19" s="1182"/>
      <c r="D19" s="1182"/>
      <c r="E19" s="516">
        <f>SUM(E17:E18)</f>
        <v>0</v>
      </c>
      <c r="F19" s="516"/>
      <c r="G19" s="516">
        <f>SUM(G17:G18)</f>
        <v>0</v>
      </c>
      <c r="H19" s="74"/>
      <c r="I19" s="73"/>
    </row>
    <row r="20" spans="1:9" s="416" customFormat="1" ht="24.75" customHeight="1">
      <c r="A20" s="427" t="s">
        <v>500</v>
      </c>
      <c r="B20" s="405"/>
      <c r="C20" s="405"/>
      <c r="D20" s="405"/>
      <c r="E20" s="79"/>
      <c r="F20" s="79"/>
      <c r="G20" s="79"/>
      <c r="H20" s="74"/>
      <c r="I20" s="73"/>
    </row>
    <row r="21" spans="1:9" s="416" customFormat="1" ht="63.75" customHeight="1">
      <c r="A21" s="76"/>
      <c r="B21" s="77"/>
      <c r="C21" s="1189"/>
      <c r="D21" s="1190"/>
      <c r="E21" s="78"/>
      <c r="F21" s="862">
        <v>0.5</v>
      </c>
      <c r="G21" s="368"/>
      <c r="H21" s="863"/>
      <c r="I21" s="864"/>
    </row>
    <row r="22" spans="1:9" s="416" customFormat="1" ht="24.75" customHeight="1">
      <c r="A22" s="1745" t="s">
        <v>12</v>
      </c>
      <c r="B22" s="1746"/>
      <c r="C22" s="1182"/>
      <c r="D22" s="1182"/>
      <c r="E22" s="79">
        <f>SUM(E21:E21)</f>
        <v>0</v>
      </c>
      <c r="F22" s="79"/>
      <c r="G22" s="79">
        <f>SUM(G21:G21)</f>
        <v>0</v>
      </c>
      <c r="H22" s="74"/>
      <c r="I22" s="73"/>
    </row>
    <row r="23" spans="1:9" s="416" customFormat="1" ht="24.75" customHeight="1">
      <c r="A23" s="427" t="s">
        <v>501</v>
      </c>
      <c r="B23" s="405"/>
      <c r="C23" s="405"/>
      <c r="D23" s="405"/>
      <c r="E23" s="79"/>
      <c r="F23" s="79"/>
      <c r="G23" s="79"/>
      <c r="H23" s="74"/>
      <c r="I23" s="73"/>
    </row>
    <row r="24" spans="1:9" s="416" customFormat="1" ht="24.75" customHeight="1">
      <c r="A24" s="76">
        <v>1</v>
      </c>
      <c r="B24" s="77"/>
      <c r="C24" s="77"/>
      <c r="D24" s="77"/>
      <c r="E24" s="78"/>
      <c r="F24" s="577">
        <v>1</v>
      </c>
      <c r="G24" s="368">
        <f>E24*F24</f>
        <v>0</v>
      </c>
      <c r="H24" s="719"/>
      <c r="I24" s="367"/>
    </row>
    <row r="25" spans="1:9" s="416" customFormat="1" ht="24.75" customHeight="1">
      <c r="A25" s="1745" t="s">
        <v>12</v>
      </c>
      <c r="B25" s="1746"/>
      <c r="C25" s="1182"/>
      <c r="D25" s="1182"/>
      <c r="E25" s="79">
        <f>SUM(E24:E24)</f>
        <v>0</v>
      </c>
      <c r="F25" s="512"/>
      <c r="G25" s="79">
        <f>SUM(G24:G24)</f>
        <v>0</v>
      </c>
      <c r="H25" s="74"/>
      <c r="I25" s="73"/>
    </row>
    <row r="26" spans="1:9" s="416" customFormat="1" ht="24.75" customHeight="1">
      <c r="A26" s="717" t="s">
        <v>527</v>
      </c>
      <c r="B26" s="717"/>
      <c r="C26" s="1183"/>
      <c r="D26" s="1183"/>
      <c r="E26" s="79"/>
      <c r="F26" s="512"/>
      <c r="G26" s="79"/>
      <c r="H26" s="74"/>
      <c r="I26" s="73"/>
    </row>
    <row r="27" spans="1:9" s="416" customFormat="1" ht="24.75" customHeight="1">
      <c r="A27" s="427" t="s">
        <v>528</v>
      </c>
      <c r="B27" s="405"/>
      <c r="C27" s="405"/>
      <c r="D27" s="405"/>
      <c r="E27" s="721"/>
      <c r="F27" s="722"/>
      <c r="G27" s="723"/>
      <c r="H27" s="74"/>
      <c r="I27" s="73"/>
    </row>
    <row r="28" spans="1:9" s="416" customFormat="1" ht="31.5" customHeight="1">
      <c r="A28" s="76"/>
      <c r="B28" s="77"/>
      <c r="C28" s="77"/>
      <c r="D28" s="77"/>
      <c r="E28" s="78"/>
      <c r="F28" s="577"/>
      <c r="G28" s="368"/>
      <c r="H28" s="576"/>
      <c r="I28" s="718"/>
    </row>
    <row r="29" spans="1:9" s="416" customFormat="1" ht="24.75" customHeight="1">
      <c r="A29" s="715"/>
      <c r="B29" s="716" t="s">
        <v>12</v>
      </c>
      <c r="C29" s="1182"/>
      <c r="D29" s="1182"/>
      <c r="E29" s="516">
        <f>E28</f>
        <v>0</v>
      </c>
      <c r="F29" s="724"/>
      <c r="G29" s="516">
        <f>G28</f>
        <v>0</v>
      </c>
      <c r="H29" s="74"/>
      <c r="I29" s="73"/>
    </row>
    <row r="30" spans="1:9" s="416" customFormat="1" ht="24.75" customHeight="1">
      <c r="A30" s="717" t="s">
        <v>529</v>
      </c>
      <c r="B30" s="404"/>
      <c r="C30" s="1183"/>
      <c r="D30" s="1183"/>
      <c r="E30" s="79"/>
      <c r="F30" s="79"/>
      <c r="G30" s="79"/>
      <c r="H30" s="74"/>
      <c r="I30" s="73"/>
    </row>
    <row r="31" spans="1:9" s="416" customFormat="1" ht="24.75" customHeight="1">
      <c r="A31" s="427" t="s">
        <v>498</v>
      </c>
      <c r="B31" s="405"/>
      <c r="C31" s="405"/>
      <c r="D31" s="405"/>
      <c r="E31" s="73"/>
      <c r="F31" s="74"/>
      <c r="G31" s="75"/>
      <c r="H31" s="74"/>
      <c r="I31" s="73"/>
    </row>
    <row r="32" spans="1:9" s="416" customFormat="1" ht="24.75" customHeight="1">
      <c r="A32" s="76"/>
      <c r="B32" s="77"/>
      <c r="C32" s="77"/>
      <c r="D32" s="77"/>
      <c r="E32" s="78"/>
      <c r="F32" s="577">
        <v>0.03</v>
      </c>
      <c r="G32" s="848">
        <f>E32*F32</f>
        <v>0</v>
      </c>
      <c r="H32" s="74"/>
      <c r="I32" s="849" t="s">
        <v>579</v>
      </c>
    </row>
    <row r="33" spans="1:9" s="416" customFormat="1" ht="24.75" customHeight="1">
      <c r="A33" s="549"/>
      <c r="B33" s="550" t="s">
        <v>12</v>
      </c>
      <c r="C33" s="1182"/>
      <c r="D33" s="1182"/>
      <c r="E33" s="516">
        <f>SUM(E32:E32)</f>
        <v>0</v>
      </c>
      <c r="F33" s="516"/>
      <c r="G33" s="516">
        <f>SUM(G32:G32)</f>
        <v>0</v>
      </c>
      <c r="H33" s="744"/>
      <c r="I33" s="73"/>
    </row>
    <row r="34" spans="1:9" s="416" customFormat="1" ht="24.75" customHeight="1">
      <c r="A34" s="427" t="s">
        <v>499</v>
      </c>
      <c r="B34" s="550"/>
      <c r="C34" s="1182"/>
      <c r="D34" s="1182"/>
      <c r="E34" s="516"/>
      <c r="F34" s="577"/>
      <c r="G34" s="516"/>
      <c r="H34" s="74"/>
      <c r="I34" s="73"/>
    </row>
    <row r="35" spans="1:9" s="416" customFormat="1" ht="24.75" customHeight="1">
      <c r="A35" s="76"/>
      <c r="B35" s="77"/>
      <c r="C35" s="77"/>
      <c r="D35" s="77"/>
      <c r="E35" s="78"/>
      <c r="F35" s="577">
        <v>0.2</v>
      </c>
      <c r="G35" s="848">
        <f>E35*F35</f>
        <v>0</v>
      </c>
      <c r="H35" s="74"/>
      <c r="I35" s="849" t="s">
        <v>603</v>
      </c>
    </row>
    <row r="36" spans="1:9" s="416" customFormat="1" ht="24.75" customHeight="1">
      <c r="A36" s="549"/>
      <c r="B36" s="550" t="s">
        <v>12</v>
      </c>
      <c r="C36" s="1182"/>
      <c r="D36" s="1182"/>
      <c r="E36" s="516">
        <f>SUM(E35:E35)</f>
        <v>0</v>
      </c>
      <c r="F36" s="516"/>
      <c r="G36" s="516">
        <f>SUM(G35:G35)</f>
        <v>0</v>
      </c>
      <c r="H36" s="74"/>
      <c r="I36" s="73"/>
    </row>
    <row r="37" spans="1:9" s="416" customFormat="1" ht="24.75" customHeight="1">
      <c r="A37" s="427" t="s">
        <v>500</v>
      </c>
      <c r="B37" s="550"/>
      <c r="C37" s="1182"/>
      <c r="D37" s="1182"/>
      <c r="E37" s="516"/>
      <c r="F37" s="577"/>
      <c r="G37" s="516"/>
      <c r="H37" s="74"/>
      <c r="I37" s="73"/>
    </row>
    <row r="38" spans="1:9" s="416" customFormat="1" ht="24.75" customHeight="1">
      <c r="A38" s="76"/>
      <c r="B38" s="77"/>
      <c r="C38" s="77"/>
      <c r="D38" s="77"/>
      <c r="E38" s="78"/>
      <c r="F38" s="577">
        <v>0.5</v>
      </c>
      <c r="G38" s="848">
        <f>E38*F38</f>
        <v>0</v>
      </c>
      <c r="H38" s="74"/>
      <c r="I38" s="849" t="s">
        <v>604</v>
      </c>
    </row>
    <row r="39" spans="1:9" s="416" customFormat="1" ht="24.75" customHeight="1">
      <c r="A39" s="549"/>
      <c r="B39" s="550" t="s">
        <v>12</v>
      </c>
      <c r="C39" s="1182"/>
      <c r="D39" s="1182"/>
      <c r="E39" s="516">
        <f>SUM(E38:E38)</f>
        <v>0</v>
      </c>
      <c r="F39" s="516"/>
      <c r="G39" s="516">
        <f>SUM(G38:G38)</f>
        <v>0</v>
      </c>
      <c r="H39" s="74"/>
      <c r="I39" s="73"/>
    </row>
    <row r="40" spans="1:9" s="416" customFormat="1" ht="24.75" customHeight="1">
      <c r="A40" s="427" t="s">
        <v>501</v>
      </c>
      <c r="B40" s="405"/>
      <c r="C40" s="405"/>
      <c r="D40" s="405"/>
      <c r="E40" s="79"/>
      <c r="F40" s="79"/>
      <c r="G40" s="79"/>
      <c r="H40" s="74"/>
      <c r="I40" s="73"/>
    </row>
    <row r="41" spans="1:9" s="416" customFormat="1" ht="24.75" customHeight="1">
      <c r="A41" s="76"/>
      <c r="B41" s="77"/>
      <c r="C41" s="77"/>
      <c r="D41" s="77"/>
      <c r="E41" s="78"/>
      <c r="F41" s="577">
        <v>1</v>
      </c>
      <c r="G41" s="368">
        <f>E41*F41</f>
        <v>0</v>
      </c>
      <c r="H41" s="74"/>
      <c r="I41" s="73"/>
    </row>
    <row r="42" spans="1:9" s="416" customFormat="1" ht="24.75" customHeight="1">
      <c r="A42" s="1745" t="s">
        <v>12</v>
      </c>
      <c r="B42" s="1746"/>
      <c r="C42" s="1182"/>
      <c r="D42" s="1182"/>
      <c r="E42" s="79">
        <f>SUM(E41:E41)</f>
        <v>0</v>
      </c>
      <c r="F42" s="79"/>
      <c r="G42" s="79">
        <f>SUM(G41:G41)</f>
        <v>0</v>
      </c>
      <c r="H42" s="74"/>
      <c r="I42" s="73"/>
    </row>
    <row r="43" spans="1:9" s="416" customFormat="1" ht="24.75" customHeight="1">
      <c r="A43" s="846"/>
      <c r="B43" s="847" t="s">
        <v>572</v>
      </c>
      <c r="C43" s="1182"/>
      <c r="D43" s="1182"/>
      <c r="E43" s="79">
        <f>E33+E36+E39+E42</f>
        <v>0</v>
      </c>
      <c r="F43" s="79"/>
      <c r="G43" s="79">
        <f>G33+G36+G39+G42</f>
        <v>0</v>
      </c>
      <c r="H43" s="74"/>
      <c r="I43" s="73"/>
    </row>
    <row r="44" spans="1:9" s="416" customFormat="1" ht="24.75" customHeight="1">
      <c r="A44" s="740" t="s">
        <v>533</v>
      </c>
      <c r="B44" s="404"/>
      <c r="C44" s="1183"/>
      <c r="D44" s="1183"/>
      <c r="E44" s="79"/>
      <c r="F44" s="577"/>
      <c r="G44" s="79"/>
      <c r="H44" s="74"/>
      <c r="I44" s="73"/>
    </row>
    <row r="45" spans="1:9" s="416" customFormat="1" ht="24.75" customHeight="1">
      <c r="A45" s="427" t="s">
        <v>534</v>
      </c>
      <c r="B45" s="405"/>
      <c r="C45" s="405"/>
      <c r="D45" s="405"/>
      <c r="E45" s="78"/>
      <c r="F45" s="577"/>
      <c r="G45" s="78"/>
      <c r="H45" s="74"/>
      <c r="I45" s="81"/>
    </row>
    <row r="46" spans="1:9" s="416" customFormat="1" ht="24.75" customHeight="1">
      <c r="A46" s="76"/>
      <c r="B46" s="77"/>
      <c r="C46" s="77"/>
      <c r="D46" s="77"/>
      <c r="E46" s="78"/>
      <c r="F46" s="577">
        <v>0.08</v>
      </c>
      <c r="G46" s="78">
        <f>E46*F46</f>
        <v>0</v>
      </c>
      <c r="H46" s="74"/>
      <c r="I46" s="81"/>
    </row>
    <row r="47" spans="1:9" s="416" customFormat="1" ht="24.75" customHeight="1">
      <c r="A47" s="76"/>
      <c r="B47" s="77"/>
      <c r="C47" s="77"/>
      <c r="D47" s="77"/>
      <c r="E47" s="78"/>
      <c r="F47" s="577">
        <v>0.08</v>
      </c>
      <c r="G47" s="78">
        <f>E47*F47</f>
        <v>0</v>
      </c>
      <c r="H47" s="74"/>
      <c r="I47" s="81"/>
    </row>
    <row r="48" spans="1:9" s="416" customFormat="1" ht="24.75" customHeight="1">
      <c r="A48" s="1745" t="s">
        <v>12</v>
      </c>
      <c r="B48" s="1746"/>
      <c r="C48" s="1182"/>
      <c r="D48" s="1182"/>
      <c r="E48" s="79">
        <f>SUM(E46:E47)</f>
        <v>0</v>
      </c>
      <c r="F48" s="577"/>
      <c r="G48" s="79">
        <f>SUM(G46:G47)</f>
        <v>0</v>
      </c>
      <c r="H48" s="74"/>
      <c r="I48" s="73"/>
    </row>
    <row r="49" spans="1:9" s="416" customFormat="1" ht="24.75" customHeight="1">
      <c r="A49" s="542" t="s">
        <v>535</v>
      </c>
      <c r="B49" s="543"/>
      <c r="C49" s="543"/>
      <c r="D49" s="543"/>
      <c r="E49" s="544"/>
      <c r="F49" s="577"/>
      <c r="G49" s="544"/>
      <c r="H49" s="545"/>
      <c r="I49" s="546"/>
    </row>
    <row r="50" spans="1:9" s="416" customFormat="1" ht="24.75" customHeight="1">
      <c r="A50" s="76"/>
      <c r="B50" s="77"/>
      <c r="C50" s="77"/>
      <c r="D50" s="77"/>
      <c r="E50" s="78"/>
      <c r="F50" s="577">
        <v>1</v>
      </c>
      <c r="G50" s="78">
        <f>E50*F50</f>
        <v>0</v>
      </c>
      <c r="H50" s="74"/>
      <c r="I50" s="81"/>
    </row>
    <row r="51" spans="1:9" s="416" customFormat="1" ht="24.75" customHeight="1">
      <c r="A51" s="1745" t="s">
        <v>12</v>
      </c>
      <c r="B51" s="1746"/>
      <c r="C51" s="1182"/>
      <c r="D51" s="1182"/>
      <c r="E51" s="79">
        <f>SUM(E49:E50)</f>
        <v>0</v>
      </c>
      <c r="F51" s="577"/>
      <c r="G51" s="79">
        <f>SUM(G49:G50)</f>
        <v>0</v>
      </c>
      <c r="H51" s="74"/>
      <c r="I51" s="73"/>
    </row>
    <row r="52" spans="1:9" s="416" customFormat="1" ht="24.75" customHeight="1">
      <c r="A52" s="1756" t="s">
        <v>546</v>
      </c>
      <c r="B52" s="1757"/>
      <c r="C52" s="1184"/>
      <c r="D52" s="1184"/>
      <c r="E52" s="748">
        <f>E9+E15+E19+E22+E25+E29+E43+E48</f>
        <v>1027175.38</v>
      </c>
      <c r="F52" s="748"/>
      <c r="G52" s="748">
        <f>G9+G15+G19+G22+G25+G29+G43+G48</f>
        <v>30815.261399999996</v>
      </c>
      <c r="H52" s="744"/>
      <c r="I52" s="73"/>
    </row>
    <row r="53" spans="1:9" s="416" customFormat="1" ht="24.75" customHeight="1">
      <c r="A53" s="1749" t="s">
        <v>536</v>
      </c>
      <c r="B53" s="1749"/>
      <c r="C53" s="1186"/>
      <c r="D53" s="1186"/>
      <c r="E53" s="544"/>
      <c r="F53" s="745"/>
      <c r="G53" s="78"/>
      <c r="H53" s="74"/>
      <c r="I53" s="81"/>
    </row>
    <row r="54" spans="1:9" s="416" customFormat="1" ht="24.75" customHeight="1">
      <c r="A54" s="427" t="s">
        <v>537</v>
      </c>
      <c r="B54" s="405"/>
      <c r="C54" s="405"/>
      <c r="D54" s="405"/>
      <c r="E54" s="78"/>
      <c r="F54" s="577"/>
      <c r="G54" s="78"/>
      <c r="H54" s="74"/>
      <c r="I54" s="81"/>
    </row>
    <row r="55" spans="1:9" s="416" customFormat="1" ht="24.75" customHeight="1">
      <c r="A55" s="76"/>
      <c r="B55" s="77"/>
      <c r="C55" s="77"/>
      <c r="D55" s="77"/>
      <c r="E55" s="78"/>
      <c r="F55" s="577">
        <v>0.03</v>
      </c>
      <c r="G55" s="547"/>
      <c r="H55" s="74"/>
      <c r="I55" s="81"/>
    </row>
    <row r="56" spans="1:9" s="416" customFormat="1" ht="24.75" customHeight="1">
      <c r="A56" s="1745" t="s">
        <v>12</v>
      </c>
      <c r="B56" s="1746"/>
      <c r="C56" s="1182"/>
      <c r="D56" s="1182"/>
      <c r="E56" s="79">
        <f>SUM(E54:E55)</f>
        <v>0</v>
      </c>
      <c r="F56" s="577"/>
      <c r="G56" s="79">
        <f>SUM(G54:G55)</f>
        <v>0</v>
      </c>
      <c r="H56" s="74"/>
      <c r="I56" s="73"/>
    </row>
    <row r="57" spans="1:9" s="416" customFormat="1" ht="24.75" customHeight="1">
      <c r="A57" s="427" t="s">
        <v>538</v>
      </c>
      <c r="B57" s="405"/>
      <c r="C57" s="405"/>
      <c r="D57" s="405"/>
      <c r="E57" s="78"/>
      <c r="F57" s="577"/>
      <c r="G57" s="78"/>
      <c r="H57" s="74"/>
      <c r="I57" s="81"/>
    </row>
    <row r="58" spans="1:9" s="416" customFormat="1" ht="24.75" customHeight="1">
      <c r="A58" s="1747" t="s">
        <v>530</v>
      </c>
      <c r="B58" s="1748"/>
      <c r="C58" s="1187"/>
      <c r="D58" s="1187"/>
      <c r="E58" s="78"/>
      <c r="F58" s="577">
        <v>0.2</v>
      </c>
      <c r="G58" s="78">
        <f>E58*F58</f>
        <v>0</v>
      </c>
      <c r="H58" s="74"/>
      <c r="I58" s="448"/>
    </row>
    <row r="59" spans="1:9" s="416" customFormat="1" ht="24.75" customHeight="1">
      <c r="A59" s="1747" t="s">
        <v>531</v>
      </c>
      <c r="B59" s="1748" t="s">
        <v>531</v>
      </c>
      <c r="C59" s="1187"/>
      <c r="D59" s="1187"/>
      <c r="E59" s="78"/>
      <c r="F59" s="577">
        <v>0.5</v>
      </c>
      <c r="G59" s="547"/>
      <c r="H59" s="74"/>
      <c r="I59" s="81"/>
    </row>
    <row r="60" spans="1:9" s="416" customFormat="1" ht="24.75" customHeight="1">
      <c r="A60" s="1747" t="s">
        <v>532</v>
      </c>
      <c r="B60" s="1748" t="s">
        <v>532</v>
      </c>
      <c r="C60" s="1187"/>
      <c r="D60" s="1187"/>
      <c r="E60" s="78"/>
      <c r="F60" s="577">
        <v>1</v>
      </c>
      <c r="G60" s="547"/>
      <c r="H60" s="74"/>
      <c r="I60" s="81"/>
    </row>
    <row r="61" spans="1:9" s="416" customFormat="1" ht="24.75" customHeight="1">
      <c r="A61" s="1750" t="s">
        <v>12</v>
      </c>
      <c r="B61" s="1751"/>
      <c r="C61" s="1180"/>
      <c r="D61" s="1180"/>
      <c r="E61" s="742">
        <f>SUM(E58:E60)</f>
        <v>0</v>
      </c>
      <c r="F61" s="742"/>
      <c r="G61" s="742">
        <f>SUM(G58:G60)</f>
        <v>0</v>
      </c>
      <c r="H61" s="741"/>
      <c r="I61" s="743"/>
    </row>
    <row r="62" spans="1:9" s="416" customFormat="1" ht="24.75" customHeight="1">
      <c r="A62" s="427" t="s">
        <v>539</v>
      </c>
      <c r="B62" s="405"/>
      <c r="C62" s="405"/>
      <c r="D62" s="405"/>
      <c r="E62" s="78"/>
      <c r="F62" s="577"/>
      <c r="G62" s="78"/>
      <c r="H62" s="74"/>
      <c r="I62" s="81"/>
    </row>
    <row r="63" spans="1:9" s="416" customFormat="1" ht="24.75" customHeight="1">
      <c r="A63" s="76"/>
      <c r="B63" s="77"/>
      <c r="C63" s="77"/>
      <c r="D63" s="77"/>
      <c r="E63" s="78"/>
      <c r="F63" s="577">
        <v>0.03</v>
      </c>
      <c r="G63" s="547"/>
      <c r="H63" s="74"/>
      <c r="I63" s="81"/>
    </row>
    <row r="64" spans="1:9" s="416" customFormat="1" ht="24.75" customHeight="1">
      <c r="A64" s="1745" t="s">
        <v>12</v>
      </c>
      <c r="B64" s="1746"/>
      <c r="C64" s="1182"/>
      <c r="D64" s="1182"/>
      <c r="E64" s="79">
        <f>SUM(E62:E63)</f>
        <v>0</v>
      </c>
      <c r="F64" s="577"/>
      <c r="G64" s="79">
        <f>SUM(G62:G63)</f>
        <v>0</v>
      </c>
      <c r="H64" s="74"/>
      <c r="I64" s="73"/>
    </row>
    <row r="65" spans="1:9" s="416" customFormat="1" ht="24.75" customHeight="1">
      <c r="A65" s="427" t="s">
        <v>540</v>
      </c>
      <c r="B65" s="405"/>
      <c r="C65" s="405"/>
      <c r="D65" s="405"/>
      <c r="E65" s="78"/>
      <c r="F65" s="577"/>
      <c r="G65" s="78"/>
      <c r="H65" s="74"/>
      <c r="I65" s="81"/>
    </row>
    <row r="66" spans="1:9" s="416" customFormat="1" ht="24.75" customHeight="1">
      <c r="A66" s="1747" t="s">
        <v>530</v>
      </c>
      <c r="B66" s="1748"/>
      <c r="C66" s="1187"/>
      <c r="D66" s="1187"/>
      <c r="E66" s="78"/>
      <c r="F66" s="577">
        <v>0.2</v>
      </c>
      <c r="G66" s="78"/>
      <c r="H66" s="74"/>
      <c r="I66" s="81"/>
    </row>
    <row r="67" spans="1:9" s="416" customFormat="1" ht="24.75" customHeight="1">
      <c r="A67" s="1747" t="s">
        <v>531</v>
      </c>
      <c r="B67" s="1748" t="s">
        <v>531</v>
      </c>
      <c r="C67" s="1187"/>
      <c r="D67" s="1187"/>
      <c r="E67" s="78"/>
      <c r="F67" s="577">
        <v>0.5</v>
      </c>
      <c r="G67" s="78"/>
      <c r="H67" s="74"/>
      <c r="I67" s="720" t="s">
        <v>605</v>
      </c>
    </row>
    <row r="68" spans="1:9" s="416" customFormat="1" ht="24.75" customHeight="1">
      <c r="A68" s="1747" t="s">
        <v>532</v>
      </c>
      <c r="B68" s="1748" t="s">
        <v>532</v>
      </c>
      <c r="C68" s="1187"/>
      <c r="D68" s="1187"/>
      <c r="E68" s="78"/>
      <c r="F68" s="577">
        <v>1</v>
      </c>
      <c r="G68" s="78">
        <f>E68*F68</f>
        <v>0</v>
      </c>
      <c r="H68" s="74"/>
      <c r="I68" s="81"/>
    </row>
    <row r="69" spans="1:9" s="416" customFormat="1" ht="24.75" customHeight="1">
      <c r="A69" s="1750" t="s">
        <v>12</v>
      </c>
      <c r="B69" s="1751"/>
      <c r="C69" s="1180"/>
      <c r="D69" s="1180"/>
      <c r="E69" s="742">
        <f>SUM(E66:E68)</f>
        <v>0</v>
      </c>
      <c r="F69" s="742"/>
      <c r="G69" s="742">
        <f>SUM(G66:G68)</f>
        <v>0</v>
      </c>
      <c r="H69" s="741"/>
      <c r="I69" s="743"/>
    </row>
    <row r="70" spans="1:9" s="416" customFormat="1" ht="24.75" customHeight="1">
      <c r="A70" s="427" t="s">
        <v>541</v>
      </c>
      <c r="B70" s="405"/>
      <c r="C70" s="405"/>
      <c r="D70" s="405"/>
      <c r="E70" s="78"/>
      <c r="F70" s="577"/>
      <c r="G70" s="78"/>
      <c r="H70" s="74"/>
      <c r="I70" s="81"/>
    </row>
    <row r="71" spans="1:9" s="416" customFormat="1" ht="24.75" customHeight="1">
      <c r="A71" s="76"/>
      <c r="B71" s="77"/>
      <c r="C71" s="77"/>
      <c r="D71" s="77"/>
      <c r="E71" s="78"/>
      <c r="F71" s="577">
        <v>0.03</v>
      </c>
      <c r="G71" s="547"/>
      <c r="H71" s="74"/>
      <c r="I71" s="81"/>
    </row>
    <row r="72" spans="1:9" s="416" customFormat="1" ht="24.75" customHeight="1">
      <c r="A72" s="1745" t="s">
        <v>12</v>
      </c>
      <c r="B72" s="1746"/>
      <c r="C72" s="1182"/>
      <c r="D72" s="1182"/>
      <c r="E72" s="79">
        <f>SUM(E70:E71)</f>
        <v>0</v>
      </c>
      <c r="F72" s="577"/>
      <c r="G72" s="79">
        <f>SUM(G70:G71)</f>
        <v>0</v>
      </c>
      <c r="H72" s="74"/>
      <c r="I72" s="73"/>
    </row>
    <row r="73" spans="1:9" s="416" customFormat="1" ht="24.75" customHeight="1">
      <c r="A73" s="427" t="s">
        <v>542</v>
      </c>
      <c r="B73" s="405"/>
      <c r="C73" s="405"/>
      <c r="D73" s="405"/>
      <c r="E73" s="78"/>
      <c r="F73" s="577"/>
      <c r="G73" s="78"/>
      <c r="H73" s="74"/>
      <c r="I73" s="81"/>
    </row>
    <row r="74" spans="1:9" s="416" customFormat="1" ht="24.75" customHeight="1">
      <c r="A74" s="1747" t="s">
        <v>530</v>
      </c>
      <c r="B74" s="1748"/>
      <c r="C74" s="1187"/>
      <c r="D74" s="1187"/>
      <c r="E74" s="78"/>
      <c r="F74" s="577">
        <v>0.2</v>
      </c>
      <c r="G74" s="78">
        <f>E74*F74</f>
        <v>0</v>
      </c>
      <c r="H74" s="74"/>
      <c r="I74" s="81"/>
    </row>
    <row r="75" spans="1:9" s="416" customFormat="1" ht="24.75" customHeight="1">
      <c r="A75" s="1747" t="s">
        <v>531</v>
      </c>
      <c r="B75" s="1748" t="s">
        <v>531</v>
      </c>
      <c r="C75" s="1187"/>
      <c r="D75" s="1187"/>
      <c r="E75" s="78"/>
      <c r="F75" s="577">
        <v>0.5</v>
      </c>
      <c r="G75" s="547"/>
      <c r="H75" s="74"/>
      <c r="I75" s="81"/>
    </row>
    <row r="76" spans="1:9" s="416" customFormat="1" ht="24.75" customHeight="1">
      <c r="A76" s="1747" t="s">
        <v>532</v>
      </c>
      <c r="B76" s="1748" t="s">
        <v>532</v>
      </c>
      <c r="C76" s="1187"/>
      <c r="D76" s="1187"/>
      <c r="E76" s="78"/>
      <c r="F76" s="577">
        <v>1</v>
      </c>
      <c r="G76" s="547"/>
      <c r="H76" s="74"/>
      <c r="I76" s="81"/>
    </row>
    <row r="77" spans="1:9" s="416" customFormat="1" ht="24.75" customHeight="1">
      <c r="A77" s="1750" t="s">
        <v>12</v>
      </c>
      <c r="B77" s="1751"/>
      <c r="C77" s="1180"/>
      <c r="D77" s="1180"/>
      <c r="E77" s="742">
        <v>0</v>
      </c>
      <c r="F77" s="742"/>
      <c r="G77" s="742">
        <v>0</v>
      </c>
      <c r="H77" s="741"/>
      <c r="I77" s="743"/>
    </row>
    <row r="78" spans="1:9" s="416" customFormat="1" ht="24.75" customHeight="1">
      <c r="A78" s="427" t="s">
        <v>543</v>
      </c>
      <c r="B78" s="405"/>
      <c r="C78" s="405"/>
      <c r="D78" s="405"/>
      <c r="E78" s="78"/>
      <c r="F78" s="577"/>
      <c r="G78" s="78"/>
      <c r="H78" s="74"/>
      <c r="I78" s="81"/>
    </row>
    <row r="79" spans="1:9" s="416" customFormat="1" ht="24.75" customHeight="1">
      <c r="A79" s="76"/>
      <c r="B79" s="77"/>
      <c r="C79" s="77"/>
      <c r="D79" s="77"/>
      <c r="E79" s="78"/>
      <c r="F79" s="577">
        <v>0.03</v>
      </c>
      <c r="G79" s="547"/>
      <c r="H79" s="74"/>
      <c r="I79" s="81"/>
    </row>
    <row r="80" spans="1:9" s="416" customFormat="1" ht="24.75" customHeight="1">
      <c r="A80" s="1745" t="s">
        <v>12</v>
      </c>
      <c r="B80" s="1746"/>
      <c r="C80" s="1182"/>
      <c r="D80" s="1182"/>
      <c r="E80" s="79">
        <f>SUM(E78:E79)</f>
        <v>0</v>
      </c>
      <c r="F80" s="577"/>
      <c r="G80" s="79">
        <f>SUM(G78:G79)</f>
        <v>0</v>
      </c>
      <c r="H80" s="74"/>
      <c r="I80" s="73"/>
    </row>
    <row r="81" spans="1:10" s="416" customFormat="1" ht="24.75" customHeight="1">
      <c r="A81" s="427" t="s">
        <v>544</v>
      </c>
      <c r="B81" s="405"/>
      <c r="C81" s="405"/>
      <c r="D81" s="405"/>
      <c r="E81" s="78"/>
      <c r="F81" s="577"/>
      <c r="G81" s="78"/>
      <c r="H81" s="74"/>
      <c r="I81" s="81"/>
    </row>
    <row r="82" spans="1:10" s="416" customFormat="1" ht="24.75" customHeight="1">
      <c r="A82" s="1747" t="s">
        <v>530</v>
      </c>
      <c r="B82" s="1748"/>
      <c r="C82" s="1187"/>
      <c r="D82" s="1187"/>
      <c r="E82" s="78"/>
      <c r="F82" s="577">
        <v>0.2</v>
      </c>
      <c r="G82" s="78"/>
      <c r="H82" s="74"/>
      <c r="I82" s="81"/>
    </row>
    <row r="83" spans="1:10" s="416" customFormat="1" ht="24.75" customHeight="1">
      <c r="A83" s="1747" t="s">
        <v>531</v>
      </c>
      <c r="B83" s="1748" t="s">
        <v>531</v>
      </c>
      <c r="C83" s="1187"/>
      <c r="D83" s="1187"/>
      <c r="E83" s="78"/>
      <c r="F83" s="577">
        <v>0.5</v>
      </c>
      <c r="G83" s="547"/>
      <c r="H83" s="74"/>
      <c r="I83" s="81"/>
    </row>
    <row r="84" spans="1:10" s="416" customFormat="1" ht="24.75" customHeight="1">
      <c r="A84" s="1747" t="s">
        <v>532</v>
      </c>
      <c r="B84" s="1748" t="s">
        <v>532</v>
      </c>
      <c r="C84" s="1187"/>
      <c r="D84" s="1187"/>
      <c r="E84" s="78"/>
      <c r="F84" s="577">
        <v>1</v>
      </c>
      <c r="G84" s="547"/>
      <c r="H84" s="74"/>
      <c r="I84" s="81"/>
    </row>
    <row r="85" spans="1:10" s="416" customFormat="1" ht="24.75" customHeight="1" thickBot="1">
      <c r="A85" s="1750" t="s">
        <v>12</v>
      </c>
      <c r="B85" s="1751"/>
      <c r="C85" s="1180"/>
      <c r="D85" s="1180"/>
      <c r="E85" s="742">
        <f>E50</f>
        <v>0</v>
      </c>
      <c r="F85" s="742"/>
      <c r="G85" s="742">
        <f>G50</f>
        <v>0</v>
      </c>
      <c r="H85" s="537"/>
      <c r="I85" s="538"/>
    </row>
    <row r="86" spans="1:10" s="416" customFormat="1" ht="24.75" customHeight="1" thickBot="1">
      <c r="A86" s="1754" t="s">
        <v>545</v>
      </c>
      <c r="B86" s="1755"/>
      <c r="C86" s="1177"/>
      <c r="D86" s="1177"/>
      <c r="E86" s="920">
        <f>E56+E61+E64+E69+E72+E77+E80+E85</f>
        <v>0</v>
      </c>
      <c r="F86" s="921"/>
      <c r="G86" s="922">
        <f>G56+G61+G64+G69+G72+G77+G80+G85</f>
        <v>0</v>
      </c>
      <c r="H86" s="534"/>
      <c r="I86" s="369"/>
    </row>
    <row r="87" spans="1:10" s="416" customFormat="1" ht="24.75" customHeight="1" thickBot="1">
      <c r="A87" s="1754" t="s">
        <v>573</v>
      </c>
      <c r="B87" s="1755"/>
      <c r="C87" s="1188"/>
      <c r="D87" s="1188"/>
      <c r="E87" s="850">
        <f>E52-E9</f>
        <v>1027175.38</v>
      </c>
      <c r="F87" s="850"/>
      <c r="G87" s="851">
        <f>G52-G9</f>
        <v>30815.261399999996</v>
      </c>
      <c r="H87" s="534"/>
      <c r="I87" s="369"/>
    </row>
    <row r="88" spans="1:10" s="418" customFormat="1" ht="30.75" customHeight="1" thickBot="1">
      <c r="A88" s="1752" t="s">
        <v>574</v>
      </c>
      <c r="B88" s="1753"/>
      <c r="C88" s="1181"/>
      <c r="D88" s="1181"/>
      <c r="E88" s="737">
        <f>E52+E86</f>
        <v>1027175.38</v>
      </c>
      <c r="F88" s="737"/>
      <c r="G88" s="737">
        <f>G52+G86</f>
        <v>30815.261399999996</v>
      </c>
      <c r="H88" s="82"/>
      <c r="I88" s="82"/>
      <c r="J88" s="83"/>
    </row>
    <row r="89" spans="1:10" s="418" customFormat="1" ht="11.25" customHeight="1">
      <c r="A89" s="369"/>
      <c r="B89" s="370"/>
      <c r="C89" s="370"/>
      <c r="D89" s="370"/>
      <c r="E89" s="371"/>
      <c r="F89" s="371"/>
      <c r="G89" s="371"/>
      <c r="H89" s="82"/>
      <c r="I89" s="82"/>
      <c r="J89" s="83"/>
    </row>
    <row r="90" spans="1:10" s="419" customFormat="1" ht="34.5" customHeight="1">
      <c r="A90" s="338"/>
      <c r="B90" s="339" t="s">
        <v>19</v>
      </c>
      <c r="C90" s="339"/>
      <c r="D90" s="339"/>
      <c r="E90" s="746"/>
      <c r="F90" s="340"/>
      <c r="G90" s="464"/>
      <c r="H90" s="465" t="s">
        <v>20</v>
      </c>
      <c r="I90" s="463" t="s">
        <v>21</v>
      </c>
      <c r="J90" s="341"/>
    </row>
    <row r="91" spans="1:10" s="420" customFormat="1" ht="17.100000000000001" customHeight="1">
      <c r="A91" s="84"/>
      <c r="B91" s="85"/>
      <c r="C91" s="85"/>
      <c r="D91" s="85"/>
      <c r="E91" s="86"/>
      <c r="F91" s="87"/>
      <c r="G91" s="88"/>
      <c r="H91" s="89"/>
      <c r="I91" s="14"/>
      <c r="J91" s="90"/>
    </row>
    <row r="92" spans="1:10" s="420" customFormat="1" ht="17.100000000000001" customHeight="1">
      <c r="A92" s="84"/>
      <c r="B92" s="84"/>
      <c r="C92" s="84"/>
      <c r="D92" s="84"/>
      <c r="E92" s="86"/>
      <c r="F92" s="87"/>
      <c r="G92" s="88"/>
      <c r="H92" s="91"/>
      <c r="I92" s="8"/>
      <c r="J92" s="90"/>
    </row>
    <row r="93" spans="1:10" ht="18" customHeight="1">
      <c r="A93" s="92"/>
      <c r="B93" s="84"/>
      <c r="C93" s="84"/>
      <c r="D93" s="84"/>
      <c r="E93" s="93"/>
      <c r="G93" s="94"/>
      <c r="H93" s="94"/>
    </row>
    <row r="94" spans="1:10" ht="18" customHeight="1">
      <c r="A94" s="92"/>
      <c r="B94" s="84"/>
      <c r="C94" s="84"/>
      <c r="D94" s="84"/>
      <c r="E94" s="93"/>
      <c r="G94" s="94"/>
      <c r="H94" s="94"/>
    </row>
    <row r="95" spans="1:10" ht="18" customHeight="1">
      <c r="A95" s="92"/>
    </row>
    <row r="96" spans="1:10" ht="18" customHeight="1">
      <c r="A96" s="92"/>
      <c r="B96" s="95"/>
      <c r="C96" s="95"/>
      <c r="D96" s="95"/>
      <c r="H96" s="94"/>
    </row>
    <row r="97" spans="1:4" ht="21.75" customHeight="1">
      <c r="A97" s="92"/>
      <c r="B97" s="747" t="s">
        <v>891</v>
      </c>
      <c r="C97" s="747"/>
      <c r="D97" s="747"/>
    </row>
    <row r="98" spans="1:4" ht="18" customHeight="1">
      <c r="A98" s="92"/>
      <c r="B98" s="95"/>
      <c r="C98" s="95"/>
      <c r="D98" s="95"/>
    </row>
    <row r="99" spans="1:4" ht="18" customHeight="1">
      <c r="A99" s="92"/>
    </row>
    <row r="100" spans="1:4" ht="18" customHeight="1">
      <c r="A100" s="92"/>
    </row>
    <row r="101" spans="1:4" ht="18" customHeight="1">
      <c r="A101" s="92"/>
    </row>
    <row r="102" spans="1:4" ht="18" customHeight="1">
      <c r="A102" s="92"/>
    </row>
    <row r="103" spans="1:4" ht="18" customHeight="1">
      <c r="A103" s="92"/>
    </row>
    <row r="104" spans="1:4" ht="18" customHeight="1">
      <c r="A104" s="92"/>
    </row>
    <row r="105" spans="1:4" ht="18" customHeight="1">
      <c r="A105" s="92"/>
    </row>
    <row r="106" spans="1:4" ht="18" customHeight="1">
      <c r="A106" s="96"/>
    </row>
    <row r="107" spans="1:4" ht="18" customHeight="1">
      <c r="A107" s="96"/>
    </row>
    <row r="108" spans="1:4" ht="18" customHeight="1">
      <c r="A108" s="96"/>
    </row>
    <row r="109" spans="1:4" ht="18" customHeight="1">
      <c r="A109" s="96"/>
    </row>
    <row r="110" spans="1:4" ht="18" customHeight="1">
      <c r="A110" s="96"/>
    </row>
    <row r="111" spans="1:4" ht="18" customHeight="1">
      <c r="A111" s="96"/>
    </row>
    <row r="112" spans="1:4" ht="18" customHeight="1">
      <c r="A112" s="96"/>
    </row>
    <row r="113" spans="1:1" ht="18" customHeight="1">
      <c r="A113" s="96"/>
    </row>
    <row r="114" spans="1:1" ht="18" customHeight="1">
      <c r="A114" s="96"/>
    </row>
    <row r="115" spans="1:1" ht="18" customHeight="1">
      <c r="A115" s="96"/>
    </row>
    <row r="116" spans="1:1" ht="18" customHeight="1">
      <c r="A116" s="96"/>
    </row>
    <row r="117" spans="1:1" ht="18" customHeight="1">
      <c r="A117" s="96"/>
    </row>
    <row r="118" spans="1:1" ht="18" customHeight="1">
      <c r="A118" s="96"/>
    </row>
    <row r="119" spans="1:1" ht="18" customHeight="1">
      <c r="A119" s="96"/>
    </row>
    <row r="120" spans="1:1" ht="18" customHeight="1">
      <c r="A120" s="96"/>
    </row>
    <row r="121" spans="1:1" ht="18" customHeight="1">
      <c r="A121" s="96"/>
    </row>
    <row r="122" spans="1:1" ht="18" customHeight="1">
      <c r="A122" s="96"/>
    </row>
    <row r="123" spans="1:1" ht="18" customHeight="1">
      <c r="A123" s="96"/>
    </row>
    <row r="124" spans="1:1" ht="18" customHeight="1">
      <c r="A124" s="96"/>
    </row>
    <row r="125" spans="1:1" ht="18" customHeight="1">
      <c r="A125" s="96"/>
    </row>
    <row r="126" spans="1:1" ht="18" customHeight="1">
      <c r="A126" s="96"/>
    </row>
    <row r="127" spans="1:1" ht="18" customHeight="1">
      <c r="A127" s="96"/>
    </row>
    <row r="128" spans="1:1" ht="18" customHeight="1">
      <c r="A128" s="96"/>
    </row>
    <row r="129" spans="1:1" ht="18" customHeight="1">
      <c r="A129" s="96"/>
    </row>
    <row r="130" spans="1:1" ht="18" customHeight="1">
      <c r="A130" s="96"/>
    </row>
    <row r="131" spans="1:1" ht="18" customHeight="1">
      <c r="A131" s="96"/>
    </row>
    <row r="132" spans="1:1" ht="18" customHeight="1">
      <c r="A132" s="96"/>
    </row>
    <row r="133" spans="1:1" ht="18" customHeight="1">
      <c r="A133" s="96"/>
    </row>
    <row r="134" spans="1:1" ht="18" customHeight="1">
      <c r="A134" s="96"/>
    </row>
    <row r="135" spans="1:1" ht="18" customHeight="1">
      <c r="A135" s="96"/>
    </row>
    <row r="136" spans="1:1" ht="18" customHeight="1">
      <c r="A136" s="96"/>
    </row>
    <row r="137" spans="1:1" ht="18" customHeight="1">
      <c r="A137" s="96"/>
    </row>
    <row r="138" spans="1:1" ht="18" customHeight="1">
      <c r="A138" s="96"/>
    </row>
    <row r="139" spans="1:1" ht="18" customHeight="1">
      <c r="A139" s="96"/>
    </row>
    <row r="140" spans="1:1" ht="18" customHeight="1">
      <c r="A140" s="96"/>
    </row>
    <row r="141" spans="1:1" ht="18" customHeight="1">
      <c r="A141" s="96"/>
    </row>
    <row r="142" spans="1:1" ht="18" customHeight="1">
      <c r="A142" s="96"/>
    </row>
    <row r="143" spans="1:1" ht="18" customHeight="1">
      <c r="A143" s="96"/>
    </row>
    <row r="144" spans="1:1" ht="18" customHeight="1">
      <c r="A144" s="96"/>
    </row>
    <row r="145" spans="1:1" ht="18" customHeight="1">
      <c r="A145" s="96"/>
    </row>
    <row r="146" spans="1:1">
      <c r="A146" s="96"/>
    </row>
    <row r="147" spans="1:1">
      <c r="A147" s="96"/>
    </row>
    <row r="148" spans="1:1">
      <c r="A148" s="96"/>
    </row>
    <row r="149" spans="1:1">
      <c r="A149" s="96"/>
    </row>
    <row r="150" spans="1:1">
      <c r="A150" s="96"/>
    </row>
    <row r="151" spans="1:1">
      <c r="A151" s="96"/>
    </row>
    <row r="152" spans="1:1">
      <c r="A152" s="96"/>
    </row>
    <row r="153" spans="1:1">
      <c r="A153" s="96"/>
    </row>
    <row r="154" spans="1:1">
      <c r="A154" s="96"/>
    </row>
    <row r="155" spans="1:1">
      <c r="A155" s="96"/>
    </row>
    <row r="156" spans="1:1">
      <c r="A156" s="96"/>
    </row>
    <row r="157" spans="1:1">
      <c r="A157" s="96"/>
    </row>
    <row r="158" spans="1:1">
      <c r="A158" s="96"/>
    </row>
    <row r="159" spans="1:1">
      <c r="A159" s="96"/>
    </row>
    <row r="160" spans="1:1">
      <c r="A160" s="96"/>
    </row>
    <row r="161" spans="1:1">
      <c r="A161" s="96"/>
    </row>
    <row r="162" spans="1:1">
      <c r="A162" s="96"/>
    </row>
    <row r="163" spans="1:1">
      <c r="A163" s="96"/>
    </row>
    <row r="164" spans="1:1">
      <c r="A164" s="96"/>
    </row>
    <row r="165" spans="1:1">
      <c r="A165" s="96"/>
    </row>
    <row r="166" spans="1:1">
      <c r="A166" s="96"/>
    </row>
    <row r="167" spans="1:1">
      <c r="A167" s="96"/>
    </row>
    <row r="168" spans="1:1">
      <c r="A168" s="96"/>
    </row>
    <row r="169" spans="1:1">
      <c r="A169" s="96"/>
    </row>
    <row r="170" spans="1:1">
      <c r="A170" s="96"/>
    </row>
    <row r="171" spans="1:1">
      <c r="A171" s="96"/>
    </row>
    <row r="172" spans="1:1">
      <c r="A172" s="96"/>
    </row>
    <row r="173" spans="1:1">
      <c r="A173" s="96"/>
    </row>
    <row r="174" spans="1:1">
      <c r="A174" s="96"/>
    </row>
    <row r="175" spans="1:1">
      <c r="A175" s="96"/>
    </row>
    <row r="176" spans="1:1">
      <c r="A176" s="96"/>
    </row>
    <row r="177" spans="1:1">
      <c r="A177" s="96"/>
    </row>
    <row r="178" spans="1:1">
      <c r="A178" s="96"/>
    </row>
    <row r="179" spans="1:1">
      <c r="A179" s="96"/>
    </row>
    <row r="180" spans="1:1">
      <c r="A180" s="96"/>
    </row>
    <row r="181" spans="1:1">
      <c r="A181" s="96"/>
    </row>
    <row r="182" spans="1:1">
      <c r="A182" s="96"/>
    </row>
    <row r="183" spans="1:1">
      <c r="A183" s="96"/>
    </row>
    <row r="184" spans="1:1">
      <c r="A184" s="96"/>
    </row>
    <row r="185" spans="1:1">
      <c r="A185" s="96"/>
    </row>
    <row r="186" spans="1:1">
      <c r="A186" s="96"/>
    </row>
    <row r="187" spans="1:1">
      <c r="A187" s="96"/>
    </row>
    <row r="188" spans="1:1">
      <c r="A188" s="96"/>
    </row>
    <row r="189" spans="1:1">
      <c r="A189" s="96"/>
    </row>
    <row r="190" spans="1:1">
      <c r="A190" s="96"/>
    </row>
    <row r="191" spans="1:1">
      <c r="A191" s="96"/>
    </row>
    <row r="192" spans="1:1">
      <c r="A192" s="96"/>
    </row>
    <row r="193" spans="1:1">
      <c r="A193" s="96"/>
    </row>
    <row r="194" spans="1:1">
      <c r="A194" s="96"/>
    </row>
    <row r="195" spans="1:1">
      <c r="A195" s="96"/>
    </row>
    <row r="196" spans="1:1">
      <c r="A196" s="96"/>
    </row>
    <row r="197" spans="1:1">
      <c r="A197" s="96"/>
    </row>
    <row r="198" spans="1:1">
      <c r="A198" s="96"/>
    </row>
    <row r="199" spans="1:1">
      <c r="A199" s="96"/>
    </row>
    <row r="200" spans="1:1">
      <c r="A200" s="96"/>
    </row>
    <row r="201" spans="1:1">
      <c r="A201" s="96"/>
    </row>
    <row r="202" spans="1:1">
      <c r="A202" s="96"/>
    </row>
    <row r="203" spans="1:1">
      <c r="A203" s="96"/>
    </row>
    <row r="204" spans="1:1">
      <c r="A204" s="96"/>
    </row>
    <row r="205" spans="1:1">
      <c r="A205" s="96"/>
    </row>
    <row r="206" spans="1:1">
      <c r="A206" s="96"/>
    </row>
    <row r="207" spans="1:1">
      <c r="A207" s="96"/>
    </row>
    <row r="208" spans="1:1">
      <c r="A208" s="96"/>
    </row>
    <row r="209" spans="1:1">
      <c r="A209" s="96"/>
    </row>
    <row r="210" spans="1:1">
      <c r="A210" s="96"/>
    </row>
    <row r="211" spans="1:1">
      <c r="A211" s="96"/>
    </row>
    <row r="212" spans="1:1">
      <c r="A212" s="96"/>
    </row>
    <row r="213" spans="1:1">
      <c r="A213" s="96"/>
    </row>
    <row r="214" spans="1:1">
      <c r="A214" s="96"/>
    </row>
    <row r="215" spans="1:1">
      <c r="A215" s="96"/>
    </row>
    <row r="216" spans="1:1">
      <c r="A216" s="96"/>
    </row>
    <row r="217" spans="1:1">
      <c r="A217" s="96"/>
    </row>
    <row r="218" spans="1:1">
      <c r="A218" s="96"/>
    </row>
    <row r="219" spans="1:1">
      <c r="A219" s="96"/>
    </row>
    <row r="220" spans="1:1">
      <c r="A220" s="96"/>
    </row>
    <row r="221" spans="1:1">
      <c r="A221" s="96"/>
    </row>
    <row r="222" spans="1:1">
      <c r="A222" s="96"/>
    </row>
    <row r="223" spans="1:1">
      <c r="A223" s="96"/>
    </row>
    <row r="224" spans="1:1">
      <c r="A224" s="96"/>
    </row>
    <row r="225" spans="1:1">
      <c r="A225" s="96"/>
    </row>
    <row r="226" spans="1:1">
      <c r="A226" s="96"/>
    </row>
    <row r="227" spans="1:1">
      <c r="A227" s="96"/>
    </row>
    <row r="228" spans="1:1">
      <c r="A228" s="96"/>
    </row>
    <row r="229" spans="1:1">
      <c r="A229" s="96"/>
    </row>
    <row r="230" spans="1:1">
      <c r="A230" s="96"/>
    </row>
    <row r="231" spans="1:1">
      <c r="A231" s="96"/>
    </row>
    <row r="232" spans="1:1">
      <c r="A232" s="96"/>
    </row>
    <row r="233" spans="1:1">
      <c r="A233" s="96"/>
    </row>
    <row r="234" spans="1:1">
      <c r="A234" s="96"/>
    </row>
    <row r="235" spans="1:1">
      <c r="A235" s="96"/>
    </row>
    <row r="236" spans="1:1">
      <c r="A236" s="96"/>
    </row>
    <row r="237" spans="1:1">
      <c r="A237" s="96"/>
    </row>
    <row r="238" spans="1:1">
      <c r="A238" s="96"/>
    </row>
    <row r="239" spans="1:1">
      <c r="A239" s="96"/>
    </row>
    <row r="240" spans="1:1">
      <c r="A240" s="96"/>
    </row>
    <row r="241" spans="1:1">
      <c r="A241" s="96"/>
    </row>
    <row r="242" spans="1:1">
      <c r="A242" s="96"/>
    </row>
    <row r="243" spans="1:1">
      <c r="A243" s="96"/>
    </row>
    <row r="244" spans="1:1">
      <c r="A244" s="96"/>
    </row>
    <row r="245" spans="1:1">
      <c r="A245" s="96"/>
    </row>
    <row r="246" spans="1:1">
      <c r="A246" s="96"/>
    </row>
    <row r="247" spans="1:1">
      <c r="A247" s="96"/>
    </row>
    <row r="248" spans="1:1">
      <c r="A248" s="96"/>
    </row>
    <row r="249" spans="1:1">
      <c r="A249" s="96"/>
    </row>
    <row r="250" spans="1:1">
      <c r="A250" s="96"/>
    </row>
    <row r="251" spans="1:1">
      <c r="A251" s="96"/>
    </row>
    <row r="252" spans="1:1">
      <c r="A252" s="96"/>
    </row>
    <row r="253" spans="1:1">
      <c r="A253" s="96"/>
    </row>
    <row r="254" spans="1:1">
      <c r="A254" s="96"/>
    </row>
    <row r="255" spans="1:1">
      <c r="A255" s="96"/>
    </row>
    <row r="256" spans="1:1">
      <c r="A256" s="96"/>
    </row>
    <row r="257" spans="1:1">
      <c r="A257" s="96"/>
    </row>
    <row r="258" spans="1:1">
      <c r="A258" s="96"/>
    </row>
    <row r="259" spans="1:1">
      <c r="A259" s="96"/>
    </row>
    <row r="260" spans="1:1">
      <c r="A260" s="96"/>
    </row>
    <row r="261" spans="1:1">
      <c r="A261" s="96"/>
    </row>
    <row r="262" spans="1:1">
      <c r="A262" s="96"/>
    </row>
    <row r="263" spans="1:1">
      <c r="A263" s="96"/>
    </row>
    <row r="264" spans="1:1">
      <c r="A264" s="96"/>
    </row>
    <row r="265" spans="1:1">
      <c r="A265" s="96"/>
    </row>
    <row r="266" spans="1:1">
      <c r="A266" s="96"/>
    </row>
    <row r="267" spans="1:1">
      <c r="A267" s="96"/>
    </row>
    <row r="268" spans="1:1">
      <c r="A268" s="96"/>
    </row>
    <row r="269" spans="1:1">
      <c r="A269" s="96"/>
    </row>
    <row r="270" spans="1:1">
      <c r="A270" s="96"/>
    </row>
    <row r="271" spans="1:1">
      <c r="A271" s="96"/>
    </row>
    <row r="272" spans="1:1">
      <c r="A272" s="96"/>
    </row>
    <row r="273" spans="1:1">
      <c r="A273" s="96"/>
    </row>
    <row r="274" spans="1:1">
      <c r="A274" s="96"/>
    </row>
    <row r="275" spans="1:1">
      <c r="A275" s="96"/>
    </row>
    <row r="276" spans="1:1">
      <c r="A276" s="96"/>
    </row>
    <row r="277" spans="1:1">
      <c r="A277" s="96"/>
    </row>
    <row r="278" spans="1:1">
      <c r="A278" s="96"/>
    </row>
    <row r="279" spans="1:1">
      <c r="A279" s="96"/>
    </row>
    <row r="280" spans="1:1">
      <c r="A280" s="96"/>
    </row>
    <row r="281" spans="1:1">
      <c r="A281" s="96"/>
    </row>
    <row r="282" spans="1:1">
      <c r="A282" s="96"/>
    </row>
    <row r="283" spans="1:1">
      <c r="A283" s="96"/>
    </row>
    <row r="284" spans="1:1">
      <c r="A284" s="96"/>
    </row>
    <row r="285" spans="1:1">
      <c r="A285" s="96"/>
    </row>
    <row r="286" spans="1:1">
      <c r="A286" s="96"/>
    </row>
    <row r="287" spans="1:1">
      <c r="A287" s="96"/>
    </row>
    <row r="288" spans="1:1">
      <c r="A288" s="96"/>
    </row>
    <row r="289" spans="1:1">
      <c r="A289" s="96"/>
    </row>
    <row r="290" spans="1:1">
      <c r="A290" s="96"/>
    </row>
    <row r="291" spans="1:1">
      <c r="A291" s="96"/>
    </row>
    <row r="292" spans="1:1">
      <c r="A292" s="96"/>
    </row>
    <row r="293" spans="1:1">
      <c r="A293" s="96"/>
    </row>
    <row r="294" spans="1:1">
      <c r="A294" s="96"/>
    </row>
    <row r="295" spans="1:1">
      <c r="A295" s="96"/>
    </row>
    <row r="296" spans="1:1">
      <c r="A296" s="96"/>
    </row>
    <row r="297" spans="1:1">
      <c r="A297" s="96"/>
    </row>
    <row r="298" spans="1:1">
      <c r="A298" s="96"/>
    </row>
    <row r="299" spans="1:1">
      <c r="A299" s="96"/>
    </row>
    <row r="300" spans="1:1">
      <c r="A300" s="96"/>
    </row>
    <row r="301" spans="1:1">
      <c r="A301" s="96"/>
    </row>
    <row r="302" spans="1:1">
      <c r="A302" s="96"/>
    </row>
    <row r="303" spans="1:1">
      <c r="A303" s="96"/>
    </row>
    <row r="304" spans="1:1">
      <c r="A304" s="96"/>
    </row>
    <row r="305" spans="1:1">
      <c r="A305" s="96"/>
    </row>
    <row r="306" spans="1:1">
      <c r="A306" s="96"/>
    </row>
    <row r="307" spans="1:1">
      <c r="A307" s="96"/>
    </row>
    <row r="308" spans="1:1">
      <c r="A308" s="96"/>
    </row>
    <row r="309" spans="1:1">
      <c r="A309" s="96"/>
    </row>
    <row r="310" spans="1:1">
      <c r="A310" s="96"/>
    </row>
    <row r="311" spans="1:1">
      <c r="A311" s="96"/>
    </row>
    <row r="312" spans="1:1">
      <c r="A312" s="96"/>
    </row>
    <row r="313" spans="1:1">
      <c r="A313" s="96"/>
    </row>
    <row r="314" spans="1:1">
      <c r="A314" s="96"/>
    </row>
    <row r="315" spans="1:1">
      <c r="A315" s="96"/>
    </row>
    <row r="316" spans="1:1">
      <c r="A316" s="96"/>
    </row>
    <row r="317" spans="1:1">
      <c r="A317" s="96"/>
    </row>
    <row r="318" spans="1:1">
      <c r="A318" s="96"/>
    </row>
    <row r="319" spans="1:1">
      <c r="A319" s="96"/>
    </row>
    <row r="320" spans="1:1">
      <c r="A320" s="96"/>
    </row>
    <row r="321" spans="1:1">
      <c r="A321" s="96"/>
    </row>
    <row r="322" spans="1:1">
      <c r="A322" s="96"/>
    </row>
    <row r="323" spans="1:1">
      <c r="A323" s="96"/>
    </row>
    <row r="324" spans="1:1">
      <c r="A324" s="96"/>
    </row>
    <row r="325" spans="1:1">
      <c r="A325" s="96"/>
    </row>
    <row r="326" spans="1:1">
      <c r="A326" s="96"/>
    </row>
    <row r="327" spans="1:1">
      <c r="A327" s="96"/>
    </row>
    <row r="328" spans="1:1">
      <c r="A328" s="96"/>
    </row>
    <row r="329" spans="1:1">
      <c r="A329" s="96"/>
    </row>
    <row r="330" spans="1:1">
      <c r="A330" s="96"/>
    </row>
    <row r="331" spans="1:1">
      <c r="A331" s="96"/>
    </row>
    <row r="332" spans="1:1">
      <c r="A332" s="96"/>
    </row>
    <row r="333" spans="1:1">
      <c r="A333" s="96"/>
    </row>
    <row r="334" spans="1:1">
      <c r="A334" s="96"/>
    </row>
    <row r="335" spans="1:1">
      <c r="A335" s="96"/>
    </row>
    <row r="336" spans="1:1">
      <c r="A336" s="96"/>
    </row>
    <row r="337" spans="1:1">
      <c r="A337" s="96"/>
    </row>
    <row r="338" spans="1:1">
      <c r="A338" s="96"/>
    </row>
    <row r="339" spans="1:1">
      <c r="A339" s="96"/>
    </row>
    <row r="340" spans="1:1">
      <c r="A340" s="96"/>
    </row>
    <row r="341" spans="1:1">
      <c r="A341" s="96"/>
    </row>
    <row r="342" spans="1:1">
      <c r="A342" s="96"/>
    </row>
    <row r="343" spans="1:1">
      <c r="A343" s="96"/>
    </row>
    <row r="344" spans="1:1">
      <c r="A344" s="96"/>
    </row>
    <row r="345" spans="1:1">
      <c r="A345" s="96"/>
    </row>
    <row r="346" spans="1:1">
      <c r="A346" s="96"/>
    </row>
    <row r="347" spans="1:1">
      <c r="A347" s="96"/>
    </row>
    <row r="348" spans="1:1">
      <c r="A348" s="96"/>
    </row>
    <row r="349" spans="1:1">
      <c r="A349" s="96"/>
    </row>
    <row r="350" spans="1:1">
      <c r="A350" s="96"/>
    </row>
    <row r="351" spans="1:1">
      <c r="A351" s="96"/>
    </row>
    <row r="352" spans="1:1">
      <c r="A352" s="96"/>
    </row>
    <row r="353" spans="1:1">
      <c r="A353" s="96"/>
    </row>
    <row r="354" spans="1:1">
      <c r="A354" s="96"/>
    </row>
    <row r="355" spans="1:1">
      <c r="A355" s="96"/>
    </row>
    <row r="356" spans="1:1">
      <c r="A356" s="96"/>
    </row>
    <row r="357" spans="1:1">
      <c r="A357" s="96"/>
    </row>
    <row r="358" spans="1:1">
      <c r="A358" s="96"/>
    </row>
    <row r="359" spans="1:1">
      <c r="A359" s="96"/>
    </row>
    <row r="360" spans="1:1">
      <c r="A360" s="96"/>
    </row>
    <row r="361" spans="1:1">
      <c r="A361" s="96"/>
    </row>
    <row r="362" spans="1:1">
      <c r="A362" s="96"/>
    </row>
    <row r="363" spans="1:1">
      <c r="A363" s="96"/>
    </row>
    <row r="364" spans="1:1">
      <c r="A364" s="96"/>
    </row>
    <row r="365" spans="1:1">
      <c r="A365" s="96"/>
    </row>
    <row r="366" spans="1:1">
      <c r="A366" s="96"/>
    </row>
    <row r="367" spans="1:1">
      <c r="A367" s="96"/>
    </row>
    <row r="368" spans="1:1">
      <c r="A368" s="96"/>
    </row>
    <row r="369" spans="1:1">
      <c r="A369" s="96"/>
    </row>
    <row r="370" spans="1:1">
      <c r="A370" s="96"/>
    </row>
    <row r="371" spans="1:1">
      <c r="A371" s="96"/>
    </row>
    <row r="372" spans="1:1">
      <c r="A372" s="96"/>
    </row>
    <row r="373" spans="1:1">
      <c r="A373" s="96"/>
    </row>
    <row r="374" spans="1:1">
      <c r="A374" s="96"/>
    </row>
    <row r="375" spans="1:1">
      <c r="A375" s="96"/>
    </row>
    <row r="376" spans="1:1">
      <c r="A376" s="96"/>
    </row>
    <row r="377" spans="1:1">
      <c r="A377" s="96"/>
    </row>
    <row r="378" spans="1:1">
      <c r="A378" s="96"/>
    </row>
    <row r="379" spans="1:1">
      <c r="A379" s="96"/>
    </row>
    <row r="380" spans="1:1">
      <c r="A380" s="96"/>
    </row>
    <row r="381" spans="1:1">
      <c r="A381" s="96"/>
    </row>
    <row r="382" spans="1:1">
      <c r="A382" s="96"/>
    </row>
    <row r="383" spans="1:1">
      <c r="A383" s="96"/>
    </row>
    <row r="384" spans="1:1">
      <c r="A384" s="96"/>
    </row>
    <row r="385" spans="1:1">
      <c r="A385" s="96"/>
    </row>
    <row r="386" spans="1:1">
      <c r="A386" s="96"/>
    </row>
    <row r="387" spans="1:1">
      <c r="A387" s="96"/>
    </row>
    <row r="388" spans="1:1">
      <c r="A388" s="96"/>
    </row>
    <row r="389" spans="1:1">
      <c r="A389" s="96"/>
    </row>
    <row r="390" spans="1:1">
      <c r="A390" s="96"/>
    </row>
    <row r="391" spans="1:1">
      <c r="A391" s="96"/>
    </row>
    <row r="392" spans="1:1">
      <c r="A392" s="96"/>
    </row>
    <row r="393" spans="1:1">
      <c r="A393" s="96"/>
    </row>
    <row r="394" spans="1:1">
      <c r="A394" s="96"/>
    </row>
    <row r="395" spans="1:1">
      <c r="A395" s="96"/>
    </row>
    <row r="396" spans="1:1">
      <c r="A396" s="96"/>
    </row>
    <row r="397" spans="1:1">
      <c r="A397" s="96"/>
    </row>
    <row r="398" spans="1:1">
      <c r="A398" s="96"/>
    </row>
    <row r="399" spans="1:1">
      <c r="A399" s="96"/>
    </row>
    <row r="400" spans="1:1">
      <c r="A400" s="96"/>
    </row>
    <row r="401" spans="1:1">
      <c r="A401" s="96"/>
    </row>
    <row r="402" spans="1:1">
      <c r="A402" s="96"/>
    </row>
    <row r="403" spans="1:1">
      <c r="A403" s="96"/>
    </row>
    <row r="404" spans="1:1">
      <c r="A404" s="96"/>
    </row>
    <row r="405" spans="1:1">
      <c r="A405" s="96"/>
    </row>
    <row r="406" spans="1:1">
      <c r="A406" s="96"/>
    </row>
    <row r="407" spans="1:1">
      <c r="A407" s="96"/>
    </row>
    <row r="408" spans="1:1">
      <c r="A408" s="96"/>
    </row>
    <row r="409" spans="1:1">
      <c r="A409" s="96"/>
    </row>
  </sheetData>
  <customSheetViews>
    <customSheetView guid="{E4D8AEA0-7D37-4CF1-9F19-1F9F3CB7E99E}" scale="80" showGridLines="0" topLeftCell="A73">
      <selection activeCell="F91" sqref="F91"/>
      <rowBreaks count="2" manualBreakCount="2">
        <brk id="28" max="16383" man="1"/>
        <brk id="59" max="16383" man="1"/>
      </rowBreaks>
      <colBreaks count="1" manualBreakCount="1">
        <brk id="7" max="1048575" man="1"/>
      </colBreaks>
      <pageMargins left="0.5" right="0" top="0.47" bottom="0" header="0.5" footer="0.5"/>
      <printOptions horizontalCentered="1"/>
      <pageSetup paperSize="9" scale="56" orientation="landscape" r:id="rId1"/>
      <headerFooter alignWithMargins="0"/>
    </customSheetView>
    <customSheetView guid="{AD634856-FDF7-4DD8-8DC5-36C324FF0C87}" showGridLines="0" topLeftCell="A81">
      <selection activeCell="F89" sqref="F89"/>
      <colBreaks count="1" manualBreakCount="1">
        <brk id="7" max="1048575" man="1"/>
      </colBreaks>
      <pageMargins left="0.5" right="0" top="0.47" bottom="0" header="0.5" footer="0.5"/>
      <printOptions horizontalCentered="1"/>
      <pageSetup paperSize="9" scale="62" orientation="landscape" r:id="rId2"/>
      <headerFooter alignWithMargins="0"/>
    </customSheetView>
    <customSheetView guid="{61CE75AA-B849-4D18-8838-F82995C6B087}" showGridLines="0">
      <selection activeCell="A6" sqref="A6"/>
      <colBreaks count="1" manualBreakCount="1">
        <brk id="7" max="1048575" man="1"/>
      </colBreaks>
      <pageMargins left="0.5" right="0" top="0.47" bottom="0" header="0.5" footer="0.5"/>
      <printOptions horizontalCentered="1"/>
      <pageSetup paperSize="9" scale="62" orientation="landscape" r:id="rId3"/>
      <headerFooter alignWithMargins="0"/>
    </customSheetView>
    <customSheetView guid="{7D95FE88-52D3-4AF2-A747-7A28402A32C2}" showGridLines="0">
      <selection activeCell="D13" sqref="D13"/>
      <colBreaks count="1" manualBreakCount="1">
        <brk id="9" max="1048575" man="1"/>
      </colBreaks>
      <pageMargins left="0.5" right="0" top="0.47" bottom="0" header="0.5" footer="0.5"/>
      <printOptions horizontalCentered="1"/>
      <pageSetup paperSize="9" scale="62" orientation="landscape" r:id="rId4"/>
      <headerFooter alignWithMargins="0"/>
    </customSheetView>
    <customSheetView guid="{6EF26E68-1B9A-4748-A66C-9D8C184CAF14}" showGridLines="0" topLeftCell="A23">
      <selection activeCell="E19" sqref="E19"/>
      <colBreaks count="1" manualBreakCount="1">
        <brk id="7" max="1048575" man="1"/>
      </colBreaks>
      <pageMargins left="0.5" right="0" top="0.47" bottom="0" header="0.5" footer="0.5"/>
      <printOptions horizontalCentered="1"/>
      <pageSetup paperSize="9" scale="62" orientation="landscape" r:id="rId5"/>
      <headerFooter alignWithMargins="0"/>
    </customSheetView>
    <customSheetView guid="{B8A1874B-3BEF-4479-AD53-0D9BAC54C7CD}" scale="80" showGridLines="0" topLeftCell="A67">
      <selection activeCell="F91" sqref="F91"/>
      <rowBreaks count="2" manualBreakCount="2">
        <brk id="28" max="16383" man="1"/>
        <brk id="59" max="16383" man="1"/>
      </rowBreaks>
      <colBreaks count="1" manualBreakCount="1">
        <brk id="7" max="1048575" man="1"/>
      </colBreaks>
      <pageMargins left="0.5" right="0" top="0.47" bottom="0" header="0.5" footer="0.5"/>
      <printOptions horizontalCentered="1"/>
      <pageSetup paperSize="9" scale="56" orientation="landscape" r:id="rId6"/>
      <headerFooter alignWithMargins="0"/>
    </customSheetView>
    <customSheetView guid="{E5BCC4B4-F1B1-40C1-B93E-A6184E1EF716}" showGridLines="0">
      <selection activeCell="A6" sqref="A6"/>
      <colBreaks count="1" manualBreakCount="1">
        <brk id="7" max="1048575" man="1"/>
      </colBreaks>
      <pageMargins left="0.5" right="0" top="0.47" bottom="0" header="0.5" footer="0.5"/>
      <printOptions horizontalCentered="1"/>
      <pageSetup paperSize="9" scale="62" orientation="landscape" r:id="rId7"/>
      <headerFooter alignWithMargins="0"/>
    </customSheetView>
    <customSheetView guid="{994961F8-B63E-47F6-B0C5-98F862423FE5}" showGridLines="0" topLeftCell="A13">
      <selection activeCell="A6" sqref="A6"/>
      <colBreaks count="1" manualBreakCount="1">
        <brk id="7" max="1048575" man="1"/>
      </colBreaks>
      <pageMargins left="0.5" right="0" top="0.47" bottom="0" header="0.5" footer="0.5"/>
      <printOptions horizontalCentered="1"/>
      <pageSetup paperSize="9" scale="62" orientation="landscape" r:id="rId8"/>
      <headerFooter alignWithMargins="0"/>
    </customSheetView>
    <customSheetView guid="{F89B8433-E453-4FDE-8E2A-E7E816BD4DFD}" showGridLines="0" topLeftCell="A23">
      <selection activeCell="E19" sqref="E19"/>
      <colBreaks count="1" manualBreakCount="1">
        <brk id="7" max="1048575" man="1"/>
      </colBreaks>
      <pageMargins left="0.5" right="0" top="0.47" bottom="0" header="0.5" footer="0.5"/>
      <printOptions horizontalCentered="1"/>
      <pageSetup paperSize="9" scale="62" orientation="landscape" r:id="rId9"/>
      <headerFooter alignWithMargins="0"/>
    </customSheetView>
    <customSheetView guid="{9BA226E9-1840-4D58-8634-C7CD130BA9DE}" showGridLines="0">
      <selection activeCell="A6" sqref="A6"/>
      <colBreaks count="1" manualBreakCount="1">
        <brk id="7" max="1048575" man="1"/>
      </colBreaks>
      <pageMargins left="0.5" right="0" top="0.47" bottom="0" header="0.5" footer="0.5"/>
      <printOptions horizontalCentered="1"/>
      <pageSetup paperSize="9" scale="62" orientation="landscape" r:id="rId10"/>
      <headerFooter alignWithMargins="0"/>
    </customSheetView>
    <customSheetView guid="{ECC2632F-F62A-4FAF-AECC-1DDADB5FC34F}" scale="70" showGridLines="0" view="pageBreakPreview" topLeftCell="A10">
      <selection activeCell="E32" sqref="E32"/>
      <rowBreaks count="2" manualBreakCount="2">
        <brk id="22" max="16383" man="1"/>
        <brk id="50" max="16383" man="1"/>
      </rowBreaks>
      <colBreaks count="1" manualBreakCount="1">
        <brk id="7" max="1048575" man="1"/>
      </colBreaks>
      <pageMargins left="0.5" right="0" top="0.47" bottom="0" header="0.5" footer="0.5"/>
      <printOptions horizontalCentered="1"/>
      <pageSetup paperSize="9" scale="62" orientation="landscape" r:id="rId11"/>
      <headerFooter alignWithMargins="0"/>
    </customSheetView>
    <customSheetView guid="{FB80B360-98B3-4D7B-B530-099144659D3A}" scale="70" showGridLines="0" view="pageBreakPreview" topLeftCell="A10">
      <selection activeCell="E32" sqref="E32"/>
      <rowBreaks count="2" manualBreakCount="2">
        <brk id="22" max="16383" man="1"/>
        <brk id="50" max="16383" man="1"/>
      </rowBreaks>
      <colBreaks count="1" manualBreakCount="1">
        <brk id="7" max="1048575" man="1"/>
      </colBreaks>
      <pageMargins left="0.5" right="0" top="0.47" bottom="0" header="0.5" footer="0.5"/>
      <printOptions horizontalCentered="1"/>
      <pageSetup paperSize="9" scale="62" orientation="landscape" r:id="rId12"/>
      <headerFooter alignWithMargins="0"/>
    </customSheetView>
    <customSheetView guid="{7F784530-9B10-42D7-8F54-8EB6B060482F}" showGridLines="0" topLeftCell="A10">
      <selection activeCell="C20" sqref="C20"/>
      <pageMargins left="0.5" right="0" top="0.47" bottom="0" header="0.5" footer="0.5"/>
      <printOptions horizontalCentered="1"/>
      <pageSetup paperSize="9" scale="58" orientation="landscape" r:id="rId13"/>
      <headerFooter alignWithMargins="0"/>
    </customSheetView>
    <customSheetView guid="{8AF18E21-1031-46CF-B2BC-F1B32D8B514B}" scale="70" showGridLines="0">
      <selection activeCell="A15" sqref="A15:IV15"/>
      <pageMargins left="0" right="0" top="0.47" bottom="0" header="0.5" footer="0.5"/>
      <printOptions horizontalCentered="1"/>
      <pageSetup paperSize="9" scale="70" orientation="landscape" r:id="rId14"/>
      <headerFooter alignWithMargins="0"/>
    </customSheetView>
    <customSheetView guid="{E4837792-4A99-499B-8EC2-DE4E4D167510}" scale="60" showPageBreaks="1" showGridLines="0" view="pageBreakPreview" topLeftCell="A15">
      <selection activeCell="F27" sqref="F27"/>
      <pageMargins left="0.5" right="0" top="0.47" bottom="0" header="0.5" footer="0.5"/>
      <printOptions horizontalCentered="1"/>
      <pageSetup paperSize="9" scale="61" orientation="landscape" r:id="rId15"/>
      <headerFooter alignWithMargins="0"/>
    </customSheetView>
    <customSheetView guid="{16D4A374-74B9-406B-A5BA-2D573E6A0CF2}" scale="70" showGridLines="0" view="pageBreakPreview" topLeftCell="A10">
      <selection activeCell="E32" sqref="E32"/>
      <rowBreaks count="2" manualBreakCount="2">
        <brk id="22" max="16383" man="1"/>
        <brk id="50" max="16383" man="1"/>
      </rowBreaks>
      <colBreaks count="1" manualBreakCount="1">
        <brk id="7" max="1048575" man="1"/>
      </colBreaks>
      <pageMargins left="0.5" right="0" top="0.47" bottom="0" header="0.5" footer="0.5"/>
      <printOptions horizontalCentered="1"/>
      <pageSetup paperSize="9" scale="62" orientation="landscape" r:id="rId16"/>
      <headerFooter alignWithMargins="0"/>
    </customSheetView>
    <customSheetView guid="{F729E7D6-6F09-4AEC-8A8D-5BB0CE563030}" showGridLines="0" topLeftCell="A4">
      <selection activeCell="E15" sqref="E15"/>
      <colBreaks count="1" manualBreakCount="1">
        <brk id="7" max="1048575" man="1"/>
      </colBreaks>
      <pageMargins left="0.5" right="0" top="0.47" bottom="0" header="0.5" footer="0.5"/>
      <printOptions horizontalCentered="1"/>
      <pageSetup paperSize="9" scale="62" orientation="landscape" r:id="rId17"/>
      <headerFooter alignWithMargins="0"/>
    </customSheetView>
    <customSheetView guid="{2896A421-8E5B-4BF0-9CC6-B6380E0DB314}" showGridLines="0" topLeftCell="A112">
      <selection activeCell="F96" sqref="F96"/>
      <colBreaks count="1" manualBreakCount="1">
        <brk id="7" max="1048575" man="1"/>
      </colBreaks>
      <pageMargins left="0.5" right="0" top="0.47" bottom="0" header="0.5" footer="0.5"/>
      <printOptions horizontalCentered="1"/>
      <pageSetup paperSize="9" scale="62" orientation="landscape" r:id="rId18"/>
      <headerFooter alignWithMargins="0"/>
    </customSheetView>
    <customSheetView guid="{98D3DDB6-797A-47DD-9C96-BB16B2207A0C}" scale="70" showGridLines="0" view="pageBreakPreview" topLeftCell="A25">
      <selection activeCell="G40" sqref="G40"/>
      <rowBreaks count="2" manualBreakCount="2">
        <brk id="26" max="16383" man="1"/>
        <brk id="57" max="16383" man="1"/>
      </rowBreaks>
      <colBreaks count="1" manualBreakCount="1">
        <brk id="7" max="1048575" man="1"/>
      </colBreaks>
      <pageMargins left="0.5" right="0" top="0.47" bottom="0" header="0.5" footer="0.5"/>
      <printOptions horizontalCentered="1"/>
      <pageSetup paperSize="9" scale="56" orientation="landscape" r:id="rId19"/>
      <headerFooter alignWithMargins="0"/>
    </customSheetView>
    <customSheetView guid="{A1D515A7-1E5B-4509-BA26-4ABAA82FF869}" showGridLines="0" topLeftCell="A28">
      <selection activeCell="D80" sqref="D80:D81"/>
      <colBreaks count="1" manualBreakCount="1">
        <brk id="7" max="1048575" man="1"/>
      </colBreaks>
      <pageMargins left="0.5" right="0" top="0.47" bottom="0" header="0.5" footer="0.5"/>
      <printOptions horizontalCentered="1"/>
      <pageSetup paperSize="9" scale="62" orientation="landscape" r:id="rId20"/>
      <headerFooter alignWithMargins="0"/>
    </customSheetView>
    <customSheetView guid="{80E06DBA-C6F3-475B-8D63-21743367E2AD}" showGridLines="0">
      <selection activeCell="A6" sqref="A6"/>
      <colBreaks count="1" manualBreakCount="1">
        <brk id="7" max="1048575" man="1"/>
      </colBreaks>
      <pageMargins left="0.5" right="0" top="0.47" bottom="0" header="0.5" footer="0.5"/>
      <printOptions horizontalCentered="1"/>
      <pageSetup paperSize="9" scale="62" orientation="landscape" r:id="rId21"/>
      <headerFooter alignWithMargins="0"/>
    </customSheetView>
    <customSheetView guid="{9ED09EA6-4579-48A9-AD5B-8A08B9AAA8BE}" showGridLines="0">
      <selection activeCell="E10" sqref="E10"/>
      <pageMargins left="0.5" right="0" top="0.47" bottom="0" header="0.5" footer="0.5"/>
      <printOptions horizontalCentered="1"/>
      <pageSetup paperSize="9" scale="58" orientation="landscape" r:id="rId22"/>
      <headerFooter alignWithMargins="0"/>
    </customSheetView>
    <customSheetView guid="{7631AB21-BAD4-410B-9EB7-37E4C039E55D}" scale="80" showGridLines="0" topLeftCell="A67">
      <selection activeCell="F91" sqref="F91"/>
      <rowBreaks count="2" manualBreakCount="2">
        <brk id="28" max="16383" man="1"/>
        <brk id="59" max="16383" man="1"/>
      </rowBreaks>
      <colBreaks count="1" manualBreakCount="1">
        <brk id="7" max="1048575" man="1"/>
      </colBreaks>
      <pageMargins left="0.5" right="0" top="0.47" bottom="0" header="0.5" footer="0.5"/>
      <printOptions horizontalCentered="1"/>
      <pageSetup paperSize="9" scale="56" orientation="landscape" r:id="rId23"/>
      <headerFooter alignWithMargins="0"/>
    </customSheetView>
    <customSheetView guid="{BE76667A-60C4-4702-8334-217BF8BB1245}" showGridLines="0" topLeftCell="A64">
      <selection activeCell="D66" sqref="D66"/>
      <colBreaks count="1" manualBreakCount="1">
        <brk id="7" max="1048575" man="1"/>
      </colBreaks>
      <pageMargins left="0.5" right="0" top="0.47" bottom="0" header="0.5" footer="0.5"/>
      <printOptions horizontalCentered="1"/>
      <pageSetup paperSize="9" scale="62" orientation="landscape" r:id="rId24"/>
      <headerFooter alignWithMargins="0"/>
    </customSheetView>
    <customSheetView guid="{3FE5399F-6D96-46C9-B56D-C9200CDFFBCC}" showGridLines="0" topLeftCell="A64">
      <selection activeCell="E70" sqref="E70"/>
      <colBreaks count="1" manualBreakCount="1">
        <brk id="7" max="1048575" man="1"/>
      </colBreaks>
      <pageMargins left="0.5" right="0" top="0.47" bottom="0" header="0.5" footer="0.5"/>
      <printOptions horizontalCentered="1"/>
      <pageSetup paperSize="9" scale="62" orientation="landscape" r:id="rId25"/>
      <headerFooter alignWithMargins="0"/>
    </customSheetView>
    <customSheetView guid="{DB5C611D-B585-4D04-94DC-84E03E7F6427}" showGridLines="0" topLeftCell="A81">
      <selection activeCell="F89" sqref="F89"/>
      <colBreaks count="1" manualBreakCount="1">
        <brk id="7" max="1048575" man="1"/>
      </colBreaks>
      <pageMargins left="0.5" right="0" top="0.47" bottom="0" header="0.5" footer="0.5"/>
      <printOptions horizontalCentered="1"/>
      <pageSetup paperSize="9" scale="62" orientation="landscape" r:id="rId26"/>
      <headerFooter alignWithMargins="0"/>
    </customSheetView>
    <customSheetView guid="{0C6DA001-EF29-43B3-B8E5-B7C6D16AED4F}" showGridLines="0" topLeftCell="A81">
      <selection activeCell="F89" sqref="F89"/>
      <colBreaks count="1" manualBreakCount="1">
        <brk id="7" max="1048575" man="1"/>
      </colBreaks>
      <pageMargins left="0.5" right="0" top="0.47" bottom="0" header="0.5" footer="0.5"/>
      <printOptions horizontalCentered="1"/>
      <pageSetup paperSize="9" scale="62" orientation="landscape" r:id="rId27"/>
      <headerFooter alignWithMargins="0"/>
    </customSheetView>
    <customSheetView guid="{C57D03F9-88DE-4996-9965-888CDFC990C2}" showGridLines="0" topLeftCell="A81">
      <selection activeCell="F89" sqref="F89"/>
      <colBreaks count="1" manualBreakCount="1">
        <brk id="7" max="1048575" man="1"/>
      </colBreaks>
      <pageMargins left="0.5" right="0" top="0.47" bottom="0" header="0.5" footer="0.5"/>
      <printOptions horizontalCentered="1"/>
      <pageSetup paperSize="9" scale="62" orientation="landscape" r:id="rId28"/>
      <headerFooter alignWithMargins="0"/>
    </customSheetView>
    <customSheetView guid="{51A412B5-0E75-4615-BBB6-5CF03E1A3E32}" showGridLines="0" topLeftCell="A81">
      <selection activeCell="F89" sqref="F89"/>
      <colBreaks count="1" manualBreakCount="1">
        <brk id="7" max="1048575" man="1"/>
      </colBreaks>
      <pageMargins left="0.5" right="0" top="0.47" bottom="0" header="0.5" footer="0.5"/>
      <printOptions horizontalCentered="1"/>
      <pageSetup paperSize="9" scale="62" orientation="landscape" r:id="rId29"/>
      <headerFooter alignWithMargins="0"/>
    </customSheetView>
  </customSheetViews>
  <mergeCells count="79">
    <mergeCell ref="A87:B87"/>
    <mergeCell ref="HK3:HQ3"/>
    <mergeCell ref="GP3:GV3"/>
    <mergeCell ref="DC3:DI3"/>
    <mergeCell ref="DQ3:DW3"/>
    <mergeCell ref="DJ3:DP3"/>
    <mergeCell ref="GB3:GH3"/>
    <mergeCell ref="FG3:FM3"/>
    <mergeCell ref="FU3:GA3"/>
    <mergeCell ref="FN3:FT3"/>
    <mergeCell ref="ES3:EY3"/>
    <mergeCell ref="EZ3:FF3"/>
    <mergeCell ref="EL3:ER3"/>
    <mergeCell ref="GW3:HC3"/>
    <mergeCell ref="HD3:HJ3"/>
    <mergeCell ref="CO3:CU3"/>
    <mergeCell ref="IT3:IW3"/>
    <mergeCell ref="IF3:IL3"/>
    <mergeCell ref="BM3:BS3"/>
    <mergeCell ref="AD3:AJ3"/>
    <mergeCell ref="BT3:BZ3"/>
    <mergeCell ref="HR3:HX3"/>
    <mergeCell ref="HY3:IE3"/>
    <mergeCell ref="AY3:BE3"/>
    <mergeCell ref="BF3:BL3"/>
    <mergeCell ref="GI3:GO3"/>
    <mergeCell ref="IM3:IS3"/>
    <mergeCell ref="DX3:ED3"/>
    <mergeCell ref="EE3:EK3"/>
    <mergeCell ref="CV3:DB3"/>
    <mergeCell ref="AK3:AQ3"/>
    <mergeCell ref="AR3:AX3"/>
    <mergeCell ref="P3:V3"/>
    <mergeCell ref="W3:AC3"/>
    <mergeCell ref="CA3:CG3"/>
    <mergeCell ref="CH3:CN3"/>
    <mergeCell ref="A1:I1"/>
    <mergeCell ref="A2:I2"/>
    <mergeCell ref="A3:I3"/>
    <mergeCell ref="G4:G5"/>
    <mergeCell ref="H4:H5"/>
    <mergeCell ref="I4:I5"/>
    <mergeCell ref="A4:A5"/>
    <mergeCell ref="B4:B5"/>
    <mergeCell ref="E4:E5"/>
    <mergeCell ref="F4:F5"/>
    <mergeCell ref="A85:B85"/>
    <mergeCell ref="A88:B88"/>
    <mergeCell ref="A19:B19"/>
    <mergeCell ref="A22:B22"/>
    <mergeCell ref="A11:B11"/>
    <mergeCell ref="A48:B48"/>
    <mergeCell ref="A25:B25"/>
    <mergeCell ref="A51:B51"/>
    <mergeCell ref="A61:B61"/>
    <mergeCell ref="A80:B80"/>
    <mergeCell ref="A82:B82"/>
    <mergeCell ref="A83:B83"/>
    <mergeCell ref="A84:B84"/>
    <mergeCell ref="A86:B86"/>
    <mergeCell ref="A52:B52"/>
    <mergeCell ref="A76:B76"/>
    <mergeCell ref="A77:B77"/>
    <mergeCell ref="A66:B66"/>
    <mergeCell ref="A67:B67"/>
    <mergeCell ref="A68:B68"/>
    <mergeCell ref="A69:B69"/>
    <mergeCell ref="A9:B9"/>
    <mergeCell ref="A8:B8"/>
    <mergeCell ref="A72:B72"/>
    <mergeCell ref="A74:B74"/>
    <mergeCell ref="A75:B75"/>
    <mergeCell ref="A53:B53"/>
    <mergeCell ref="A56:B56"/>
    <mergeCell ref="A58:B58"/>
    <mergeCell ref="A59:B59"/>
    <mergeCell ref="A60:B60"/>
    <mergeCell ref="A64:B64"/>
    <mergeCell ref="A42:B42"/>
  </mergeCells>
  <phoneticPr fontId="104" type="noConversion"/>
  <printOptions horizontalCentered="1"/>
  <pageMargins left="0.5" right="0" top="0.47" bottom="0" header="0.5" footer="0.5"/>
  <pageSetup paperSize="9" scale="62" orientation="landscape" r:id="rId30"/>
  <headerFooter alignWithMargins="0"/>
  <colBreaks count="1" manualBreakCount="1">
    <brk id="7"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showOutlineSymbols="0" defaultGridColor="0" topLeftCell="A10" colorId="10" workbookViewId="0">
      <selection activeCell="G14" sqref="G14"/>
    </sheetView>
  </sheetViews>
  <sheetFormatPr defaultColWidth="8.6640625" defaultRowHeight="15"/>
  <cols>
    <col min="1" max="1" width="3.33203125" style="101" customWidth="1"/>
    <col min="2" max="2" width="24.33203125" style="101" customWidth="1"/>
    <col min="3" max="3" width="9" style="101" customWidth="1"/>
    <col min="4" max="4" width="9.44140625" style="101" customWidth="1"/>
    <col min="5" max="5" width="10.109375" style="101" customWidth="1"/>
    <col min="6" max="6" width="9.44140625" style="101" customWidth="1"/>
    <col min="7" max="7" width="8.44140625" style="101" customWidth="1"/>
    <col min="8" max="8" width="11.109375" style="101" customWidth="1"/>
    <col min="9" max="9" width="9.5546875" style="101" customWidth="1"/>
    <col min="10" max="10" width="11.21875" style="101" customWidth="1"/>
    <col min="11" max="11" width="24" style="101" customWidth="1"/>
    <col min="12" max="12" width="11.88671875" style="101" customWidth="1"/>
    <col min="13" max="13" width="37.33203125" style="101" customWidth="1"/>
    <col min="14" max="14" width="9.6640625" style="101" customWidth="1"/>
    <col min="15" max="15" width="17.77734375" style="101" customWidth="1"/>
    <col min="16" max="16" width="20.44140625" style="101" customWidth="1"/>
    <col min="17" max="17" width="7.6640625" style="101" customWidth="1"/>
    <col min="18" max="18" width="8.6640625" style="101"/>
    <col min="19" max="19" width="12" style="101" customWidth="1"/>
    <col min="20" max="29" width="8.6640625" style="101"/>
    <col min="30" max="30" width="13.6640625" style="101" customWidth="1"/>
    <col min="31" max="16384" width="8.6640625" style="101"/>
  </cols>
  <sheetData>
    <row r="1" spans="1:19" s="413" customFormat="1" ht="36.75" customHeight="1">
      <c r="A1" s="548" t="s">
        <v>89</v>
      </c>
      <c r="B1" s="548"/>
      <c r="C1" s="548"/>
      <c r="D1" s="548"/>
      <c r="E1" s="548"/>
      <c r="F1" s="548"/>
      <c r="G1" s="548"/>
      <c r="H1" s="548"/>
      <c r="I1" s="548"/>
      <c r="J1" s="548"/>
      <c r="K1" s="548"/>
      <c r="L1" s="548"/>
      <c r="M1" s="97"/>
      <c r="N1" s="97"/>
      <c r="O1" s="97"/>
      <c r="P1" s="97"/>
      <c r="Q1" s="98"/>
      <c r="S1" s="99"/>
    </row>
    <row r="2" spans="1:19" s="1386" customFormat="1" ht="34.5" customHeight="1">
      <c r="A2" s="1383" t="s">
        <v>628</v>
      </c>
      <c r="B2" s="1383"/>
      <c r="C2" s="1383"/>
      <c r="D2" s="1383"/>
      <c r="E2" s="1383"/>
      <c r="F2" s="1383"/>
      <c r="G2" s="1383"/>
      <c r="H2" s="1383"/>
      <c r="I2" s="1383"/>
      <c r="J2" s="1383"/>
      <c r="K2" s="1383"/>
      <c r="L2" s="1383"/>
      <c r="M2" s="1384"/>
      <c r="N2" s="1384"/>
      <c r="O2" s="1384"/>
      <c r="P2" s="1384"/>
      <c r="Q2" s="1385"/>
      <c r="S2" s="1387"/>
    </row>
    <row r="3" spans="1:19" s="1379" customFormat="1" ht="26.25" customHeight="1">
      <c r="A3" s="1364" t="s">
        <v>627</v>
      </c>
      <c r="B3" s="1364"/>
      <c r="C3" s="1364"/>
      <c r="D3" s="1364"/>
      <c r="E3" s="1364"/>
      <c r="F3" s="1364"/>
      <c r="G3" s="1364"/>
      <c r="H3" s="1364"/>
      <c r="I3" s="1364"/>
      <c r="J3" s="1364"/>
      <c r="K3" s="1364"/>
      <c r="L3" s="1364"/>
      <c r="M3" s="1378"/>
      <c r="N3" s="1378"/>
      <c r="O3" s="1378"/>
      <c r="P3" s="1378"/>
      <c r="S3" s="1380"/>
    </row>
    <row r="4" spans="1:19" s="1382" customFormat="1" ht="30.75" customHeight="1">
      <c r="A4" s="1381" t="s">
        <v>1713</v>
      </c>
      <c r="B4" s="1381"/>
      <c r="C4" s="1381"/>
      <c r="D4" s="1381"/>
      <c r="E4" s="1381"/>
      <c r="F4" s="1381"/>
      <c r="G4" s="1381"/>
      <c r="H4" s="1381"/>
      <c r="I4" s="1381"/>
      <c r="J4" s="1381"/>
      <c r="K4" s="1381"/>
      <c r="L4" s="1381"/>
      <c r="M4" s="1364"/>
      <c r="N4" s="1364"/>
      <c r="O4" s="1364"/>
      <c r="P4" s="1364"/>
      <c r="S4" s="1380"/>
    </row>
    <row r="5" spans="1:19" ht="33" customHeight="1">
      <c r="A5" s="352" t="s">
        <v>90</v>
      </c>
      <c r="B5" s="352"/>
      <c r="C5" s="120"/>
      <c r="D5" s="120"/>
      <c r="E5" s="129"/>
      <c r="F5" s="129"/>
      <c r="G5" s="130"/>
      <c r="H5" s="61"/>
      <c r="I5" s="129"/>
      <c r="J5" s="120"/>
      <c r="K5" s="131"/>
      <c r="L5" s="129"/>
      <c r="M5" s="121"/>
      <c r="N5" s="117"/>
    </row>
    <row r="6" spans="1:19" ht="8.25" customHeight="1" thickBot="1">
      <c r="A6" s="132"/>
      <c r="B6" s="133"/>
      <c r="C6" s="134"/>
      <c r="D6" s="134"/>
      <c r="E6" s="135"/>
      <c r="F6" s="135"/>
      <c r="G6" s="136"/>
      <c r="H6" s="137"/>
      <c r="I6" s="135"/>
      <c r="J6" s="134"/>
      <c r="K6" s="138"/>
      <c r="L6" s="135"/>
      <c r="M6" s="139"/>
      <c r="N6" s="117"/>
    </row>
    <row r="7" spans="1:19" ht="30" customHeight="1" thickBot="1">
      <c r="A7" s="140" t="s">
        <v>1</v>
      </c>
      <c r="B7" s="140" t="s">
        <v>39</v>
      </c>
      <c r="C7" s="140" t="s">
        <v>44</v>
      </c>
      <c r="D7" s="140" t="s">
        <v>9</v>
      </c>
      <c r="E7" s="140" t="s">
        <v>3</v>
      </c>
      <c r="F7" s="140" t="s">
        <v>7</v>
      </c>
      <c r="G7" s="140" t="s">
        <v>40</v>
      </c>
      <c r="H7" s="141" t="s">
        <v>41</v>
      </c>
      <c r="I7" s="140" t="s">
        <v>45</v>
      </c>
      <c r="J7" s="141" t="s">
        <v>46</v>
      </c>
      <c r="K7" s="140" t="s">
        <v>42</v>
      </c>
      <c r="L7" s="140" t="s">
        <v>47</v>
      </c>
      <c r="M7" s="140" t="s">
        <v>10</v>
      </c>
      <c r="N7" s="117"/>
    </row>
    <row r="8" spans="1:19" ht="84.75" customHeight="1" thickBot="1">
      <c r="A8" s="551"/>
      <c r="B8" s="1479"/>
      <c r="C8" s="437"/>
      <c r="D8" s="437"/>
      <c r="E8" s="142"/>
      <c r="F8" s="753"/>
      <c r="G8" s="147"/>
      <c r="H8" s="118"/>
      <c r="I8" s="552"/>
      <c r="J8" s="148"/>
      <c r="K8" s="709"/>
      <c r="L8" s="752"/>
      <c r="M8" s="710"/>
      <c r="N8" s="117"/>
    </row>
    <row r="9" spans="1:19" ht="32.25" customHeight="1" thickBot="1">
      <c r="A9" s="1766" t="s">
        <v>496</v>
      </c>
      <c r="B9" s="1766"/>
      <c r="C9" s="1766"/>
      <c r="D9" s="1767"/>
      <c r="E9" s="711">
        <f>SUM(E8:E8)</f>
        <v>0</v>
      </c>
      <c r="F9" s="711">
        <f>SUM(F8:F8)</f>
        <v>0</v>
      </c>
      <c r="G9" s="711"/>
      <c r="H9" s="711">
        <f>SUM(H8:H8)</f>
        <v>0</v>
      </c>
      <c r="I9" s="711">
        <f>SUM(I8:I8)</f>
        <v>0</v>
      </c>
      <c r="J9" s="120"/>
      <c r="K9" s="120"/>
      <c r="L9" s="121"/>
      <c r="M9" s="122"/>
      <c r="N9" s="117"/>
    </row>
    <row r="11" spans="1:19" ht="33" customHeight="1">
      <c r="A11" s="352" t="s">
        <v>43</v>
      </c>
      <c r="B11" s="352"/>
      <c r="C11" s="120"/>
      <c r="D11" s="120"/>
      <c r="E11" s="129"/>
      <c r="F11" s="129"/>
      <c r="G11" s="130"/>
      <c r="H11" s="61"/>
      <c r="I11" s="129"/>
      <c r="J11" s="120"/>
      <c r="K11" s="131"/>
      <c r="L11" s="129"/>
      <c r="M11" s="121"/>
      <c r="N11" s="117"/>
    </row>
    <row r="12" spans="1:19" ht="8.25" customHeight="1" thickBot="1">
      <c r="A12" s="132"/>
      <c r="B12" s="133"/>
      <c r="C12" s="134"/>
      <c r="D12" s="134"/>
      <c r="E12" s="135"/>
      <c r="F12" s="135"/>
      <c r="G12" s="136"/>
      <c r="H12" s="137"/>
      <c r="I12" s="135"/>
      <c r="J12" s="134"/>
      <c r="K12" s="138"/>
      <c r="L12" s="135"/>
      <c r="M12" s="139"/>
      <c r="N12" s="117"/>
    </row>
    <row r="13" spans="1:19" ht="30" customHeight="1" thickBot="1">
      <c r="A13" s="140" t="s">
        <v>1</v>
      </c>
      <c r="B13" s="140" t="s">
        <v>39</v>
      </c>
      <c r="C13" s="140" t="s">
        <v>44</v>
      </c>
      <c r="D13" s="140" t="s">
        <v>9</v>
      </c>
      <c r="E13" s="140" t="s">
        <v>3</v>
      </c>
      <c r="F13" s="140" t="s">
        <v>7</v>
      </c>
      <c r="G13" s="140" t="s">
        <v>40</v>
      </c>
      <c r="H13" s="141" t="s">
        <v>41</v>
      </c>
      <c r="I13" s="140" t="s">
        <v>45</v>
      </c>
      <c r="J13" s="141" t="s">
        <v>46</v>
      </c>
      <c r="K13" s="140" t="s">
        <v>42</v>
      </c>
      <c r="L13" s="140" t="s">
        <v>47</v>
      </c>
      <c r="M13" s="140" t="s">
        <v>10</v>
      </c>
      <c r="N13" s="117"/>
    </row>
    <row r="14" spans="1:19" ht="42.75" customHeight="1" thickBot="1">
      <c r="A14" s="551">
        <v>1</v>
      </c>
      <c r="B14" s="712" t="s">
        <v>785</v>
      </c>
      <c r="C14" s="437">
        <v>42319</v>
      </c>
      <c r="D14" s="437">
        <v>44876</v>
      </c>
      <c r="E14" s="142">
        <v>70000</v>
      </c>
      <c r="F14" s="142">
        <v>60123.51</v>
      </c>
      <c r="G14" s="147">
        <v>0.03</v>
      </c>
      <c r="H14" s="118">
        <f>G14*F14</f>
        <v>1803.7053000000001</v>
      </c>
      <c r="I14" s="552"/>
      <c r="J14" s="148"/>
      <c r="K14" s="1515" t="s">
        <v>787</v>
      </c>
      <c r="L14" s="752">
        <v>151439</v>
      </c>
      <c r="M14" s="710" t="s">
        <v>1080</v>
      </c>
      <c r="N14" s="117"/>
    </row>
    <row r="15" spans="1:19" ht="42.75" customHeight="1" thickBot="1">
      <c r="A15" s="551"/>
      <c r="B15" s="712"/>
      <c r="C15" s="437"/>
      <c r="D15" s="437"/>
      <c r="E15" s="142"/>
      <c r="F15" s="143"/>
      <c r="G15" s="147"/>
      <c r="H15" s="118"/>
      <c r="I15" s="552"/>
      <c r="J15" s="148"/>
      <c r="K15" s="714"/>
      <c r="L15" s="553"/>
      <c r="M15" s="710"/>
      <c r="N15" s="117"/>
    </row>
    <row r="16" spans="1:19" ht="43.5" customHeight="1" thickBot="1">
      <c r="A16" s="551"/>
      <c r="B16" s="712"/>
      <c r="C16" s="437"/>
      <c r="D16" s="437"/>
      <c r="E16" s="142"/>
      <c r="F16" s="142"/>
      <c r="G16" s="147"/>
      <c r="H16" s="118"/>
      <c r="I16" s="552"/>
      <c r="J16" s="148"/>
      <c r="K16" s="709"/>
      <c r="L16" s="752"/>
      <c r="M16" s="710"/>
      <c r="N16" s="117"/>
    </row>
    <row r="17" spans="1:14" ht="32.25" customHeight="1" thickBot="1">
      <c r="A17" s="1766" t="s">
        <v>496</v>
      </c>
      <c r="B17" s="1766"/>
      <c r="C17" s="1766"/>
      <c r="D17" s="1767"/>
      <c r="E17" s="713">
        <f>SUM(E14:E16)</f>
        <v>70000</v>
      </c>
      <c r="F17" s="713">
        <f>SUM(F14:F16)</f>
        <v>60123.51</v>
      </c>
      <c r="G17" s="713"/>
      <c r="H17" s="713">
        <f>SUM(H14:H16)</f>
        <v>1803.7053000000001</v>
      </c>
      <c r="I17" s="713"/>
      <c r="J17" s="120"/>
      <c r="K17" s="120"/>
      <c r="L17" s="121"/>
      <c r="M17" s="122"/>
      <c r="N17" s="117"/>
    </row>
    <row r="18" spans="1:14" ht="12" customHeight="1" thickBot="1">
      <c r="A18" s="708"/>
      <c r="B18" s="708"/>
      <c r="C18" s="708"/>
      <c r="D18" s="708"/>
      <c r="E18" s="129"/>
      <c r="F18" s="129"/>
      <c r="G18" s="735"/>
      <c r="H18" s="735"/>
      <c r="I18" s="735"/>
      <c r="J18" s="120"/>
      <c r="K18" s="120"/>
      <c r="L18" s="121"/>
      <c r="M18" s="122"/>
      <c r="N18" s="117"/>
    </row>
    <row r="19" spans="1:14" s="424" customFormat="1" ht="33" customHeight="1" thickBot="1">
      <c r="A19" s="1768" t="s">
        <v>547</v>
      </c>
      <c r="B19" s="1768"/>
      <c r="C19" s="1768"/>
      <c r="D19" s="1769"/>
      <c r="E19" s="754">
        <f>E9+E17</f>
        <v>70000</v>
      </c>
      <c r="F19" s="754">
        <f>F9+F17</f>
        <v>60123.51</v>
      </c>
      <c r="G19" s="754"/>
      <c r="H19" s="754">
        <f>H9+H17</f>
        <v>1803.7053000000001</v>
      </c>
      <c r="I19" s="754"/>
    </row>
    <row r="20" spans="1:14" s="412" customFormat="1" ht="27.75" customHeight="1">
      <c r="C20" s="123" t="s">
        <v>48</v>
      </c>
      <c r="H20" s="124" t="s">
        <v>49</v>
      </c>
      <c r="K20" s="125" t="s">
        <v>50</v>
      </c>
    </row>
    <row r="21" spans="1:14" s="412" customFormat="1" ht="27.75" customHeight="1">
      <c r="B21" s="123"/>
      <c r="C21" s="124"/>
      <c r="H21" s="124"/>
      <c r="K21" s="125"/>
    </row>
    <row r="22" spans="1:14" s="412" customFormat="1" ht="27.75" customHeight="1">
      <c r="B22" s="123"/>
      <c r="C22" s="124"/>
      <c r="H22" s="124"/>
      <c r="K22" s="125"/>
    </row>
    <row r="23" spans="1:14" s="412" customFormat="1" ht="27.75" customHeight="1">
      <c r="B23" s="123"/>
      <c r="H23" s="124"/>
      <c r="K23" s="125"/>
    </row>
    <row r="24" spans="1:14" s="412" customFormat="1" ht="27.75" customHeight="1">
      <c r="B24" s="123"/>
      <c r="C24" s="751"/>
      <c r="H24" s="124"/>
      <c r="K24" s="125"/>
    </row>
    <row r="25" spans="1:14" s="412" customFormat="1" ht="27.75" customHeight="1">
      <c r="B25" s="123"/>
      <c r="H25" s="124"/>
      <c r="K25" s="125"/>
    </row>
    <row r="27" spans="1:14" ht="15.75">
      <c r="B27" s="149"/>
      <c r="C27" s="149"/>
      <c r="D27" s="149"/>
    </row>
  </sheetData>
  <customSheetViews>
    <customSheetView guid="{E4D8AEA0-7D37-4CF1-9F19-1F9F3CB7E99E}" colorId="10" showGridLines="0" outlineSymbols="0" topLeftCell="A7">
      <selection activeCell="F7" sqref="F7"/>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1"/>
      <headerFooter alignWithMargins="0">
        <oddFooter>&amp;C</oddFooter>
      </headerFooter>
    </customSheetView>
    <customSheetView guid="{AD634856-FDF7-4DD8-8DC5-36C324FF0C87}" colorId="10" showGridLines="0" outlineSymbols="0" topLeftCell="A10">
      <selection activeCell="A15" sqref="A15:XFD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
      <headerFooter alignWithMargins="0">
        <oddFooter>&amp;C</oddFooter>
      </headerFooter>
    </customSheetView>
    <customSheetView guid="{61CE75AA-B849-4D18-8838-F82995C6B087}" colorId="10" showGridLines="0" outlineSymbols="0" topLeftCell="A13">
      <selection activeCell="I18" sqref="I1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3"/>
      <headerFooter alignWithMargins="0">
        <oddFooter>&amp;C</oddFooter>
      </headerFooter>
    </customSheetView>
    <customSheetView guid="{7D95FE88-52D3-4AF2-A747-7A28402A32C2}" colorId="10" showPageBreaks="1" showGridLines="0" outlineSymbols="0" topLeftCell="A2">
      <selection activeCell="I18" sqref="I1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4"/>
      <headerFooter alignWithMargins="0">
        <oddFooter>&amp;C</oddFooter>
      </headerFooter>
    </customSheetView>
    <customSheetView guid="{6EF26E68-1B9A-4748-A66C-9D8C184CAF14}" scale="90" colorId="10" showGridLines="0" outlineSymbols="0">
      <selection activeCell="F8" sqref="F8"/>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5"/>
      <headerFooter alignWithMargins="0">
        <oddFooter>&amp;C</oddFooter>
      </headerFooter>
    </customSheetView>
    <customSheetView guid="{B8A1874B-3BEF-4479-AD53-0D9BAC54C7CD}" colorId="10" showGridLines="0" outlineSymbols="0" topLeftCell="A19">
      <selection activeCell="A4" sqref="A4"/>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6"/>
      <headerFooter alignWithMargins="0">
        <oddFooter>&amp;C</oddFooter>
      </headerFooter>
    </customSheetView>
    <customSheetView guid="{E5BCC4B4-F1B1-40C1-B93E-A6184E1EF716}" colorId="10" showGridLines="0" outlineSymbols="0" topLeftCell="A10">
      <selection activeCell="I18" sqref="I1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7"/>
      <headerFooter alignWithMargins="0">
        <oddFooter>&amp;C</oddFooter>
      </headerFooter>
    </customSheetView>
    <customSheetView guid="{994961F8-B63E-47F6-B0C5-98F862423FE5}" colorId="10" showPageBreaks="1" showGridLines="0" outlineSymbols="0">
      <selection activeCell="I18" sqref="I1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8"/>
      <headerFooter alignWithMargins="0">
        <oddFooter>&amp;C</oddFooter>
      </headerFooter>
    </customSheetView>
    <customSheetView guid="{F89B8433-E453-4FDE-8E2A-E7E816BD4DFD}" scale="90" colorId="10" showGridLines="0" outlineSymbols="0" topLeftCell="A4">
      <selection activeCell="E15" sqref="E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9"/>
      <headerFooter alignWithMargins="0">
        <oddFooter>&amp;C</oddFooter>
      </headerFooter>
    </customSheetView>
    <customSheetView guid="{9BA226E9-1840-4D58-8634-C7CD130BA9DE}" colorId="10" showGridLines="0" outlineSymbols="0" topLeftCell="A16">
      <selection activeCell="J8" sqref="J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10"/>
      <headerFooter alignWithMargins="0">
        <oddFooter>&amp;C</oddFooter>
      </headerFooter>
    </customSheetView>
    <customSheetView guid="{ECC2632F-F62A-4FAF-AECC-1DDADB5FC34F}" scale="90" colorId="10" showGridLines="0" outlineSymbols="0" topLeftCell="A7">
      <selection activeCell="A9" sqref="A9:XFD9"/>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1"/>
      <headerFooter alignWithMargins="0">
        <oddFooter>&amp;C</oddFooter>
      </headerFooter>
    </customSheetView>
    <customSheetView guid="{FB80B360-98B3-4D7B-B530-099144659D3A}" scale="90" colorId="10" showPageBreaks="1" showGridLines="0" outlineSymbols="0" topLeftCell="A7">
      <selection activeCell="A9" sqref="A9:XFD9"/>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2"/>
      <headerFooter alignWithMargins="0">
        <oddFooter>&amp;C</oddFooter>
      </headerFooter>
    </customSheetView>
    <customSheetView guid="{7F784530-9B10-42D7-8F54-8EB6B060482F}" scale="90" colorId="10" showGridLines="0" outlineSymbols="0" topLeftCell="A22">
      <selection activeCell="F30" sqref="F30"/>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3"/>
      <headerFooter alignWithMargins="0">
        <oddFooter>&amp;C</oddFooter>
      </headerFooter>
    </customSheetView>
    <customSheetView guid="{E4837792-4A99-499B-8EC2-DE4E4D167510}" scale="90" colorId="10" showGridLines="0" outlineSymbols="0">
      <selection activeCell="K8" sqref="K8"/>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4"/>
      <headerFooter alignWithMargins="0">
        <oddFooter>&amp;C</oddFooter>
      </headerFooter>
    </customSheetView>
    <customSheetView guid="{16D4A374-74B9-406B-A5BA-2D573E6A0CF2}" scale="90" colorId="10" showGridLines="0" outlineSymbols="0" topLeftCell="A7">
      <selection activeCell="A9" sqref="A9:XFD9"/>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5"/>
      <headerFooter alignWithMargins="0">
        <oddFooter>&amp;C</oddFooter>
      </headerFooter>
    </customSheetView>
    <customSheetView guid="{F729E7D6-6F09-4AEC-8A8D-5BB0CE563030}" scale="90" colorId="10" showGridLines="0" outlineSymbols="0">
      <selection activeCell="F8" sqref="F8"/>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16"/>
      <headerFooter alignWithMargins="0">
        <oddFooter>&amp;C</oddFooter>
      </headerFooter>
    </customSheetView>
    <customSheetView guid="{2896A421-8E5B-4BF0-9CC6-B6380E0DB314}" colorId="10" showGridLines="0" outlineSymbols="0">
      <selection activeCell="H10" sqref="H10"/>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17"/>
      <headerFooter alignWithMargins="0">
        <oddFooter>&amp;C</oddFooter>
      </headerFooter>
    </customSheetView>
    <customSheetView guid="{98D3DDB6-797A-47DD-9C96-BB16B2207A0C}" colorId="10" showGridLines="0" outlineSymbols="0">
      <selection activeCell="J6" sqref="J6"/>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18"/>
      <headerFooter alignWithMargins="0">
        <oddFooter>&amp;C</oddFooter>
      </headerFooter>
    </customSheetView>
    <customSheetView guid="{A1D515A7-1E5B-4509-BA26-4ABAA82FF869}" colorId="10" showGridLines="0" outlineSymbols="0" topLeftCell="A7">
      <selection activeCell="G7" sqref="G7"/>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19"/>
      <headerFooter alignWithMargins="0">
        <oddFooter>&amp;C</oddFooter>
      </headerFooter>
    </customSheetView>
    <customSheetView guid="{80E06DBA-C6F3-475B-8D63-21743367E2AD}" colorId="10" showGridLines="0" outlineSymbols="0" topLeftCell="A10">
      <selection activeCell="I18" sqref="I18"/>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0"/>
      <headerFooter alignWithMargins="0">
        <oddFooter>&amp;C</oddFooter>
      </headerFooter>
    </customSheetView>
    <customSheetView guid="{9ED09EA6-4579-48A9-AD5B-8A08B9AAA8BE}" scale="90" colorId="10" showGridLines="0" outlineSymbols="0">
      <selection activeCell="K8" sqref="K8"/>
      <colBreaks count="2" manualBreakCount="2">
        <brk id="13" max="1048575" man="1"/>
        <brk id="16" max="1048575" man="1"/>
      </colBreaks>
      <pageMargins left="0" right="0" top="0.98425196850393704" bottom="0.51181102362204722" header="0.23622047244094491" footer="0.51181102362204722"/>
      <printOptions horizontalCentered="1"/>
      <pageSetup paperSize="9" scale="67" orientation="landscape" r:id="rId21"/>
      <headerFooter alignWithMargins="0">
        <oddFooter>&amp;C</oddFooter>
      </headerFooter>
    </customSheetView>
    <customSheetView guid="{7631AB21-BAD4-410B-9EB7-37E4C039E55D}" colorId="10" showGridLines="0" outlineSymbols="0" topLeftCell="A7">
      <selection activeCell="F7" sqref="F7"/>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2"/>
      <headerFooter alignWithMargins="0">
        <oddFooter>&amp;C</oddFooter>
      </headerFooter>
    </customSheetView>
    <customSheetView guid="{BE76667A-60C4-4702-8334-217BF8BB1245}" colorId="10" showGridLines="0" outlineSymbols="0">
      <selection activeCell="H7" sqref="H7"/>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3"/>
      <headerFooter alignWithMargins="0">
        <oddFooter>&amp;C</oddFooter>
      </headerFooter>
    </customSheetView>
    <customSheetView guid="{3FE5399F-6D96-46C9-B56D-C9200CDFFBCC}" colorId="10" showGridLines="0" outlineSymbols="0">
      <selection activeCell="H10" sqref="H10"/>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4"/>
      <headerFooter alignWithMargins="0">
        <oddFooter>&amp;C</oddFooter>
      </headerFooter>
    </customSheetView>
    <customSheetView guid="{DB5C611D-B585-4D04-94DC-84E03E7F6427}" colorId="10" showGridLines="0" outlineSymbols="0" topLeftCell="A10">
      <selection activeCell="A15" sqref="A15:XFD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5"/>
      <headerFooter alignWithMargins="0">
        <oddFooter>&amp;C</oddFooter>
      </headerFooter>
    </customSheetView>
    <customSheetView guid="{0C6DA001-EF29-43B3-B8E5-B7C6D16AED4F}" colorId="10" showGridLines="0" outlineSymbols="0" topLeftCell="A10">
      <selection activeCell="A15" sqref="A15:XFD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6"/>
      <headerFooter alignWithMargins="0">
        <oddFooter>&amp;C</oddFooter>
      </headerFooter>
    </customSheetView>
    <customSheetView guid="{C57D03F9-88DE-4996-9965-888CDFC990C2}" colorId="10" showPageBreaks="1" showGridLines="0" outlineSymbols="0" topLeftCell="A10">
      <selection activeCell="A15" sqref="A15:XFD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7"/>
      <headerFooter alignWithMargins="0">
        <oddFooter>&amp;C</oddFooter>
      </headerFooter>
    </customSheetView>
    <customSheetView guid="{51A412B5-0E75-4615-BBB6-5CF03E1A3E32}" colorId="10" showGridLines="0" outlineSymbols="0" topLeftCell="A10">
      <selection activeCell="A15" sqref="A15:XFD15"/>
      <colBreaks count="2" manualBreakCount="2">
        <brk id="13" max="1048575" man="1"/>
        <brk id="16" max="1048575" man="1"/>
      </colBreaks>
      <pageMargins left="0" right="0" top="0.98425196850393704" bottom="0.51181102362204722" header="0.23622047244094491" footer="0.51181102362204722"/>
      <printOptions horizontalCentered="1"/>
      <pageSetup paperSize="9" scale="61" orientation="landscape" r:id="rId28"/>
      <headerFooter alignWithMargins="0">
        <oddFooter>&amp;C</oddFooter>
      </headerFooter>
    </customSheetView>
  </customSheetViews>
  <mergeCells count="3">
    <mergeCell ref="A17:D17"/>
    <mergeCell ref="A9:D9"/>
    <mergeCell ref="A19:D19"/>
  </mergeCells>
  <phoneticPr fontId="104" type="noConversion"/>
  <printOptions horizontalCentered="1"/>
  <pageMargins left="0" right="0" top="0.98425196850393704" bottom="0.51181102362204722" header="0.23622047244094491" footer="0.51181102362204722"/>
  <pageSetup paperSize="9" scale="61" orientation="landscape" r:id="rId29"/>
  <headerFooter alignWithMargins="0">
    <oddFooter>&amp;C</oddFooter>
  </headerFooter>
  <colBreaks count="2" manualBreakCount="2">
    <brk id="13" max="1048575" man="1"/>
    <brk id="1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showOutlineSymbols="0" defaultGridColor="0" colorId="10" zoomScale="90" zoomScaleNormal="80" workbookViewId="0">
      <selection activeCell="D5" sqref="D5"/>
    </sheetView>
  </sheetViews>
  <sheetFormatPr defaultColWidth="8.6640625" defaultRowHeight="15"/>
  <cols>
    <col min="1" max="1" width="3.33203125" style="101" customWidth="1"/>
    <col min="2" max="2" width="26.33203125" style="101" customWidth="1"/>
    <col min="3" max="3" width="9" style="101" customWidth="1"/>
    <col min="4" max="4" width="9.44140625" style="101" customWidth="1"/>
    <col min="5" max="5" width="10.109375" style="101" customWidth="1"/>
    <col min="6" max="6" width="10.21875" style="101" customWidth="1"/>
    <col min="7" max="7" width="8.44140625" style="101" customWidth="1"/>
    <col min="8" max="8" width="11.109375" style="101" customWidth="1"/>
    <col min="9" max="9" width="9.5546875" style="101" customWidth="1"/>
    <col min="10" max="10" width="11.21875" style="101" customWidth="1"/>
    <col min="11" max="11" width="19.109375" style="101" customWidth="1"/>
    <col min="12" max="12" width="11.88671875" style="101" customWidth="1"/>
    <col min="13" max="13" width="37.33203125" style="101" customWidth="1"/>
    <col min="14" max="14" width="9.6640625" style="101" customWidth="1"/>
    <col min="15" max="15" width="17.77734375" style="101" customWidth="1"/>
    <col min="16" max="16" width="20.44140625" style="101" customWidth="1"/>
    <col min="17" max="17" width="7.6640625" style="101" customWidth="1"/>
    <col min="18" max="18" width="8.6640625" style="101"/>
    <col min="19" max="19" width="12" style="101" customWidth="1"/>
    <col min="20" max="29" width="8.6640625" style="101"/>
    <col min="30" max="30" width="13.6640625" style="101" customWidth="1"/>
    <col min="31" max="16384" width="8.6640625" style="101"/>
  </cols>
  <sheetData>
    <row r="1" spans="1:19" s="413" customFormat="1" ht="36.75" customHeight="1">
      <c r="A1" s="1366" t="s">
        <v>89</v>
      </c>
      <c r="B1" s="1366"/>
      <c r="C1" s="1366"/>
      <c r="D1" s="1366"/>
      <c r="E1" s="1366"/>
      <c r="F1" s="1366"/>
      <c r="G1" s="1366"/>
      <c r="H1" s="1366"/>
      <c r="I1" s="1366"/>
      <c r="J1" s="1366"/>
      <c r="K1" s="1366"/>
      <c r="L1" s="1366"/>
      <c r="M1" s="97"/>
      <c r="N1" s="97"/>
      <c r="O1" s="97"/>
      <c r="P1" s="97"/>
      <c r="Q1" s="98"/>
      <c r="S1" s="99"/>
    </row>
    <row r="2" spans="1:19" s="1386" customFormat="1" ht="34.5" customHeight="1">
      <c r="A2" s="1383" t="s">
        <v>628</v>
      </c>
      <c r="B2" s="1383"/>
      <c r="C2" s="1383"/>
      <c r="D2" s="1383"/>
      <c r="E2" s="1383"/>
      <c r="F2" s="1383"/>
      <c r="G2" s="1383"/>
      <c r="H2" s="1383"/>
      <c r="I2" s="1383"/>
      <c r="J2" s="1383"/>
      <c r="K2" s="1383"/>
      <c r="L2" s="1383"/>
      <c r="M2" s="1384"/>
      <c r="N2" s="1384"/>
      <c r="O2" s="1384"/>
      <c r="P2" s="1384"/>
      <c r="Q2" s="1385"/>
      <c r="S2" s="1387"/>
    </row>
    <row r="3" spans="1:19" ht="18.75" customHeight="1">
      <c r="A3" s="1771" t="s">
        <v>634</v>
      </c>
      <c r="B3" s="1771"/>
      <c r="C3" s="1771"/>
      <c r="D3" s="1771"/>
      <c r="E3" s="1771"/>
      <c r="F3" s="1771"/>
      <c r="G3" s="1771"/>
      <c r="H3" s="1771"/>
      <c r="I3" s="1771"/>
      <c r="J3" s="1771"/>
      <c r="K3" s="1771"/>
      <c r="L3" s="1771"/>
      <c r="M3" s="100"/>
      <c r="N3" s="100"/>
      <c r="O3" s="100"/>
      <c r="P3" s="100"/>
      <c r="S3" s="102"/>
    </row>
    <row r="4" spans="1:19" s="423" customFormat="1" ht="29.25" customHeight="1">
      <c r="A4" s="1772" t="s">
        <v>626</v>
      </c>
      <c r="B4" s="1773"/>
      <c r="C4" s="1773"/>
      <c r="D4" s="1773"/>
      <c r="E4" s="1773"/>
      <c r="F4" s="1773"/>
      <c r="G4" s="1773"/>
      <c r="H4" s="1773"/>
      <c r="I4" s="1773"/>
      <c r="J4" s="1773"/>
      <c r="K4" s="1773"/>
      <c r="L4" s="1773"/>
      <c r="M4" s="1773"/>
      <c r="N4" s="1773"/>
      <c r="O4" s="1773"/>
      <c r="P4" s="1773"/>
      <c r="S4" s="128"/>
    </row>
    <row r="6" spans="1:19" ht="33" customHeight="1">
      <c r="A6" s="352" t="s">
        <v>90</v>
      </c>
      <c r="B6" s="352"/>
      <c r="C6" s="120"/>
      <c r="D6" s="120"/>
      <c r="E6" s="129"/>
      <c r="F6" s="129"/>
      <c r="G6" s="130"/>
      <c r="H6" s="61"/>
      <c r="I6" s="129"/>
      <c r="J6" s="120"/>
      <c r="K6" s="131"/>
      <c r="L6" s="129"/>
      <c r="M6" s="121"/>
      <c r="N6" s="117"/>
    </row>
    <row r="7" spans="1:19" ht="8.25" customHeight="1" thickBot="1">
      <c r="A7" s="132"/>
      <c r="B7" s="133"/>
      <c r="C7" s="134"/>
      <c r="D7" s="134"/>
      <c r="E7" s="135"/>
      <c r="F7" s="135"/>
      <c r="G7" s="136"/>
      <c r="H7" s="137"/>
      <c r="I7" s="135"/>
      <c r="J7" s="134"/>
      <c r="K7" s="138"/>
      <c r="L7" s="135"/>
      <c r="M7" s="139"/>
      <c r="N7" s="117"/>
    </row>
    <row r="8" spans="1:19" ht="30" customHeight="1" thickBot="1">
      <c r="A8" s="140" t="s">
        <v>1</v>
      </c>
      <c r="B8" s="140" t="s">
        <v>39</v>
      </c>
      <c r="C8" s="140" t="s">
        <v>44</v>
      </c>
      <c r="D8" s="140" t="s">
        <v>9</v>
      </c>
      <c r="E8" s="140" t="s">
        <v>3</v>
      </c>
      <c r="F8" s="140" t="s">
        <v>7</v>
      </c>
      <c r="G8" s="140" t="s">
        <v>40</v>
      </c>
      <c r="H8" s="141" t="s">
        <v>41</v>
      </c>
      <c r="I8" s="140" t="s">
        <v>45</v>
      </c>
      <c r="J8" s="141" t="s">
        <v>46</v>
      </c>
      <c r="K8" s="140" t="s">
        <v>42</v>
      </c>
      <c r="L8" s="140" t="s">
        <v>47</v>
      </c>
      <c r="M8" s="140" t="s">
        <v>10</v>
      </c>
      <c r="N8" s="117"/>
    </row>
    <row r="9" spans="1:19" ht="129" customHeight="1" thickBot="1">
      <c r="A9" s="551"/>
      <c r="B9" s="891"/>
      <c r="C9" s="437"/>
      <c r="D9" s="437"/>
      <c r="E9" s="142"/>
      <c r="F9" s="753"/>
      <c r="G9" s="147"/>
      <c r="H9" s="118"/>
      <c r="I9" s="552"/>
      <c r="J9" s="148"/>
      <c r="K9" s="868"/>
      <c r="L9" s="869"/>
      <c r="M9" s="870"/>
      <c r="N9" s="117"/>
    </row>
    <row r="10" spans="1:19" ht="32.25" customHeight="1" thickBot="1">
      <c r="A10" s="889"/>
      <c r="C10" s="888"/>
      <c r="D10" s="888" t="s">
        <v>34</v>
      </c>
      <c r="E10" s="711">
        <f>SUM(E9:E9)</f>
        <v>0</v>
      </c>
      <c r="F10" s="711">
        <f>SUM(F9:F9)</f>
        <v>0</v>
      </c>
      <c r="G10" s="711"/>
      <c r="H10" s="711">
        <f>SUM(H9:H9)</f>
        <v>0</v>
      </c>
      <c r="I10" s="711">
        <f>SUM(I9:I9)</f>
        <v>0</v>
      </c>
      <c r="J10" s="120"/>
      <c r="K10" s="120"/>
      <c r="L10" s="121"/>
      <c r="M10" s="122"/>
      <c r="N10" s="117"/>
    </row>
    <row r="11" spans="1:19" ht="33" customHeight="1">
      <c r="A11" s="352" t="s">
        <v>43</v>
      </c>
      <c r="B11" s="352"/>
      <c r="C11" s="120"/>
      <c r="D11" s="120"/>
      <c r="E11" s="129"/>
      <c r="F11" s="129"/>
      <c r="G11" s="130"/>
      <c r="H11" s="61"/>
      <c r="I11" s="129"/>
      <c r="J11" s="120"/>
      <c r="K11" s="131"/>
      <c r="L11" s="129"/>
      <c r="M11" s="121"/>
      <c r="N11" s="117"/>
    </row>
    <row r="12" spans="1:19" ht="8.25" customHeight="1" thickBot="1">
      <c r="A12" s="132"/>
      <c r="B12" s="133"/>
      <c r="C12" s="134"/>
      <c r="D12" s="134"/>
      <c r="E12" s="135"/>
      <c r="F12" s="135"/>
      <c r="G12" s="136"/>
      <c r="H12" s="137"/>
      <c r="I12" s="135"/>
      <c r="J12" s="134"/>
      <c r="K12" s="138"/>
      <c r="L12" s="135"/>
      <c r="M12" s="139"/>
      <c r="N12" s="117"/>
    </row>
    <row r="13" spans="1:19" ht="30" customHeight="1" thickBot="1">
      <c r="A13" s="140" t="s">
        <v>1</v>
      </c>
      <c r="B13" s="140" t="s">
        <v>39</v>
      </c>
      <c r="C13" s="140" t="s">
        <v>44</v>
      </c>
      <c r="D13" s="140" t="s">
        <v>9</v>
      </c>
      <c r="E13" s="140" t="s">
        <v>3</v>
      </c>
      <c r="F13" s="140" t="s">
        <v>7</v>
      </c>
      <c r="G13" s="140" t="s">
        <v>40</v>
      </c>
      <c r="H13" s="141" t="s">
        <v>41</v>
      </c>
      <c r="I13" s="140" t="s">
        <v>45</v>
      </c>
      <c r="J13" s="141" t="s">
        <v>46</v>
      </c>
      <c r="K13" s="140" t="s">
        <v>42</v>
      </c>
      <c r="L13" s="140" t="s">
        <v>47</v>
      </c>
      <c r="M13" s="140" t="s">
        <v>10</v>
      </c>
      <c r="N13" s="117"/>
    </row>
    <row r="14" spans="1:19" ht="36.75" customHeight="1" thickBot="1">
      <c r="A14" s="867">
        <v>1</v>
      </c>
      <c r="B14" s="891"/>
      <c r="C14" s="437"/>
      <c r="D14" s="437"/>
      <c r="E14" s="436"/>
      <c r="F14" s="436"/>
      <c r="G14" s="892"/>
      <c r="H14" s="351"/>
      <c r="I14" s="893"/>
      <c r="J14" s="349"/>
      <c r="K14" s="868"/>
      <c r="L14" s="869"/>
      <c r="M14" s="870"/>
      <c r="N14" s="117"/>
    </row>
    <row r="15" spans="1:19" ht="32.25" customHeight="1" thickBot="1">
      <c r="A15" s="144"/>
      <c r="B15" s="407"/>
      <c r="C15" s="1740" t="s">
        <v>34</v>
      </c>
      <c r="D15" s="1740"/>
      <c r="E15" s="866">
        <f>SUM(E14:E14)</f>
        <v>0</v>
      </c>
      <c r="F15" s="866">
        <f>SUM(F14:F14)</f>
        <v>0</v>
      </c>
      <c r="G15" s="866"/>
      <c r="H15" s="866">
        <f>SUM(H14:H14)</f>
        <v>0</v>
      </c>
      <c r="I15" s="894">
        <f>SUM(I14:I14)</f>
        <v>0</v>
      </c>
      <c r="J15" s="120"/>
      <c r="K15" s="120"/>
      <c r="L15" s="121"/>
      <c r="M15" s="122"/>
      <c r="N15" s="117"/>
    </row>
    <row r="16" spans="1:19" ht="12.75" customHeight="1" thickBot="1">
      <c r="A16" s="144"/>
      <c r="B16" s="407"/>
      <c r="C16" s="66"/>
      <c r="D16" s="66"/>
      <c r="E16" s="1774"/>
      <c r="F16" s="1774"/>
      <c r="G16" s="1774"/>
      <c r="H16" s="1774"/>
      <c r="I16" s="1774"/>
      <c r="J16" s="120"/>
      <c r="K16" s="120"/>
      <c r="L16" s="121"/>
      <c r="M16" s="122"/>
      <c r="N16" s="117"/>
    </row>
    <row r="17" spans="1:13" s="424" customFormat="1" ht="33" customHeight="1" thickBot="1">
      <c r="A17" s="890"/>
      <c r="B17" s="407"/>
      <c r="C17" s="888"/>
      <c r="D17" s="890" t="s">
        <v>547</v>
      </c>
      <c r="E17" s="754">
        <f>E10+E15</f>
        <v>0</v>
      </c>
      <c r="F17" s="754">
        <f>F10+F15</f>
        <v>0</v>
      </c>
      <c r="G17" s="754"/>
      <c r="H17" s="754">
        <f>H10+H15</f>
        <v>0</v>
      </c>
      <c r="I17" s="754">
        <f>I10+I15</f>
        <v>0</v>
      </c>
    </row>
    <row r="18" spans="1:13" s="412" customFormat="1" ht="27.75" customHeight="1">
      <c r="B18" s="445" t="s">
        <v>48</v>
      </c>
      <c r="C18" s="123"/>
      <c r="E18" s="733"/>
      <c r="F18" s="733"/>
      <c r="G18" s="733"/>
      <c r="H18" s="734"/>
      <c r="I18" s="734" t="s">
        <v>49</v>
      </c>
      <c r="K18" s="125"/>
      <c r="M18" s="446" t="s">
        <v>50</v>
      </c>
    </row>
    <row r="24" spans="1:13" ht="15.75">
      <c r="B24" s="466"/>
      <c r="C24" s="466"/>
      <c r="D24" s="466"/>
    </row>
    <row r="25" spans="1:13" ht="22.5" customHeight="1">
      <c r="B25" s="466" t="s">
        <v>892</v>
      </c>
    </row>
    <row r="26" spans="1:13" s="412" customFormat="1" ht="27.75" customHeight="1">
      <c r="B26" s="123"/>
      <c r="H26" s="124"/>
      <c r="K26" s="125"/>
    </row>
    <row r="27" spans="1:13" s="412" customFormat="1" ht="27.75" customHeight="1">
      <c r="B27" s="123"/>
      <c r="C27" s="1770"/>
      <c r="D27" s="1770"/>
      <c r="E27" s="1770"/>
      <c r="H27" s="124"/>
      <c r="K27" s="125"/>
    </row>
    <row r="29" spans="1:13" ht="15.75">
      <c r="B29" s="149"/>
      <c r="C29" s="149"/>
      <c r="D29" s="149"/>
    </row>
  </sheetData>
  <customSheetViews>
    <customSheetView guid="{E4D8AEA0-7D37-4CF1-9F19-1F9F3CB7E99E}" scale="90" colorId="10" showGridLines="0" outlineSymbols="0">
      <selection activeCell="J14" sqref="J1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
      <headerFooter alignWithMargins="0">
        <oddFooter>&amp;C</oddFooter>
      </headerFooter>
    </customSheetView>
    <customSheetView guid="{AD634856-FDF7-4DD8-8DC5-36C324FF0C87}" scale="90" colorId="10" showGridLines="0" outlineSymbols="0">
      <selection activeCell="M9" sqref="M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
      <headerFooter alignWithMargins="0">
        <oddFooter>&amp;C</oddFooter>
      </headerFooter>
    </customSheetView>
    <customSheetView guid="{61CE75AA-B849-4D18-8838-F82995C6B087}" scale="90" colorId="10" showGridLines="0" outlineSymbols="0">
      <selection activeCell="E9" sqref="E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3"/>
      <headerFooter alignWithMargins="0">
        <oddFooter>&amp;C</oddFooter>
      </headerFooter>
    </customSheetView>
    <customSheetView guid="{7D95FE88-52D3-4AF2-A747-7A28402A32C2}" scale="90" colorId="10" showPageBreaks="1" showGridLines="0" outlineSymbols="0">
      <selection activeCell="H8" sqref="H8"/>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4"/>
      <headerFooter alignWithMargins="0">
        <oddFooter>&amp;C</oddFooter>
      </headerFooter>
    </customSheetView>
    <customSheetView guid="{6EF26E68-1B9A-4748-A66C-9D8C184CAF14}" scale="90" colorId="10" showGridLines="0" outlineSymbols="0">
      <selection activeCell="A8" sqref="A8"/>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5"/>
      <headerFooter alignWithMargins="0">
        <oddFooter>&amp;C</oddFooter>
      </headerFooter>
    </customSheetView>
    <customSheetView guid="{B8A1874B-3BEF-4479-AD53-0D9BAC54C7CD}" scale="90" colorId="10" showGridLines="0" outlineSymbols="0">
      <selection activeCell="F9" sqref="F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6"/>
      <headerFooter alignWithMargins="0">
        <oddFooter>&amp;C</oddFooter>
      </headerFooter>
    </customSheetView>
    <customSheetView guid="{E5BCC4B4-F1B1-40C1-B93E-A6184E1EF716}" scale="90" colorId="10" showGridLines="0" outlineSymbols="0">
      <selection activeCell="E9" sqref="E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7"/>
      <headerFooter alignWithMargins="0">
        <oddFooter>&amp;C</oddFooter>
      </headerFooter>
    </customSheetView>
    <customSheetView guid="{994961F8-B63E-47F6-B0C5-98F862423FE5}" scale="90" colorId="10" showPageBreaks="1" showGridLines="0" outlineSymbols="0">
      <selection activeCell="E9" sqref="E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8"/>
      <headerFooter alignWithMargins="0">
        <oddFooter>&amp;C</oddFooter>
      </headerFooter>
    </customSheetView>
    <customSheetView guid="{F89B8433-E453-4FDE-8E2A-E7E816BD4DFD}" scale="90" colorId="10" showGridLines="0" outlineSymbols="0">
      <selection activeCell="A8" sqref="A8"/>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9"/>
      <headerFooter alignWithMargins="0">
        <oddFooter>&amp;C</oddFooter>
      </headerFooter>
    </customSheetView>
    <customSheetView guid="{9BA226E9-1840-4D58-8634-C7CD130BA9DE}" scale="90" colorId="10" showGridLines="0" outlineSymbols="0" topLeftCell="C1">
      <selection activeCell="M8" sqref="M8"/>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0"/>
      <headerFooter alignWithMargins="0">
        <oddFooter>&amp;C</oddFooter>
      </headerFooter>
    </customSheetView>
    <customSheetView guid="{ECC2632F-F62A-4FAF-AECC-1DDADB5FC34F}" scale="90" colorId="10" showGridLines="0" outlineSymbols="0">
      <selection activeCell="A4" sqref="A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1"/>
      <headerFooter alignWithMargins="0">
        <oddFooter>&amp;C</oddFooter>
      </headerFooter>
    </customSheetView>
    <customSheetView guid="{FB80B360-98B3-4D7B-B530-099144659D3A}" scale="90" colorId="10" showGridLines="0" outlineSymbols="0">
      <selection activeCell="A4" sqref="A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2"/>
      <headerFooter alignWithMargins="0">
        <oddFooter>&amp;C</oddFooter>
      </headerFooter>
    </customSheetView>
    <customSheetView guid="{7F784530-9B10-42D7-8F54-8EB6B060482F}" scale="90" colorId="10" showGridLines="0" outlineSymbols="0">
      <selection activeCell="A4" sqref="A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3"/>
      <headerFooter alignWithMargins="0">
        <oddFooter>&amp;C</oddFooter>
      </headerFooter>
    </customSheetView>
    <customSheetView guid="{8AF18E21-1031-46CF-B2BC-F1B32D8B514B}" scale="90" colorId="10" showGridLines="0" outlineSymbols="0">
      <selection activeCell="A11" sqref="A11"/>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4"/>
      <headerFooter alignWithMargins="0">
        <oddFooter>&amp;C</oddFooter>
      </headerFooter>
    </customSheetView>
    <customSheetView guid="{E4837792-4A99-499B-8EC2-DE4E4D167510}" scale="90" colorId="10" showGridLines="0" outlineSymbols="0" topLeftCell="A9">
      <selection activeCell="B10" sqref="B10"/>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5"/>
      <headerFooter alignWithMargins="0">
        <oddFooter>&amp;C</oddFooter>
      </headerFooter>
    </customSheetView>
    <customSheetView guid="{16D4A374-74B9-406B-A5BA-2D573E6A0CF2}" scale="90" colorId="10" showGridLines="0" outlineSymbols="0">
      <selection activeCell="A4" sqref="A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6"/>
      <headerFooter alignWithMargins="0">
        <oddFooter>&amp;C</oddFooter>
      </headerFooter>
    </customSheetView>
    <customSheetView guid="{F729E7D6-6F09-4AEC-8A8D-5BB0CE563030}" scale="90" colorId="10" showGridLines="0" outlineSymbols="0">
      <selection activeCell="A24" sqref="A24:XFD2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7"/>
      <headerFooter alignWithMargins="0">
        <oddFooter>&amp;C</oddFooter>
      </headerFooter>
    </customSheetView>
    <customSheetView guid="{2896A421-8E5B-4BF0-9CC6-B6380E0DB314}" scale="90" colorId="10" showGridLines="0" outlineSymbols="0">
      <selection activeCell="E5" sqref="E5"/>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8"/>
      <headerFooter alignWithMargins="0">
        <oddFooter>&amp;C</oddFooter>
      </headerFooter>
    </customSheetView>
    <customSheetView guid="{98D3DDB6-797A-47DD-9C96-BB16B2207A0C}" scale="90" colorId="10" showGridLines="0" outlineSymbols="0">
      <selection activeCell="K11" sqref="K11"/>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19"/>
      <headerFooter alignWithMargins="0">
        <oddFooter>&amp;C</oddFooter>
      </headerFooter>
    </customSheetView>
    <customSheetView guid="{A1D515A7-1E5B-4509-BA26-4ABAA82FF869}" scale="90" colorId="10" showGridLines="0" outlineSymbols="0">
      <selection activeCell="F8" sqref="F8"/>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0"/>
      <headerFooter alignWithMargins="0">
        <oddFooter>&amp;C</oddFooter>
      </headerFooter>
    </customSheetView>
    <customSheetView guid="{80E06DBA-C6F3-475B-8D63-21743367E2AD}" scale="90" colorId="10" showGridLines="0" outlineSymbols="0">
      <selection activeCell="E9" sqref="E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1"/>
      <headerFooter alignWithMargins="0">
        <oddFooter>&amp;C</oddFooter>
      </headerFooter>
    </customSheetView>
    <customSheetView guid="{9ED09EA6-4579-48A9-AD5B-8A08B9AAA8BE}" scale="90" colorId="10" showGridLines="0" outlineSymbols="0" topLeftCell="A2">
      <selection activeCell="A11" sqref="A11"/>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2"/>
      <headerFooter alignWithMargins="0">
        <oddFooter>&amp;C</oddFooter>
      </headerFooter>
    </customSheetView>
    <customSheetView guid="{7631AB21-BAD4-410B-9EB7-37E4C039E55D}" scale="90" colorId="10" showGridLines="0" outlineSymbols="0">
      <selection activeCell="J14" sqref="J14"/>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3"/>
      <headerFooter alignWithMargins="0">
        <oddFooter>&amp;C</oddFooter>
      </headerFooter>
    </customSheetView>
    <customSheetView guid="{BE76667A-60C4-4702-8334-217BF8BB1245}" scale="90" colorId="10" showGridLines="0" outlineSymbols="0">
      <selection activeCell="E5" sqref="E5"/>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4"/>
      <headerFooter alignWithMargins="0">
        <oddFooter>&amp;C</oddFooter>
      </headerFooter>
    </customSheetView>
    <customSheetView guid="{3FE5399F-6D96-46C9-B56D-C9200CDFFBCC}" scale="90" colorId="10" showGridLines="0" outlineSymbols="0">
      <selection activeCell="E5" sqref="E5"/>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5"/>
      <headerFooter alignWithMargins="0">
        <oddFooter>&amp;C</oddFooter>
      </headerFooter>
    </customSheetView>
    <customSheetView guid="{DB5C611D-B585-4D04-94DC-84E03E7F6427}" scale="90" colorId="10" showGridLines="0" outlineSymbols="0">
      <selection activeCell="M9" sqref="M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6"/>
      <headerFooter alignWithMargins="0">
        <oddFooter>&amp;C</oddFooter>
      </headerFooter>
    </customSheetView>
    <customSheetView guid="{0C6DA001-EF29-43B3-B8E5-B7C6D16AED4F}" scale="90" colorId="10" showGridLines="0" outlineSymbols="0">
      <selection activeCell="M9" sqref="M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7"/>
      <headerFooter alignWithMargins="0">
        <oddFooter>&amp;C</oddFooter>
      </headerFooter>
    </customSheetView>
    <customSheetView guid="{C57D03F9-88DE-4996-9965-888CDFC990C2}" scale="90" colorId="10" showPageBreaks="1" showGridLines="0" outlineSymbols="0">
      <selection activeCell="M9" sqref="M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8"/>
      <headerFooter alignWithMargins="0">
        <oddFooter>&amp;C</oddFooter>
      </headerFooter>
    </customSheetView>
    <customSheetView guid="{51A412B5-0E75-4615-BBB6-5CF03E1A3E32}" scale="90" colorId="10" showGridLines="0" outlineSymbols="0">
      <selection activeCell="M9" sqref="M9"/>
      <colBreaks count="1" manualBreakCount="1">
        <brk id="16" max="1048575" man="1"/>
      </colBreaks>
      <pageMargins left="0" right="0" top="0.98425196850393704" bottom="0.51181102362204722" header="0.23622047244094491" footer="0.51181102362204722"/>
      <printOptions horizontalCentered="1"/>
      <pageSetup paperSize="9" scale="67" orientation="landscape" r:id="rId29"/>
      <headerFooter alignWithMargins="0">
        <oddFooter>&amp;C</oddFooter>
      </headerFooter>
    </customSheetView>
  </customSheetViews>
  <mergeCells count="6">
    <mergeCell ref="C27:E27"/>
    <mergeCell ref="A3:L3"/>
    <mergeCell ref="A4:L4"/>
    <mergeCell ref="M4:P4"/>
    <mergeCell ref="C15:D15"/>
    <mergeCell ref="E16:I16"/>
  </mergeCells>
  <phoneticPr fontId="104" type="noConversion"/>
  <printOptions horizontalCentered="1"/>
  <pageMargins left="0" right="0" top="0.98425196850393704" bottom="0.51181102362204722" header="0.23622047244094491" footer="0.51181102362204722"/>
  <pageSetup paperSize="9" scale="67" orientation="landscape" r:id="rId30"/>
  <headerFooter alignWithMargins="0">
    <oddFooter>&amp;C</oddFooter>
  </headerFooter>
  <colBreaks count="1" manualBreakCount="1">
    <brk id="1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By Industries (NBC)</vt:lpstr>
      <vt:lpstr>Support Cre-Ind</vt:lpstr>
      <vt:lpstr>New Master-List</vt:lpstr>
      <vt:lpstr>Consolidate O-D</vt:lpstr>
      <vt:lpstr>Consolidate TL</vt:lpstr>
      <vt:lpstr>Support Avg. Int.Rate</vt:lpstr>
      <vt:lpstr>Provision</vt:lpstr>
      <vt:lpstr>Special Mention</vt:lpstr>
      <vt:lpstr>Sub-Stan</vt:lpstr>
      <vt:lpstr>Doubtfull</vt:lpstr>
      <vt:lpstr>Loss Loan</vt:lpstr>
      <vt:lpstr>Write off </vt:lpstr>
      <vt:lpstr>IND</vt:lpstr>
      <vt:lpstr>INDD</vt:lpstr>
      <vt:lpstr>'By Industries (NBC)'!Print_Area</vt:lpstr>
      <vt:lpstr>'Consolidate O-D'!Print_Area</vt:lpstr>
      <vt:lpstr>'Consolidate TL'!Print_Area</vt:lpstr>
      <vt:lpstr>'Support Avg. Int.Rate'!Print_Area</vt:lpstr>
      <vt:lpstr>'Write off '!Print_Area</vt:lpstr>
      <vt:lpstr>'Consolidate O-D'!Print_Titles</vt:lpstr>
      <vt:lpstr>'Consolidate TL'!Print_Titles</vt:lpstr>
    </vt:vector>
  </TitlesOfParts>
  <Company>ucb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Sakhina</dc:creator>
  <cp:lastModifiedBy>Keo Chanvisal</cp:lastModifiedBy>
  <cp:lastPrinted>2018-02-05T03:05:42Z</cp:lastPrinted>
  <dcterms:created xsi:type="dcterms:W3CDTF">2011-10-10T01:56:23Z</dcterms:created>
  <dcterms:modified xsi:type="dcterms:W3CDTF">2018-05-30T05:56:46Z</dcterms:modified>
</cp:coreProperties>
</file>