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75" windowWidth="15315" windowHeight="565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E31" i="1" l="1"/>
  <c r="B11" i="2" l="1"/>
  <c r="C13" i="2"/>
  <c r="B13" i="2"/>
  <c r="C36" i="4" l="1"/>
  <c r="D21" i="4"/>
  <c r="D20" i="4"/>
  <c r="D16" i="4"/>
  <c r="D15" i="4"/>
  <c r="D14" i="4"/>
  <c r="D12" i="4"/>
  <c r="D11" i="4"/>
  <c r="D9" i="4"/>
  <c r="D8" i="4"/>
  <c r="D7" i="4"/>
  <c r="D6" i="4"/>
  <c r="D5" i="4"/>
  <c r="C35" i="4"/>
  <c r="C32" i="4"/>
  <c r="C29" i="4"/>
  <c r="C28" i="4"/>
  <c r="C26" i="4"/>
  <c r="C24" i="4"/>
  <c r="C23" i="4"/>
  <c r="C22" i="4"/>
  <c r="C21" i="4"/>
  <c r="C18" i="4"/>
  <c r="C17" i="4"/>
  <c r="C16" i="4"/>
  <c r="C15" i="4"/>
  <c r="C14" i="4"/>
  <c r="C11" i="4"/>
  <c r="C10" i="4"/>
  <c r="F14" i="4"/>
  <c r="F13" i="4"/>
  <c r="F10" i="4"/>
  <c r="F8" i="4"/>
  <c r="F7" i="4"/>
  <c r="F6" i="4"/>
  <c r="E35" i="4"/>
  <c r="E34" i="4"/>
  <c r="E33" i="4"/>
  <c r="E32" i="4"/>
  <c r="E31" i="4"/>
  <c r="E30" i="4"/>
  <c r="E27" i="4"/>
  <c r="E26" i="4"/>
  <c r="E24" i="4"/>
  <c r="E23" i="4"/>
  <c r="E21" i="4"/>
  <c r="E19" i="4"/>
  <c r="E18" i="4"/>
  <c r="E17" i="4"/>
  <c r="E16" i="4"/>
  <c r="E13" i="4"/>
  <c r="E12" i="4"/>
  <c r="E11" i="4"/>
  <c r="E9" i="4"/>
  <c r="E7" i="4"/>
  <c r="E6" i="4"/>
  <c r="E5" i="4"/>
  <c r="D34" i="4"/>
  <c r="D33" i="4"/>
  <c r="D32" i="4"/>
  <c r="D30" i="4"/>
  <c r="D29" i="4"/>
  <c r="D28" i="4"/>
  <c r="D26" i="4"/>
  <c r="D25" i="4"/>
  <c r="D23" i="4"/>
  <c r="D22" i="4"/>
  <c r="D36" i="4" l="1"/>
  <c r="C7" i="3"/>
  <c r="F36" i="4"/>
  <c r="E36" i="4"/>
  <c r="E14" i="3"/>
  <c r="E5" i="3"/>
  <c r="E13" i="3"/>
  <c r="E12" i="3"/>
  <c r="E11" i="3"/>
  <c r="E10" i="3"/>
  <c r="E9" i="3"/>
  <c r="E29" i="3"/>
  <c r="E28" i="3"/>
  <c r="E27" i="3"/>
  <c r="E24" i="3"/>
  <c r="E17" i="3"/>
  <c r="E8" i="3"/>
  <c r="D32" i="3"/>
  <c r="D28" i="3"/>
  <c r="D27" i="3"/>
  <c r="D23" i="3"/>
  <c r="D21" i="3"/>
  <c r="D20" i="3"/>
  <c r="D18" i="3"/>
  <c r="D16" i="3"/>
  <c r="D14" i="3"/>
  <c r="D13" i="3"/>
  <c r="D5" i="3"/>
  <c r="C34" i="3"/>
  <c r="C32" i="3"/>
  <c r="C29" i="3"/>
  <c r="C27" i="3"/>
  <c r="C26" i="3"/>
  <c r="C25" i="3"/>
  <c r="E20" i="3"/>
  <c r="E19" i="3"/>
  <c r="E18" i="3"/>
  <c r="E16" i="3"/>
  <c r="E15" i="3"/>
  <c r="E7" i="3"/>
  <c r="E26" i="3"/>
  <c r="E25" i="3"/>
  <c r="E21" i="3"/>
  <c r="E23" i="3"/>
  <c r="E22" i="3"/>
  <c r="D24" i="3"/>
  <c r="D22" i="3"/>
  <c r="D17" i="3"/>
  <c r="D12" i="3"/>
  <c r="D9" i="3"/>
  <c r="D11" i="3"/>
  <c r="D10" i="3"/>
  <c r="D8" i="3"/>
  <c r="D7" i="3"/>
  <c r="D6" i="3"/>
  <c r="C33" i="3"/>
  <c r="C31" i="3"/>
  <c r="C24" i="3"/>
  <c r="C23" i="3"/>
  <c r="C22" i="3"/>
  <c r="C21" i="3"/>
  <c r="C20" i="3"/>
  <c r="E6" i="3"/>
  <c r="D34" i="3"/>
  <c r="D31" i="3"/>
  <c r="D30" i="3"/>
  <c r="D29" i="3"/>
  <c r="D26" i="3"/>
  <c r="D33" i="3"/>
  <c r="D19" i="3"/>
  <c r="C30" i="3"/>
  <c r="C28" i="3"/>
  <c r="C15" i="3"/>
  <c r="C14" i="3"/>
  <c r="C12" i="3"/>
  <c r="D35" i="3"/>
  <c r="C16" i="3" l="1"/>
  <c r="C10" i="3"/>
  <c r="C11" i="3"/>
  <c r="C9" i="3"/>
  <c r="C8" i="3"/>
  <c r="C6" i="3"/>
  <c r="E36" i="3" l="1"/>
  <c r="D36" i="3"/>
  <c r="C7" i="2"/>
  <c r="B7" i="2"/>
  <c r="C11" i="2"/>
  <c r="C12" i="2" s="1"/>
  <c r="C14" i="2" s="1"/>
  <c r="B12" i="2" l="1"/>
  <c r="B14" i="2" s="1"/>
  <c r="C36" i="3"/>
  <c r="B31" i="1" l="1"/>
  <c r="D31" i="1"/>
  <c r="E47" i="1" s="1"/>
  <c r="E50" i="1" s="1"/>
  <c r="E51" i="1" s="1"/>
  <c r="B9" i="1"/>
  <c r="B5" i="1"/>
  <c r="B10" i="1" s="1"/>
  <c r="B12" i="1" s="1"/>
  <c r="C10" i="1" l="1"/>
  <c r="C12" i="1" s="1"/>
  <c r="C9" i="1"/>
</calcChain>
</file>

<file path=xl/sharedStrings.xml><?xml version="1.0" encoding="utf-8"?>
<sst xmlns="http://schemas.openxmlformats.org/spreadsheetml/2006/main" count="70" uniqueCount="48">
  <si>
    <t>Items</t>
  </si>
  <si>
    <t>Historical</t>
  </si>
  <si>
    <t>Projected</t>
  </si>
  <si>
    <t>Remarks</t>
  </si>
  <si>
    <t>(Monthly)</t>
  </si>
  <si>
    <t>Z) Monthly sales (USD)</t>
  </si>
  <si>
    <t>Up to date, Stock is about USD400K,</t>
  </si>
  <si>
    <t>A)        Debtor turnover (days)</t>
  </si>
  <si>
    <t>A/R is about 100K</t>
  </si>
  <si>
    <t>B)        Stockholding turnover (days)</t>
  </si>
  <si>
    <t>A/P is about 50K</t>
  </si>
  <si>
    <t>C)       Creditor turnover (days)</t>
  </si>
  <si>
    <t>D)       Asset Conversion Cycle = (A + B) – C/30</t>
  </si>
  <si>
    <t>E)        Monthly WC need = (D x Z)</t>
  </si>
  <si>
    <t>Existing + proposed WC lines</t>
  </si>
  <si>
    <t>(Shortfall)/Excess in WC lines</t>
  </si>
  <si>
    <t>Other Bank</t>
  </si>
  <si>
    <t>CIMB</t>
  </si>
  <si>
    <t>Amount</t>
  </si>
  <si>
    <t>Purpose</t>
  </si>
  <si>
    <t>To refinance loan of USD770K from RHBIBL and remaining balance for working capital</t>
  </si>
  <si>
    <t xml:space="preserve">To renovate the showroom located at No. 238A, Mao Tse Tong Blvd., </t>
  </si>
  <si>
    <t>To part finance the construction of a warehouse located at Lot No. 552, Phum Trea, Steung Meanchey,</t>
  </si>
  <si>
    <t>Security Detail</t>
  </si>
  <si>
    <t>P1</t>
  </si>
  <si>
    <t>12060103-0552</t>
  </si>
  <si>
    <t>Installment</t>
  </si>
  <si>
    <t>Processing fee: 0.75%</t>
  </si>
  <si>
    <t>Locked period: 3 % for the first 3 years</t>
  </si>
  <si>
    <t>Borrower</t>
  </si>
  <si>
    <t xml:space="preserve">Mr. </t>
  </si>
  <si>
    <t>BTI</t>
  </si>
  <si>
    <t>Gurrantor</t>
  </si>
  <si>
    <t>OD@8%</t>
  </si>
  <si>
    <t>5-Year TL1@8%</t>
  </si>
  <si>
    <t>5-Year TL2@8%</t>
  </si>
  <si>
    <t>5-Year TL3@8%</t>
  </si>
  <si>
    <t>LC/TR@8%</t>
  </si>
  <si>
    <t>Day/Month</t>
  </si>
  <si>
    <t>Total</t>
  </si>
  <si>
    <t>Wholesale</t>
  </si>
  <si>
    <t>Summary Sale Invoice of Motorbike's spare parts</t>
  </si>
  <si>
    <t>Summary Sale Invoice of Motorcycle</t>
  </si>
  <si>
    <t>Average net income</t>
  </si>
  <si>
    <t>DSR</t>
  </si>
  <si>
    <t>RHBIBL TL: USD400K</t>
  </si>
  <si>
    <t>RHBIBL OD: USD400K</t>
  </si>
  <si>
    <t>Total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</si>
</sst>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3" fontId="1" fillId="0" borderId="1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43" fontId="0" fillId="0" borderId="0" xfId="1" applyFont="1"/>
    <xf numFmtId="0" fontId="0" fillId="0" borderId="0" xfId="0" applyAlignment="1">
      <alignment horizontal="right"/>
    </xf>
    <xf numFmtId="43" fontId="4" fillId="0" borderId="0" xfId="0" applyNumberFormat="1" applyFont="1"/>
    <xf numFmtId="0" fontId="4" fillId="0" borderId="0" xfId="0" applyFont="1"/>
    <xf numFmtId="0" fontId="4" fillId="0" borderId="2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43" fontId="5" fillId="0" borderId="6" xfId="1" applyFont="1" applyBorder="1"/>
    <xf numFmtId="43" fontId="5" fillId="0" borderId="7" xfId="1" applyFont="1" applyBorder="1"/>
    <xf numFmtId="43" fontId="5" fillId="2" borderId="6" xfId="1" applyFont="1" applyFill="1" applyBorder="1"/>
    <xf numFmtId="43" fontId="6" fillId="0" borderId="10" xfId="0" applyNumberFormat="1" applyFont="1" applyBorder="1"/>
    <xf numFmtId="165" fontId="0" fillId="0" borderId="0" xfId="1" applyNumberFormat="1" applyFont="1"/>
    <xf numFmtId="43" fontId="0" fillId="0" borderId="0" xfId="1" applyFont="1" applyAlignment="1">
      <alignment horizontal="center"/>
    </xf>
    <xf numFmtId="49" fontId="0" fillId="0" borderId="0" xfId="1" applyNumberFormat="1" applyFont="1" applyAlignment="1">
      <alignment horizontal="center"/>
    </xf>
    <xf numFmtId="0" fontId="6" fillId="0" borderId="8" xfId="0" applyFont="1" applyBorder="1" applyAlignment="1">
      <alignment horizontal="center" vertical="center"/>
    </xf>
    <xf numFmtId="43" fontId="6" fillId="0" borderId="9" xfId="0" applyNumberFormat="1" applyFont="1" applyBorder="1"/>
    <xf numFmtId="43" fontId="5" fillId="0" borderId="11" xfId="1" applyFont="1" applyBorder="1"/>
    <xf numFmtId="43" fontId="5" fillId="0" borderId="7" xfId="1" applyFont="1" applyFill="1" applyBorder="1"/>
    <xf numFmtId="43" fontId="5" fillId="0" borderId="6" xfId="1" applyFont="1" applyFill="1" applyBorder="1"/>
    <xf numFmtId="165" fontId="5" fillId="0" borderId="12" xfId="1" applyNumberFormat="1" applyFont="1" applyBorder="1" applyAlignment="1">
      <alignment horizontal="center" vertical="center"/>
    </xf>
    <xf numFmtId="165" fontId="6" fillId="0" borderId="13" xfId="1" applyNumberFormat="1" applyFont="1" applyBorder="1" applyAlignment="1">
      <alignment horizontal="center" vertical="center"/>
    </xf>
    <xf numFmtId="165" fontId="6" fillId="0" borderId="9" xfId="1" applyNumberFormat="1" applyFont="1" applyBorder="1"/>
    <xf numFmtId="43" fontId="0" fillId="0" borderId="0" xfId="0" applyNumberFormat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4" fillId="0" borderId="0" xfId="0" applyFont="1" applyAlignment="1">
      <alignment horizontal="right"/>
    </xf>
    <xf numFmtId="43" fontId="4" fillId="0" borderId="0" xfId="1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24" workbookViewId="0">
      <selection activeCell="D51" sqref="D51"/>
    </sheetView>
  </sheetViews>
  <sheetFormatPr defaultRowHeight="15" x14ac:dyDescent="0.25"/>
  <cols>
    <col min="1" max="1" width="16.7109375" customWidth="1"/>
    <col min="2" max="2" width="15.5703125" customWidth="1"/>
    <col min="3" max="3" width="36.5703125" customWidth="1"/>
    <col min="4" max="4" width="30.28515625" customWidth="1"/>
    <col min="5" max="5" width="20.5703125" customWidth="1"/>
  </cols>
  <sheetData>
    <row r="1" spans="1:4" hidden="1" x14ac:dyDescent="0.25"/>
    <row r="2" spans="1:4" hidden="1" x14ac:dyDescent="0.25">
      <c r="A2" s="37" t="s">
        <v>0</v>
      </c>
      <c r="B2" s="1" t="s">
        <v>1</v>
      </c>
      <c r="C2" s="1" t="s">
        <v>2</v>
      </c>
      <c r="D2" s="37" t="s">
        <v>3</v>
      </c>
    </row>
    <row r="3" spans="1:4" hidden="1" x14ac:dyDescent="0.25">
      <c r="A3" s="37"/>
      <c r="B3" s="1">
        <v>2016</v>
      </c>
      <c r="C3" s="1">
        <v>2017</v>
      </c>
      <c r="D3" s="37"/>
    </row>
    <row r="4" spans="1:4" hidden="1" x14ac:dyDescent="0.25">
      <c r="A4" s="37"/>
      <c r="B4" s="1" t="s">
        <v>4</v>
      </c>
      <c r="C4" s="1" t="s">
        <v>4</v>
      </c>
      <c r="D4" s="37"/>
    </row>
    <row r="5" spans="1:4" ht="21.75" hidden="1" customHeight="1" x14ac:dyDescent="0.25">
      <c r="A5" s="2" t="s">
        <v>5</v>
      </c>
      <c r="B5" s="3">
        <f>1839080.16/3</f>
        <v>613026.72</v>
      </c>
      <c r="C5" s="3"/>
      <c r="D5" s="2" t="s">
        <v>6</v>
      </c>
    </row>
    <row r="6" spans="1:4" ht="21.75" hidden="1" customHeight="1" x14ac:dyDescent="0.25">
      <c r="A6" s="2" t="s">
        <v>7</v>
      </c>
      <c r="B6" s="1">
        <v>30</v>
      </c>
      <c r="C6" s="1">
        <v>15</v>
      </c>
      <c r="D6" s="2" t="s">
        <v>8</v>
      </c>
    </row>
    <row r="7" spans="1:4" ht="21.75" hidden="1" customHeight="1" x14ac:dyDescent="0.25">
      <c r="A7" s="2" t="s">
        <v>9</v>
      </c>
      <c r="B7" s="1">
        <v>45</v>
      </c>
      <c r="C7" s="1">
        <v>40</v>
      </c>
      <c r="D7" s="2" t="s">
        <v>10</v>
      </c>
    </row>
    <row r="8" spans="1:4" ht="21.75" hidden="1" customHeight="1" x14ac:dyDescent="0.25">
      <c r="A8" s="2" t="s">
        <v>11</v>
      </c>
      <c r="B8" s="1">
        <v>15</v>
      </c>
      <c r="C8" s="1">
        <v>5</v>
      </c>
      <c r="D8" s="1"/>
    </row>
    <row r="9" spans="1:4" ht="21.75" hidden="1" customHeight="1" x14ac:dyDescent="0.25">
      <c r="A9" s="2" t="s">
        <v>12</v>
      </c>
      <c r="B9" s="5">
        <f>((B6+B7)-B8)/30</f>
        <v>2</v>
      </c>
      <c r="C9" s="5">
        <f>((C6+C7)-C8)/30</f>
        <v>1.6666666666666667</v>
      </c>
      <c r="D9" s="1"/>
    </row>
    <row r="10" spans="1:4" ht="21.75" hidden="1" customHeight="1" x14ac:dyDescent="0.25">
      <c r="A10" s="2" t="s">
        <v>13</v>
      </c>
      <c r="B10" s="3">
        <f>B5*B9</f>
        <v>1226053.44</v>
      </c>
      <c r="C10" s="3">
        <f>C5*C9</f>
        <v>0</v>
      </c>
      <c r="D10" s="1"/>
    </row>
    <row r="11" spans="1:4" ht="21.75" hidden="1" customHeight="1" x14ac:dyDescent="0.25">
      <c r="A11" s="2" t="s">
        <v>14</v>
      </c>
      <c r="B11" s="4">
        <v>1000000</v>
      </c>
      <c r="C11" s="4">
        <v>150001</v>
      </c>
      <c r="D11" s="1"/>
    </row>
    <row r="12" spans="1:4" ht="21.75" hidden="1" customHeight="1" x14ac:dyDescent="0.25">
      <c r="A12" s="2" t="s">
        <v>15</v>
      </c>
      <c r="B12" s="4">
        <f>B11-B10</f>
        <v>-226053.43999999994</v>
      </c>
      <c r="C12" s="4">
        <f>C11-C10</f>
        <v>150001</v>
      </c>
      <c r="D12" s="1"/>
    </row>
    <row r="13" spans="1:4" hidden="1" x14ac:dyDescent="0.25"/>
    <row r="14" spans="1:4" hidden="1" x14ac:dyDescent="0.25"/>
    <row r="15" spans="1:4" hidden="1" x14ac:dyDescent="0.25">
      <c r="A15" s="6" t="s">
        <v>16</v>
      </c>
      <c r="B15" t="s">
        <v>27</v>
      </c>
      <c r="C15" t="s">
        <v>28</v>
      </c>
    </row>
    <row r="16" spans="1:4" hidden="1" x14ac:dyDescent="0.25">
      <c r="A16" s="6"/>
    </row>
    <row r="17" spans="1:5" hidden="1" x14ac:dyDescent="0.25">
      <c r="A17" s="6" t="s">
        <v>29</v>
      </c>
      <c r="B17" t="s">
        <v>31</v>
      </c>
    </row>
    <row r="18" spans="1:5" hidden="1" x14ac:dyDescent="0.25">
      <c r="A18" s="6" t="s">
        <v>32</v>
      </c>
      <c r="B18" t="s">
        <v>30</v>
      </c>
    </row>
    <row r="19" spans="1:5" hidden="1" x14ac:dyDescent="0.25">
      <c r="A19" s="6"/>
    </row>
    <row r="20" spans="1:5" hidden="1" x14ac:dyDescent="0.25">
      <c r="A20" s="6"/>
    </row>
    <row r="21" spans="1:5" hidden="1" x14ac:dyDescent="0.25">
      <c r="A21" s="6"/>
    </row>
    <row r="22" spans="1:5" hidden="1" x14ac:dyDescent="0.25">
      <c r="A22" s="6"/>
    </row>
    <row r="23" spans="1:5" hidden="1" x14ac:dyDescent="0.25">
      <c r="A23" s="6"/>
    </row>
    <row r="24" spans="1:5" x14ac:dyDescent="0.25">
      <c r="A24" s="6"/>
    </row>
    <row r="25" spans="1:5" x14ac:dyDescent="0.25">
      <c r="A25" s="7" t="s">
        <v>17</v>
      </c>
      <c r="B25" s="8" t="s">
        <v>18</v>
      </c>
      <c r="C25" s="8" t="s">
        <v>19</v>
      </c>
      <c r="D25" t="s">
        <v>26</v>
      </c>
      <c r="E25" t="s">
        <v>43</v>
      </c>
    </row>
    <row r="26" spans="1:5" ht="15" customHeight="1" x14ac:dyDescent="0.25">
      <c r="A26" s="7" t="s">
        <v>34</v>
      </c>
      <c r="B26" s="9">
        <v>500000</v>
      </c>
      <c r="C26" s="38" t="s">
        <v>20</v>
      </c>
      <c r="D26" s="9">
        <v>10139</v>
      </c>
    </row>
    <row r="27" spans="1:5" x14ac:dyDescent="0.25">
      <c r="A27" s="10" t="s">
        <v>33</v>
      </c>
      <c r="B27" s="9">
        <v>300000</v>
      </c>
      <c r="C27" s="38"/>
      <c r="D27" s="9"/>
    </row>
    <row r="28" spans="1:5" x14ac:dyDescent="0.25">
      <c r="A28" s="10" t="s">
        <v>37</v>
      </c>
      <c r="B28" s="9">
        <v>300000</v>
      </c>
      <c r="C28" s="38"/>
      <c r="D28" s="9"/>
    </row>
    <row r="29" spans="1:5" x14ac:dyDescent="0.25">
      <c r="A29" s="7" t="s">
        <v>35</v>
      </c>
      <c r="B29" s="9">
        <v>150000</v>
      </c>
      <c r="C29" t="s">
        <v>21</v>
      </c>
      <c r="D29" s="9">
        <v>3042</v>
      </c>
    </row>
    <row r="30" spans="1:5" x14ac:dyDescent="0.25">
      <c r="A30" s="7" t="s">
        <v>36</v>
      </c>
      <c r="B30" s="9">
        <v>450000</v>
      </c>
      <c r="C30" t="s">
        <v>22</v>
      </c>
      <c r="D30" s="9">
        <v>9125</v>
      </c>
    </row>
    <row r="31" spans="1:5" x14ac:dyDescent="0.25">
      <c r="B31" s="11">
        <f>SUM(B26:B30)</f>
        <v>1700000</v>
      </c>
      <c r="C31" s="12"/>
      <c r="D31" s="11">
        <f>SUM(D26:D30)</f>
        <v>22306</v>
      </c>
      <c r="E31" s="9">
        <f>418585.77/12</f>
        <v>34882.147499999999</v>
      </c>
    </row>
    <row r="33" spans="1:5" hidden="1" x14ac:dyDescent="0.25"/>
    <row r="34" spans="1:5" hidden="1" x14ac:dyDescent="0.25"/>
    <row r="35" spans="1:5" hidden="1" x14ac:dyDescent="0.25"/>
    <row r="36" spans="1:5" hidden="1" x14ac:dyDescent="0.25"/>
    <row r="37" spans="1:5" hidden="1" x14ac:dyDescent="0.25"/>
    <row r="38" spans="1:5" hidden="1" x14ac:dyDescent="0.25"/>
    <row r="39" spans="1:5" hidden="1" x14ac:dyDescent="0.25"/>
    <row r="40" spans="1:5" hidden="1" x14ac:dyDescent="0.25"/>
    <row r="41" spans="1:5" hidden="1" x14ac:dyDescent="0.25"/>
    <row r="42" spans="1:5" hidden="1" x14ac:dyDescent="0.25">
      <c r="A42" t="s">
        <v>23</v>
      </c>
    </row>
    <row r="43" spans="1:5" hidden="1" x14ac:dyDescent="0.25">
      <c r="A43" s="10" t="s">
        <v>24</v>
      </c>
      <c r="B43" t="s">
        <v>25</v>
      </c>
    </row>
    <row r="44" spans="1:5" hidden="1" x14ac:dyDescent="0.25">
      <c r="A44" s="10"/>
      <c r="B44">
        <v>2024</v>
      </c>
    </row>
    <row r="45" spans="1:5" hidden="1" x14ac:dyDescent="0.25">
      <c r="A45" s="10"/>
    </row>
    <row r="46" spans="1:5" hidden="1" x14ac:dyDescent="0.25">
      <c r="A46" s="10"/>
    </row>
    <row r="47" spans="1:5" x14ac:dyDescent="0.25">
      <c r="A47" s="10"/>
      <c r="D47" s="10" t="s">
        <v>17</v>
      </c>
      <c r="E47" s="32">
        <f>D31</f>
        <v>22306</v>
      </c>
    </row>
    <row r="48" spans="1:5" x14ac:dyDescent="0.25">
      <c r="D48" s="10" t="s">
        <v>45</v>
      </c>
      <c r="E48" s="9">
        <v>4853.1000000000004</v>
      </c>
    </row>
    <row r="49" spans="4:5" x14ac:dyDescent="0.25">
      <c r="D49" s="10" t="s">
        <v>46</v>
      </c>
      <c r="E49" s="9">
        <v>2666.66</v>
      </c>
    </row>
    <row r="50" spans="4:5" x14ac:dyDescent="0.25">
      <c r="D50" s="35" t="s">
        <v>47</v>
      </c>
      <c r="E50" s="36">
        <f>SUM(E47:E49)</f>
        <v>29825.759999999998</v>
      </c>
    </row>
    <row r="51" spans="4:5" x14ac:dyDescent="0.25">
      <c r="D51" s="33" t="s">
        <v>44</v>
      </c>
      <c r="E51" s="34">
        <f>E31/E50</f>
        <v>1.1695308853823005</v>
      </c>
    </row>
  </sheetData>
  <mergeCells count="3">
    <mergeCell ref="A2:A4"/>
    <mergeCell ref="D2:D4"/>
    <mergeCell ref="C26:C2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workbookViewId="0">
      <selection activeCell="B13" sqref="B13"/>
    </sheetView>
  </sheetViews>
  <sheetFormatPr defaultRowHeight="15" x14ac:dyDescent="0.25"/>
  <cols>
    <col min="1" max="1" width="43.28515625" customWidth="1"/>
    <col min="2" max="3" width="16.7109375" customWidth="1"/>
  </cols>
  <sheetData>
    <row r="4" spans="1:4" x14ac:dyDescent="0.25">
      <c r="A4" s="9" t="s">
        <v>0</v>
      </c>
      <c r="B4" s="22" t="s">
        <v>1</v>
      </c>
      <c r="C4" s="22" t="s">
        <v>2</v>
      </c>
      <c r="D4" s="9" t="s">
        <v>3</v>
      </c>
    </row>
    <row r="5" spans="1:4" x14ac:dyDescent="0.25">
      <c r="A5" s="9"/>
      <c r="B5" s="23">
        <v>2016</v>
      </c>
      <c r="C5" s="23">
        <v>2017</v>
      </c>
      <c r="D5" s="9"/>
    </row>
    <row r="6" spans="1:4" x14ac:dyDescent="0.25">
      <c r="A6" s="9"/>
      <c r="B6" s="22" t="s">
        <v>4</v>
      </c>
      <c r="C6" s="22" t="s">
        <v>4</v>
      </c>
      <c r="D6" s="9"/>
    </row>
    <row r="7" spans="1:4" x14ac:dyDescent="0.25">
      <c r="A7" s="9" t="s">
        <v>5</v>
      </c>
      <c r="B7" s="21">
        <f>3499485.61/12</f>
        <v>291623.80083333334</v>
      </c>
      <c r="C7" s="21">
        <f>B7*1.05</f>
        <v>306204.99087500002</v>
      </c>
      <c r="D7" s="9" t="s">
        <v>6</v>
      </c>
    </row>
    <row r="8" spans="1:4" x14ac:dyDescent="0.25">
      <c r="A8" s="9" t="s">
        <v>7</v>
      </c>
      <c r="B8" s="21">
        <v>90</v>
      </c>
      <c r="C8" s="21">
        <v>90</v>
      </c>
      <c r="D8" s="9" t="s">
        <v>8</v>
      </c>
    </row>
    <row r="9" spans="1:4" x14ac:dyDescent="0.25">
      <c r="A9" s="9" t="s">
        <v>9</v>
      </c>
      <c r="B9" s="21">
        <v>45</v>
      </c>
      <c r="C9" s="21">
        <v>45</v>
      </c>
      <c r="D9" s="9" t="s">
        <v>10</v>
      </c>
    </row>
    <row r="10" spans="1:4" x14ac:dyDescent="0.25">
      <c r="A10" s="9" t="s">
        <v>11</v>
      </c>
      <c r="B10" s="21">
        <v>15</v>
      </c>
      <c r="C10" s="21">
        <v>7</v>
      </c>
      <c r="D10" s="9"/>
    </row>
    <row r="11" spans="1:4" x14ac:dyDescent="0.25">
      <c r="A11" s="9" t="s">
        <v>12</v>
      </c>
      <c r="B11" s="21">
        <f>((B8+B9)-B10)/30</f>
        <v>4</v>
      </c>
      <c r="C11" s="21">
        <f>((C8+C9)-C10)/30</f>
        <v>4.2666666666666666</v>
      </c>
      <c r="D11" s="9"/>
    </row>
    <row r="12" spans="1:4" x14ac:dyDescent="0.25">
      <c r="A12" s="9" t="s">
        <v>13</v>
      </c>
      <c r="B12" s="21">
        <f>B11*B7</f>
        <v>1166495.2033333334</v>
      </c>
      <c r="C12" s="21">
        <f>C11*C7</f>
        <v>1306474.6277333335</v>
      </c>
      <c r="D12" s="9"/>
    </row>
    <row r="13" spans="1:4" x14ac:dyDescent="0.25">
      <c r="A13" s="9" t="s">
        <v>14</v>
      </c>
      <c r="B13" s="21">
        <f>330000+800000</f>
        <v>1130000</v>
      </c>
      <c r="C13" s="21">
        <f>330000+800000</f>
        <v>1130000</v>
      </c>
      <c r="D13" s="9"/>
    </row>
    <row r="14" spans="1:4" x14ac:dyDescent="0.25">
      <c r="A14" s="9" t="s">
        <v>15</v>
      </c>
      <c r="B14" s="21">
        <f>B13-B12</f>
        <v>-36495.203333333367</v>
      </c>
      <c r="C14" s="21">
        <f>C13-C12</f>
        <v>-176474.6277333335</v>
      </c>
      <c r="D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"/>
  <sheetViews>
    <sheetView topLeftCell="A7" workbookViewId="0">
      <selection activeCell="D40" sqref="D40"/>
    </sheetView>
  </sheetViews>
  <sheetFormatPr defaultRowHeight="15" x14ac:dyDescent="0.25"/>
  <cols>
    <col min="2" max="2" width="15.85546875" customWidth="1"/>
    <col min="3" max="5" width="20.28515625" customWidth="1"/>
  </cols>
  <sheetData>
    <row r="1" spans="2:5" x14ac:dyDescent="0.25">
      <c r="B1" s="12" t="s">
        <v>41</v>
      </c>
    </row>
    <row r="2" spans="2:5" x14ac:dyDescent="0.25">
      <c r="B2" s="12" t="s">
        <v>40</v>
      </c>
    </row>
    <row r="4" spans="2:5" x14ac:dyDescent="0.25">
      <c r="B4" s="13" t="s">
        <v>38</v>
      </c>
      <c r="C4" s="14">
        <v>42675</v>
      </c>
      <c r="D4" s="14">
        <v>43085</v>
      </c>
      <c r="E4" s="15">
        <v>42736</v>
      </c>
    </row>
    <row r="5" spans="2:5" x14ac:dyDescent="0.25">
      <c r="B5" s="16">
        <v>1</v>
      </c>
      <c r="C5" s="17"/>
      <c r="D5" s="17">
        <f>880+770+600+40+1150</f>
        <v>3440</v>
      </c>
      <c r="E5" s="18">
        <f>55+550+275+105+71.5</f>
        <v>1056.5</v>
      </c>
    </row>
    <row r="6" spans="2:5" x14ac:dyDescent="0.25">
      <c r="B6" s="16">
        <v>2</v>
      </c>
      <c r="C6" s="17">
        <f>880+1650+770+660</f>
        <v>3960</v>
      </c>
      <c r="D6" s="17">
        <f>440+1100+550+990+43.8+414+72</f>
        <v>3609.8</v>
      </c>
      <c r="E6" s="26">
        <f>50+75+475.5+60+2000+200</f>
        <v>2860.5</v>
      </c>
    </row>
    <row r="7" spans="2:5" x14ac:dyDescent="0.25">
      <c r="B7" s="16">
        <v>3</v>
      </c>
      <c r="C7" s="17">
        <f>880+400</f>
        <v>1280</v>
      </c>
      <c r="D7" s="17">
        <f>800+42.3</f>
        <v>842.3</v>
      </c>
      <c r="E7" s="26">
        <f>410+279+1028+5245+5200+1370+5245+1330+2100+1230+122.5+122+115+110+227+411+147+40.5</f>
        <v>24732</v>
      </c>
    </row>
    <row r="8" spans="2:5" x14ac:dyDescent="0.25">
      <c r="B8" s="16">
        <v>4</v>
      </c>
      <c r="C8" s="17">
        <f>990+1100</f>
        <v>2090</v>
      </c>
      <c r="D8" s="17">
        <f>494</f>
        <v>494</v>
      </c>
      <c r="E8" s="26">
        <f>367.5+409+405+122.5+20.79+405</f>
        <v>1729.79</v>
      </c>
    </row>
    <row r="9" spans="2:5" x14ac:dyDescent="0.25">
      <c r="B9" s="16">
        <v>5</v>
      </c>
      <c r="C9" s="17">
        <f>550+990</f>
        <v>1540</v>
      </c>
      <c r="D9" s="17">
        <f>330+440+440+600+800+40.4+14</f>
        <v>2664.4</v>
      </c>
      <c r="E9" s="26">
        <f>83+205.52+176.5+409+411+127.5+21.9+55+514+95.5+115</f>
        <v>2213.92</v>
      </c>
    </row>
    <row r="10" spans="2:5" x14ac:dyDescent="0.25">
      <c r="B10" s="16">
        <v>6</v>
      </c>
      <c r="C10" s="17">
        <f>550</f>
        <v>550</v>
      </c>
      <c r="D10" s="17">
        <f>880+1469+41.4+255+29.2</f>
        <v>2674.6</v>
      </c>
      <c r="E10" s="26">
        <f>59.5+255+85+42.1+85+20+82+537+270+439.5+144+388+455</f>
        <v>2862.1</v>
      </c>
    </row>
    <row r="11" spans="2:5" x14ac:dyDescent="0.25">
      <c r="B11" s="16">
        <v>7</v>
      </c>
      <c r="C11" s="17">
        <f>660+330+880</f>
        <v>1870</v>
      </c>
      <c r="D11" s="17">
        <f>1100+440+600+400</f>
        <v>2540</v>
      </c>
      <c r="E11" s="26">
        <f>379.2+1782+594+392+90+41+96+146+110+25+405+125</f>
        <v>4185.2</v>
      </c>
    </row>
    <row r="12" spans="2:5" x14ac:dyDescent="0.25">
      <c r="B12" s="16">
        <v>8</v>
      </c>
      <c r="C12" s="17">
        <f>440+1650+400+1600</f>
        <v>4090</v>
      </c>
      <c r="D12" s="17">
        <f>1100+800+73+119+43.8</f>
        <v>2135.8000000000002</v>
      </c>
      <c r="E12" s="26">
        <f>71.1+820+115+415+410+417+329+82+123.5+41.5+228+164</f>
        <v>3216.1</v>
      </c>
    </row>
    <row r="13" spans="2:5" x14ac:dyDescent="0.25">
      <c r="B13" s="16">
        <v>9</v>
      </c>
      <c r="C13" s="17"/>
      <c r="D13" s="17">
        <f>770+990+600+170+2400+1200+3300+2200+1150</f>
        <v>12780</v>
      </c>
      <c r="E13" s="26">
        <f>42.5+41.4+93.5+820+476+162+125+70+388+178+60+1611+412+82+151+41.5</f>
        <v>4753.8999999999996</v>
      </c>
    </row>
    <row r="14" spans="2:5" x14ac:dyDescent="0.25">
      <c r="B14" s="16">
        <v>10</v>
      </c>
      <c r="C14" s="17">
        <f>660+440+2200+1400</f>
        <v>4700</v>
      </c>
      <c r="D14" s="17">
        <f>3300+1000</f>
        <v>4300</v>
      </c>
      <c r="E14" s="26">
        <f>122.5+41.5+12.5+70+410</f>
        <v>656.5</v>
      </c>
    </row>
    <row r="15" spans="2:5" x14ac:dyDescent="0.25">
      <c r="B15" s="16">
        <v>11</v>
      </c>
      <c r="C15" s="17">
        <f>770+1600+2200+1600</f>
        <v>6170</v>
      </c>
      <c r="D15" s="17"/>
      <c r="E15" s="26">
        <f>200+70+411+411</f>
        <v>1092</v>
      </c>
    </row>
    <row r="16" spans="2:5" x14ac:dyDescent="0.25">
      <c r="B16" s="16">
        <v>12</v>
      </c>
      <c r="C16" s="17">
        <f>440+440+1100+1100+880+550</f>
        <v>4510</v>
      </c>
      <c r="D16" s="17">
        <f>440+1100+660+1000+1200+3300+3300</f>
        <v>11000</v>
      </c>
      <c r="E16" s="26">
        <f>175+175+83+94.5+55</f>
        <v>582.5</v>
      </c>
    </row>
    <row r="17" spans="2:5" x14ac:dyDescent="0.25">
      <c r="B17" s="16">
        <v>13</v>
      </c>
      <c r="C17" s="17"/>
      <c r="D17" s="17">
        <f>990+990+85</f>
        <v>2065</v>
      </c>
      <c r="E17" s="26">
        <f>81+55+125+40.5+83+405+682+108+41.5+41.5+50+220+60+200+90+405</f>
        <v>2687.5</v>
      </c>
    </row>
    <row r="18" spans="2:5" x14ac:dyDescent="0.25">
      <c r="B18" s="16">
        <v>14</v>
      </c>
      <c r="C18" s="17"/>
      <c r="D18" s="17">
        <f>880+140</f>
        <v>1020</v>
      </c>
      <c r="E18" s="26">
        <f>229.1+245+82+25+220+463+405+625</f>
        <v>2294.1</v>
      </c>
    </row>
    <row r="19" spans="2:5" x14ac:dyDescent="0.25">
      <c r="B19" s="16">
        <v>15</v>
      </c>
      <c r="C19" s="17"/>
      <c r="D19" s="17">
        <f>990+1100+1000</f>
        <v>3090</v>
      </c>
      <c r="E19" s="26">
        <f>170+87.6+48.3+164+183+105+424.25+82.5+137+405+55+60</f>
        <v>1921.65</v>
      </c>
    </row>
    <row r="20" spans="2:5" x14ac:dyDescent="0.25">
      <c r="B20" s="16">
        <v>16</v>
      </c>
      <c r="C20" s="17">
        <f>440+1650+660+550+43.8</f>
        <v>3343.8</v>
      </c>
      <c r="D20" s="17">
        <f>1200+255+6.9+233.6+40</f>
        <v>1735.5</v>
      </c>
      <c r="E20" s="26">
        <f>73+170+246+800+85+405+690+225+164+378+408+240+120+40+1200+400+810+410+83+191</f>
        <v>7138</v>
      </c>
    </row>
    <row r="21" spans="2:5" x14ac:dyDescent="0.25">
      <c r="B21" s="16">
        <v>17</v>
      </c>
      <c r="C21" s="17">
        <f>1600+1600+13.8+36+255</f>
        <v>3504.8</v>
      </c>
      <c r="D21" s="17">
        <f>800+14.6+170+170</f>
        <v>1154.5999999999999</v>
      </c>
      <c r="E21" s="26">
        <f>3300</f>
        <v>3300</v>
      </c>
    </row>
    <row r="22" spans="2:5" x14ac:dyDescent="0.25">
      <c r="B22" s="16">
        <v>18</v>
      </c>
      <c r="C22" s="17">
        <f>880+880+990+2000+146</f>
        <v>4896</v>
      </c>
      <c r="D22" s="17">
        <f>128+7.3</f>
        <v>135.30000000000001</v>
      </c>
      <c r="E22" s="26">
        <f>605+55+40.5+83+495+810</f>
        <v>2088.5</v>
      </c>
    </row>
    <row r="23" spans="2:5" x14ac:dyDescent="0.25">
      <c r="B23" s="16">
        <v>19</v>
      </c>
      <c r="C23" s="17">
        <f>880+1650+2000+6.9</f>
        <v>4536.8999999999996</v>
      </c>
      <c r="D23" s="17">
        <f>800+136+3900+34+255+43.8+200+1760</f>
        <v>7128.8</v>
      </c>
      <c r="E23" s="26">
        <f>170+400+410+22+127.5+410+60+409</f>
        <v>2008.5</v>
      </c>
    </row>
    <row r="24" spans="2:5" x14ac:dyDescent="0.25">
      <c r="B24" s="16">
        <v>20</v>
      </c>
      <c r="C24" s="17">
        <f>1650+43.8</f>
        <v>1693.8</v>
      </c>
      <c r="D24" s="26">
        <f>1650+800+14.6+51+69.8+14.6+144</f>
        <v>2744</v>
      </c>
      <c r="E24" s="26">
        <f>170+6.9+30+82+810+60+132+48+48+48+411+25+240+152.5+82+410+163+410+3300+409+4400+3300+3300</f>
        <v>18037.400000000001</v>
      </c>
    </row>
    <row r="25" spans="2:5" x14ac:dyDescent="0.25">
      <c r="B25" s="16">
        <v>21</v>
      </c>
      <c r="C25" s="17">
        <f>990+1100+2400+2000+229.5+1150</f>
        <v>7869.5</v>
      </c>
      <c r="D25" s="17"/>
      <c r="E25" s="26">
        <f>15.8+202.5+41.5+415</f>
        <v>674.8</v>
      </c>
    </row>
    <row r="26" spans="2:5" x14ac:dyDescent="0.25">
      <c r="B26" s="16">
        <v>22</v>
      </c>
      <c r="C26" s="17">
        <f>2000+1150+1000+78</f>
        <v>4228</v>
      </c>
      <c r="D26" s="26">
        <f>990+600+85+400+85+170</f>
        <v>2330</v>
      </c>
      <c r="E26" s="26">
        <f>878+40+108+410+810+168</f>
        <v>2414</v>
      </c>
    </row>
    <row r="27" spans="2:5" x14ac:dyDescent="0.25">
      <c r="B27" s="16">
        <v>23</v>
      </c>
      <c r="C27" s="17">
        <f>550+2400+144</f>
        <v>3094</v>
      </c>
      <c r="D27" s="26">
        <f>1650+880+600+200</f>
        <v>3330</v>
      </c>
      <c r="E27" s="26">
        <f>83+202.5+262+81+405+202.5+40.5+88.5+6450</f>
        <v>7815</v>
      </c>
    </row>
    <row r="28" spans="2:5" x14ac:dyDescent="0.25">
      <c r="B28" s="16">
        <v>24</v>
      </c>
      <c r="C28" s="17">
        <f>1650+440+440+2000+1600</f>
        <v>6130</v>
      </c>
      <c r="D28" s="26">
        <f>1100+1100+400</f>
        <v>2600</v>
      </c>
      <c r="E28" s="26">
        <f>110+204.5+40.5+6450+83+83</f>
        <v>6971</v>
      </c>
    </row>
    <row r="29" spans="2:5" x14ac:dyDescent="0.25">
      <c r="B29" s="16">
        <v>25</v>
      </c>
      <c r="C29" s="17">
        <f>1100+440+2400+1600+127.5+36+40.5</f>
        <v>5744</v>
      </c>
      <c r="D29" s="26">
        <f>800+800</f>
        <v>1600</v>
      </c>
      <c r="E29" s="26">
        <f>102+41</f>
        <v>143</v>
      </c>
    </row>
    <row r="30" spans="2:5" x14ac:dyDescent="0.25">
      <c r="B30" s="16">
        <v>26</v>
      </c>
      <c r="C30" s="17">
        <f>1610+550+440+1100+2000+2000+2000</f>
        <v>9700</v>
      </c>
      <c r="D30" s="26">
        <f>1100+800+6.9+110.5</f>
        <v>2017.4</v>
      </c>
      <c r="E30" s="26"/>
    </row>
    <row r="31" spans="2:5" x14ac:dyDescent="0.25">
      <c r="B31" s="16">
        <v>27</v>
      </c>
      <c r="C31" s="17">
        <f>146</f>
        <v>146</v>
      </c>
      <c r="D31" s="17">
        <f>34</f>
        <v>34</v>
      </c>
      <c r="E31" s="26"/>
    </row>
    <row r="32" spans="2:5" x14ac:dyDescent="0.25">
      <c r="B32" s="16">
        <v>28</v>
      </c>
      <c r="C32" s="17">
        <f>880+550+1100+1600+1000+101.25</f>
        <v>5231.25</v>
      </c>
      <c r="D32" s="17">
        <f>1356.5+550+550+550+1200+800+410+140</f>
        <v>5556.5</v>
      </c>
      <c r="E32" s="26"/>
    </row>
    <row r="33" spans="2:5" x14ac:dyDescent="0.25">
      <c r="B33" s="16">
        <v>29</v>
      </c>
      <c r="C33" s="17">
        <f>550+330+330+160+440+2000+1600+1600+164</f>
        <v>7174</v>
      </c>
      <c r="D33" s="17">
        <f>449+411+220.5+250+296+349+250+1100+1200</f>
        <v>4525.5</v>
      </c>
      <c r="E33" s="26"/>
    </row>
    <row r="34" spans="2:5" x14ac:dyDescent="0.25">
      <c r="B34" s="16">
        <v>30</v>
      </c>
      <c r="C34" s="17">
        <f>330+1100+330+330+2000+800+40+69+12+190</f>
        <v>5201</v>
      </c>
      <c r="D34" s="17">
        <f>275+770+330+660+660+660+800+1600+800</f>
        <v>6555</v>
      </c>
      <c r="E34" s="26"/>
    </row>
    <row r="35" spans="2:5" x14ac:dyDescent="0.25">
      <c r="B35" s="16">
        <v>31</v>
      </c>
      <c r="C35" s="19"/>
      <c r="D35" s="28">
        <f>275+250+125+25+414+405+409+856+220+440+770+1100</f>
        <v>5289</v>
      </c>
      <c r="E35" s="27"/>
    </row>
    <row r="36" spans="2:5" x14ac:dyDescent="0.25">
      <c r="B36" s="24" t="s">
        <v>39</v>
      </c>
      <c r="C36" s="25">
        <f t="shared" ref="C36:D36" si="0">SUM(C5:C35)</f>
        <v>103253.05000000002</v>
      </c>
      <c r="D36" s="25">
        <f t="shared" si="0"/>
        <v>99391.5</v>
      </c>
      <c r="E36" s="20">
        <f t="shared" ref="E36" si="1">SUM(E5:E35)</f>
        <v>107434.46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topLeftCell="A16" workbookViewId="0">
      <selection activeCell="J36" sqref="J36"/>
    </sheetView>
  </sheetViews>
  <sheetFormatPr defaultRowHeight="15" x14ac:dyDescent="0.25"/>
  <cols>
    <col min="2" max="2" width="15.85546875" customWidth="1"/>
    <col min="3" max="3" width="16.7109375" customWidth="1"/>
    <col min="4" max="6" width="20.28515625" customWidth="1"/>
  </cols>
  <sheetData>
    <row r="1" spans="2:6" x14ac:dyDescent="0.25">
      <c r="B1" s="12" t="s">
        <v>42</v>
      </c>
      <c r="C1" s="12"/>
    </row>
    <row r="2" spans="2:6" x14ac:dyDescent="0.25">
      <c r="B2" s="12" t="s">
        <v>40</v>
      </c>
      <c r="C2" s="12"/>
    </row>
    <row r="4" spans="2:6" x14ac:dyDescent="0.25">
      <c r="B4" s="13" t="s">
        <v>38</v>
      </c>
      <c r="C4" s="14">
        <v>42644</v>
      </c>
      <c r="D4" s="14">
        <v>42675</v>
      </c>
      <c r="E4" s="14">
        <v>43085</v>
      </c>
      <c r="F4" s="15">
        <v>42736</v>
      </c>
    </row>
    <row r="5" spans="2:6" x14ac:dyDescent="0.25">
      <c r="B5" s="16">
        <v>1</v>
      </c>
      <c r="C5" s="29"/>
      <c r="D5" s="17">
        <f>2300+2300+2300</f>
        <v>6900</v>
      </c>
      <c r="E5" s="17">
        <f>2300+2300</f>
        <v>4600</v>
      </c>
      <c r="F5" s="18"/>
    </row>
    <row r="6" spans="2:6" x14ac:dyDescent="0.25">
      <c r="B6" s="16">
        <v>2</v>
      </c>
      <c r="C6" s="29"/>
      <c r="D6" s="17">
        <f>2300</f>
        <v>2300</v>
      </c>
      <c r="E6" s="17">
        <f>2300</f>
        <v>2300</v>
      </c>
      <c r="F6" s="26">
        <f>2300+2300+2300</f>
        <v>6900</v>
      </c>
    </row>
    <row r="7" spans="2:6" x14ac:dyDescent="0.25">
      <c r="B7" s="16">
        <v>3</v>
      </c>
      <c r="C7" s="29"/>
      <c r="D7" s="17">
        <f>2300+2300+2300</f>
        <v>6900</v>
      </c>
      <c r="E7" s="17">
        <f>2300+2300+2300</f>
        <v>6900</v>
      </c>
      <c r="F7" s="26">
        <f>2300+2300</f>
        <v>4600</v>
      </c>
    </row>
    <row r="8" spans="2:6" x14ac:dyDescent="0.25">
      <c r="B8" s="16">
        <v>4</v>
      </c>
      <c r="C8" s="29"/>
      <c r="D8" s="17">
        <f>2300+2300</f>
        <v>4600</v>
      </c>
      <c r="E8" s="17"/>
      <c r="F8" s="26">
        <f>2300+2300+2300+2300+2300</f>
        <v>11500</v>
      </c>
    </row>
    <row r="9" spans="2:6" x14ac:dyDescent="0.25">
      <c r="B9" s="16">
        <v>5</v>
      </c>
      <c r="C9" s="29"/>
      <c r="D9" s="17">
        <f>2300+2300+2300</f>
        <v>6900</v>
      </c>
      <c r="E9" s="17">
        <f>2300+2300+2300</f>
        <v>6900</v>
      </c>
      <c r="F9" s="26"/>
    </row>
    <row r="10" spans="2:6" x14ac:dyDescent="0.25">
      <c r="B10" s="16">
        <v>6</v>
      </c>
      <c r="C10" s="29">
        <f>2300</f>
        <v>2300</v>
      </c>
      <c r="D10" s="17"/>
      <c r="E10" s="17"/>
      <c r="F10" s="26">
        <f>2300</f>
        <v>2300</v>
      </c>
    </row>
    <row r="11" spans="2:6" x14ac:dyDescent="0.25">
      <c r="B11" s="16">
        <v>7</v>
      </c>
      <c r="C11" s="29">
        <f>2300</f>
        <v>2300</v>
      </c>
      <c r="D11" s="17">
        <f>2300+2300</f>
        <v>4600</v>
      </c>
      <c r="E11" s="17">
        <f>2300+2300</f>
        <v>4600</v>
      </c>
      <c r="F11" s="26"/>
    </row>
    <row r="12" spans="2:6" x14ac:dyDescent="0.25">
      <c r="B12" s="16">
        <v>8</v>
      </c>
      <c r="C12" s="29"/>
      <c r="D12" s="17">
        <f>2800+2800</f>
        <v>5600</v>
      </c>
      <c r="E12" s="17">
        <f>2300+2300</f>
        <v>4600</v>
      </c>
      <c r="F12" s="26"/>
    </row>
    <row r="13" spans="2:6" x14ac:dyDescent="0.25">
      <c r="B13" s="16">
        <v>9</v>
      </c>
      <c r="C13" s="29"/>
      <c r="D13" s="17"/>
      <c r="E13" s="17">
        <f>2300+2300+2300</f>
        <v>6900</v>
      </c>
      <c r="F13" s="26">
        <f>2300+2300</f>
        <v>4600</v>
      </c>
    </row>
    <row r="14" spans="2:6" x14ac:dyDescent="0.25">
      <c r="B14" s="16">
        <v>10</v>
      </c>
      <c r="C14" s="29">
        <f>2300+2300+2300</f>
        <v>6900</v>
      </c>
      <c r="D14" s="17">
        <f>2300+2300+2300</f>
        <v>6900</v>
      </c>
      <c r="E14" s="17"/>
      <c r="F14" s="26">
        <f>2300+2300+2300</f>
        <v>6900</v>
      </c>
    </row>
    <row r="15" spans="2:6" x14ac:dyDescent="0.25">
      <c r="B15" s="16">
        <v>11</v>
      </c>
      <c r="C15" s="29">
        <f>2300+2300</f>
        <v>4600</v>
      </c>
      <c r="D15" s="17">
        <f>2300+2300+2300</f>
        <v>6900</v>
      </c>
      <c r="E15" s="17"/>
      <c r="F15" s="26"/>
    </row>
    <row r="16" spans="2:6" x14ac:dyDescent="0.25">
      <c r="B16" s="16">
        <v>12</v>
      </c>
      <c r="C16" s="29">
        <f>2300</f>
        <v>2300</v>
      </c>
      <c r="D16" s="17">
        <f>2300</f>
        <v>2300</v>
      </c>
      <c r="E16" s="17">
        <f>2300+2300+2300</f>
        <v>6900</v>
      </c>
      <c r="F16" s="26"/>
    </row>
    <row r="17" spans="2:6" x14ac:dyDescent="0.25">
      <c r="B17" s="16">
        <v>13</v>
      </c>
      <c r="C17" s="29">
        <f>2300+2300</f>
        <v>4600</v>
      </c>
      <c r="D17" s="17"/>
      <c r="E17" s="17">
        <f>2300</f>
        <v>2300</v>
      </c>
      <c r="F17" s="26"/>
    </row>
    <row r="18" spans="2:6" x14ac:dyDescent="0.25">
      <c r="B18" s="16">
        <v>14</v>
      </c>
      <c r="C18" s="29">
        <f>2300</f>
        <v>2300</v>
      </c>
      <c r="D18" s="17"/>
      <c r="E18" s="17">
        <f>2300+2300+2300</f>
        <v>6900</v>
      </c>
      <c r="F18" s="26"/>
    </row>
    <row r="19" spans="2:6" x14ac:dyDescent="0.25">
      <c r="B19" s="16">
        <v>15</v>
      </c>
      <c r="C19" s="29"/>
      <c r="D19" s="17"/>
      <c r="E19" s="17">
        <f>2300+2300+2300</f>
        <v>6900</v>
      </c>
      <c r="F19" s="26"/>
    </row>
    <row r="20" spans="2:6" x14ac:dyDescent="0.25">
      <c r="B20" s="16">
        <v>16</v>
      </c>
      <c r="C20" s="29"/>
      <c r="D20" s="17">
        <f>2300</f>
        <v>2300</v>
      </c>
      <c r="E20" s="17"/>
      <c r="F20" s="26"/>
    </row>
    <row r="21" spans="2:6" x14ac:dyDescent="0.25">
      <c r="B21" s="16">
        <v>17</v>
      </c>
      <c r="C21" s="29">
        <f>2300+2300</f>
        <v>4600</v>
      </c>
      <c r="D21" s="17">
        <f>2300+2300+2300+2300</f>
        <v>9200</v>
      </c>
      <c r="E21" s="17">
        <f>2300+2300</f>
        <v>4600</v>
      </c>
      <c r="F21" s="26"/>
    </row>
    <row r="22" spans="2:6" x14ac:dyDescent="0.25">
      <c r="B22" s="16">
        <v>18</v>
      </c>
      <c r="C22" s="29">
        <f>2300</f>
        <v>2300</v>
      </c>
      <c r="D22" s="17">
        <f>2300+2300+2300</f>
        <v>6900</v>
      </c>
      <c r="E22" s="17"/>
      <c r="F22" s="26"/>
    </row>
    <row r="23" spans="2:6" x14ac:dyDescent="0.25">
      <c r="B23" s="16">
        <v>19</v>
      </c>
      <c r="C23" s="29">
        <f>2300</f>
        <v>2300</v>
      </c>
      <c r="D23" s="17">
        <f>2300</f>
        <v>2300</v>
      </c>
      <c r="E23" s="17">
        <f>2300</f>
        <v>2300</v>
      </c>
      <c r="F23" s="26"/>
    </row>
    <row r="24" spans="2:6" x14ac:dyDescent="0.25">
      <c r="B24" s="16">
        <v>20</v>
      </c>
      <c r="C24" s="29">
        <f>2300+2300</f>
        <v>4600</v>
      </c>
      <c r="D24" s="17"/>
      <c r="E24" s="26">
        <f>2300+2300+2300</f>
        <v>6900</v>
      </c>
      <c r="F24" s="26"/>
    </row>
    <row r="25" spans="2:6" x14ac:dyDescent="0.25">
      <c r="B25" s="16">
        <v>21</v>
      </c>
      <c r="C25" s="29"/>
      <c r="D25" s="17">
        <f>2300+2300+2300+2300</f>
        <v>9200</v>
      </c>
      <c r="E25" s="17"/>
      <c r="F25" s="26"/>
    </row>
    <row r="26" spans="2:6" x14ac:dyDescent="0.25">
      <c r="B26" s="16">
        <v>22</v>
      </c>
      <c r="C26" s="29">
        <f>2300</f>
        <v>2300</v>
      </c>
      <c r="D26" s="17">
        <f>2300+2300+2300+2300</f>
        <v>9200</v>
      </c>
      <c r="E26" s="26">
        <f>2300+2300+2300+2300</f>
        <v>9200</v>
      </c>
      <c r="F26" s="26"/>
    </row>
    <row r="27" spans="2:6" x14ac:dyDescent="0.25">
      <c r="B27" s="16">
        <v>23</v>
      </c>
      <c r="C27" s="29"/>
      <c r="D27" s="17"/>
      <c r="E27" s="26">
        <f>2300+2300</f>
        <v>4600</v>
      </c>
      <c r="F27" s="26"/>
    </row>
    <row r="28" spans="2:6" x14ac:dyDescent="0.25">
      <c r="B28" s="16">
        <v>24</v>
      </c>
      <c r="C28" s="29">
        <f>2300</f>
        <v>2300</v>
      </c>
      <c r="D28" s="17">
        <f>2300+2300</f>
        <v>4600</v>
      </c>
      <c r="E28" s="26"/>
      <c r="F28" s="26"/>
    </row>
    <row r="29" spans="2:6" x14ac:dyDescent="0.25">
      <c r="B29" s="16">
        <v>25</v>
      </c>
      <c r="C29" s="29">
        <f>2300+2300</f>
        <v>4600</v>
      </c>
      <c r="D29" s="17">
        <f>2300+2300+2300</f>
        <v>6900</v>
      </c>
      <c r="E29" s="26"/>
      <c r="F29" s="26"/>
    </row>
    <row r="30" spans="2:6" x14ac:dyDescent="0.25">
      <c r="B30" s="16">
        <v>26</v>
      </c>
      <c r="C30" s="29"/>
      <c r="D30" s="17">
        <f>2300+2300+2300</f>
        <v>6900</v>
      </c>
      <c r="E30" s="26">
        <f>2300+2300</f>
        <v>4600</v>
      </c>
      <c r="F30" s="26"/>
    </row>
    <row r="31" spans="2:6" x14ac:dyDescent="0.25">
      <c r="B31" s="16">
        <v>27</v>
      </c>
      <c r="C31" s="29"/>
      <c r="D31" s="17"/>
      <c r="E31" s="17">
        <f>2300+2300</f>
        <v>4600</v>
      </c>
      <c r="F31" s="26"/>
    </row>
    <row r="32" spans="2:6" x14ac:dyDescent="0.25">
      <c r="B32" s="16">
        <v>28</v>
      </c>
      <c r="C32" s="29">
        <f>2300</f>
        <v>2300</v>
      </c>
      <c r="D32" s="17">
        <f>2300+2300+2300+2300</f>
        <v>9200</v>
      </c>
      <c r="E32" s="17">
        <f>2300+2300+2300</f>
        <v>6900</v>
      </c>
      <c r="F32" s="26"/>
    </row>
    <row r="33" spans="2:6" x14ac:dyDescent="0.25">
      <c r="B33" s="16">
        <v>29</v>
      </c>
      <c r="C33" s="29"/>
      <c r="D33" s="17">
        <f>2300+2300+2300+2300</f>
        <v>9200</v>
      </c>
      <c r="E33" s="17">
        <f>2300+2300</f>
        <v>4600</v>
      </c>
      <c r="F33" s="26"/>
    </row>
    <row r="34" spans="2:6" x14ac:dyDescent="0.25">
      <c r="B34" s="16">
        <v>30</v>
      </c>
      <c r="C34" s="29"/>
      <c r="D34" s="17">
        <f>2300+2300+2300</f>
        <v>6900</v>
      </c>
      <c r="E34" s="17">
        <f>2300</f>
        <v>2300</v>
      </c>
      <c r="F34" s="26"/>
    </row>
    <row r="35" spans="2:6" x14ac:dyDescent="0.25">
      <c r="B35" s="16">
        <v>31</v>
      </c>
      <c r="C35" s="29">
        <f>2300+2300</f>
        <v>4600</v>
      </c>
      <c r="D35" s="19"/>
      <c r="E35" s="28">
        <f>2300+2300</f>
        <v>4600</v>
      </c>
      <c r="F35" s="27"/>
    </row>
    <row r="36" spans="2:6" x14ac:dyDescent="0.25">
      <c r="B36" s="24" t="s">
        <v>39</v>
      </c>
      <c r="C36" s="30">
        <f>SUM(C5:C35)</f>
        <v>55200</v>
      </c>
      <c r="D36" s="31">
        <f t="shared" ref="D36:F36" si="0">SUM(D5:D35)</f>
        <v>136700</v>
      </c>
      <c r="E36" s="31">
        <f t="shared" si="0"/>
        <v>115000</v>
      </c>
      <c r="F36" s="20">
        <f t="shared" si="0"/>
        <v>36800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 Ratanak</dc:creator>
  <cp:lastModifiedBy>Sok Ratanak</cp:lastModifiedBy>
  <cp:lastPrinted>2017-03-30T04:35:39Z</cp:lastPrinted>
  <dcterms:created xsi:type="dcterms:W3CDTF">2016-08-17T09:17:54Z</dcterms:created>
  <dcterms:modified xsi:type="dcterms:W3CDTF">2017-03-30T08:06:02Z</dcterms:modified>
</cp:coreProperties>
</file>