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9555" windowHeight="315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5621"/>
</workbook>
</file>

<file path=xl/calcChain.xml><?xml version="1.0" encoding="utf-8"?>
<calcChain xmlns="http://schemas.openxmlformats.org/spreadsheetml/2006/main">
  <c r="C23" i="5" l="1"/>
  <c r="D23" i="5"/>
  <c r="F15" i="4" l="1"/>
  <c r="F14" i="4"/>
  <c r="F9" i="4"/>
  <c r="E9" i="4"/>
  <c r="F23" i="5"/>
  <c r="G23" i="5"/>
  <c r="H23" i="5"/>
  <c r="I23" i="5"/>
  <c r="I15" i="5"/>
  <c r="I16" i="5"/>
  <c r="I17" i="5"/>
  <c r="I18" i="5"/>
  <c r="H15" i="5"/>
  <c r="H16" i="5"/>
  <c r="H17" i="5"/>
  <c r="H18" i="5"/>
  <c r="G15" i="5"/>
  <c r="G16" i="5"/>
  <c r="G17" i="5"/>
  <c r="G18" i="5"/>
  <c r="I14" i="5"/>
  <c r="H14" i="5"/>
  <c r="G14" i="5"/>
  <c r="I10" i="5"/>
  <c r="H10" i="5"/>
  <c r="G10" i="5"/>
  <c r="G13" i="5" s="1"/>
  <c r="I9" i="5"/>
  <c r="H9" i="5"/>
  <c r="G9" i="5"/>
  <c r="I22" i="5"/>
  <c r="H22" i="5"/>
  <c r="G22" i="5"/>
  <c r="F22" i="5"/>
  <c r="C21" i="5"/>
  <c r="C20" i="5"/>
  <c r="C19" i="5"/>
  <c r="C18" i="5"/>
  <c r="C17" i="5"/>
  <c r="C16" i="5"/>
  <c r="C15" i="5"/>
  <c r="C14" i="5"/>
  <c r="C10" i="5"/>
  <c r="C13" i="5" s="1"/>
  <c r="C9" i="5"/>
  <c r="D9" i="5"/>
  <c r="D17" i="5"/>
  <c r="D19" i="5" s="1"/>
  <c r="F16" i="5"/>
  <c r="D16" i="5"/>
  <c r="D14" i="5"/>
  <c r="D13" i="5"/>
  <c r="D11" i="5"/>
  <c r="D10" i="5"/>
  <c r="F13" i="5"/>
  <c r="E13" i="5"/>
  <c r="E21" i="5"/>
  <c r="D18" i="5"/>
  <c r="D15" i="5"/>
  <c r="E16" i="5"/>
  <c r="F15" i="5"/>
  <c r="F19" i="5"/>
  <c r="F20" i="5" s="1"/>
  <c r="F21" i="5" s="1"/>
  <c r="F17" i="5"/>
  <c r="F18" i="5"/>
  <c r="F14" i="5"/>
  <c r="F10" i="5"/>
  <c r="F9" i="5"/>
  <c r="E14" i="5"/>
  <c r="H13" i="5"/>
  <c r="I13" i="5"/>
  <c r="I19" i="5" s="1"/>
  <c r="J13" i="5"/>
  <c r="E11" i="5"/>
  <c r="F11" i="5"/>
  <c r="H11" i="5"/>
  <c r="I11" i="5"/>
  <c r="J11" i="5"/>
  <c r="E18" i="5"/>
  <c r="E17" i="5"/>
  <c r="E15" i="5"/>
  <c r="H19" i="5" l="1"/>
  <c r="G19" i="5"/>
  <c r="I20" i="5"/>
  <c r="I21" i="5" s="1"/>
  <c r="H20" i="5"/>
  <c r="H21" i="5" s="1"/>
  <c r="G11" i="5"/>
  <c r="D20" i="5"/>
  <c r="D21" i="5" s="1"/>
  <c r="C11" i="5"/>
  <c r="E19" i="5"/>
  <c r="J17" i="5"/>
  <c r="J12" i="5"/>
  <c r="J14" i="5"/>
  <c r="J16" i="5"/>
  <c r="J15" i="5"/>
  <c r="E9" i="5"/>
  <c r="J9" i="5" s="1"/>
  <c r="E10" i="5"/>
  <c r="G20" i="5" l="1"/>
  <c r="G21" i="5" s="1"/>
  <c r="J10" i="5"/>
  <c r="J19" i="5"/>
  <c r="J18" i="5"/>
  <c r="E14" i="4"/>
  <c r="E16" i="4" s="1"/>
  <c r="F16" i="4"/>
  <c r="F13" i="4"/>
  <c r="E13" i="4"/>
  <c r="E20" i="5" l="1"/>
  <c r="E23" i="5" s="1"/>
  <c r="B34" i="2"/>
  <c r="D34" i="2"/>
  <c r="C5" i="2"/>
  <c r="C19" i="2"/>
  <c r="B15" i="2"/>
  <c r="D27" i="2"/>
  <c r="D23" i="2"/>
  <c r="D25" i="2"/>
  <c r="D31" i="2"/>
  <c r="D29" i="2"/>
  <c r="D32" i="2"/>
  <c r="D17" i="2"/>
  <c r="D12" i="2"/>
  <c r="D10" i="2"/>
  <c r="D15" i="2"/>
  <c r="D14" i="2"/>
  <c r="D8" i="2"/>
  <c r="D7" i="2"/>
  <c r="D6" i="2"/>
  <c r="D5" i="2"/>
  <c r="D36" i="2" s="1"/>
  <c r="D19" i="2"/>
  <c r="B12" i="2"/>
  <c r="B19" i="2"/>
  <c r="B7" i="2"/>
  <c r="B32" i="2"/>
  <c r="B22" i="2"/>
  <c r="B18" i="2"/>
  <c r="B26" i="2"/>
  <c r="B28" i="2"/>
  <c r="B30" i="2"/>
  <c r="B10" i="2"/>
  <c r="B23" i="2"/>
  <c r="B9" i="2"/>
  <c r="B5" i="2"/>
  <c r="B36" i="2" s="1"/>
  <c r="C9" i="2"/>
  <c r="C7" i="2"/>
  <c r="C32" i="2"/>
  <c r="C11" i="2"/>
  <c r="C8" i="2"/>
  <c r="C13" i="2"/>
  <c r="C29" i="2"/>
  <c r="C16" i="2"/>
  <c r="C28" i="2"/>
  <c r="C24" i="2"/>
  <c r="C22" i="2"/>
  <c r="C14" i="2"/>
  <c r="C6" i="2"/>
  <c r="D17" i="3"/>
  <c r="E17" i="3"/>
  <c r="C17" i="3"/>
  <c r="G11" i="3"/>
  <c r="G12" i="3"/>
  <c r="G13" i="3"/>
  <c r="G14" i="3"/>
  <c r="G15" i="3"/>
  <c r="D16" i="3"/>
  <c r="C16" i="3"/>
  <c r="C11" i="3"/>
  <c r="C12" i="3"/>
  <c r="C13" i="3"/>
  <c r="C14" i="3"/>
  <c r="C15" i="3"/>
  <c r="C10" i="3"/>
  <c r="G10" i="3" s="1"/>
  <c r="D15" i="3"/>
  <c r="D14" i="3"/>
  <c r="D13" i="3"/>
  <c r="D12" i="3"/>
  <c r="D11" i="3"/>
  <c r="D10" i="3"/>
  <c r="D25" i="1"/>
  <c r="D23" i="1"/>
  <c r="D21" i="1"/>
  <c r="D19" i="1"/>
  <c r="D16" i="1"/>
  <c r="D14" i="1"/>
  <c r="D11" i="1"/>
  <c r="D9" i="1"/>
  <c r="D6" i="1"/>
  <c r="C33" i="1"/>
  <c r="C27" i="1"/>
  <c r="C24" i="1"/>
  <c r="C22" i="1"/>
  <c r="C17" i="1"/>
  <c r="C12" i="1"/>
  <c r="C10" i="1"/>
  <c r="C8" i="1"/>
  <c r="C5" i="1"/>
  <c r="B32" i="1"/>
  <c r="B30" i="1"/>
  <c r="B27" i="1"/>
  <c r="B23" i="1"/>
  <c r="B20" i="1"/>
  <c r="B18" i="1"/>
  <c r="B15" i="1"/>
  <c r="B11" i="1"/>
  <c r="B9" i="1"/>
  <c r="B6" i="1"/>
  <c r="B36" i="1" s="1"/>
  <c r="C36" i="2" l="1"/>
  <c r="D37" i="2" s="1"/>
  <c r="D38" i="2" s="1"/>
  <c r="J21" i="5"/>
  <c r="J20" i="5"/>
  <c r="D36" i="1"/>
  <c r="D37" i="1" s="1"/>
  <c r="D38" i="1" s="1"/>
  <c r="C36" i="1"/>
</calcChain>
</file>

<file path=xl/sharedStrings.xml><?xml version="1.0" encoding="utf-8"?>
<sst xmlns="http://schemas.openxmlformats.org/spreadsheetml/2006/main" count="76" uniqueCount="55">
  <si>
    <t>Day</t>
  </si>
  <si>
    <t>Mar</t>
  </si>
  <si>
    <t>Apr</t>
  </si>
  <si>
    <t>May</t>
  </si>
  <si>
    <t>Total</t>
  </si>
  <si>
    <t>Average</t>
  </si>
  <si>
    <t>Convert to USD</t>
  </si>
  <si>
    <t>Transportation Service</t>
  </si>
  <si>
    <t>Bank: CAMPU</t>
  </si>
  <si>
    <t>Account: 100-02-10-00199-5</t>
  </si>
  <si>
    <t>Mdm. Tan Nary</t>
  </si>
  <si>
    <t>Oct/15 to Sep/16</t>
  </si>
  <si>
    <t>Month</t>
  </si>
  <si>
    <t>Debit (USD)</t>
  </si>
  <si>
    <t>Credit (USD)</t>
  </si>
  <si>
    <t>Balance (USD)</t>
  </si>
  <si>
    <t>Balance Forward</t>
  </si>
  <si>
    <t>Items</t>
  </si>
  <si>
    <t>Historical</t>
  </si>
  <si>
    <t>Projected</t>
  </si>
  <si>
    <t>Remarks</t>
  </si>
  <si>
    <t>(Monthly)</t>
  </si>
  <si>
    <t>Z) Monthly sales (USD)</t>
  </si>
  <si>
    <t>A)        Debtor turnover (days)</t>
  </si>
  <si>
    <t>B)        Stockholding turnover (days)</t>
  </si>
  <si>
    <t>C)       Creditor turnover (days)</t>
  </si>
  <si>
    <t>D)       Asset Conversion Cycle = (A + B) – C/30</t>
  </si>
  <si>
    <t>E)        Monthly WC need = (D x Z)</t>
  </si>
  <si>
    <t>Existing + proposed WC lines (OD: USD450K)</t>
  </si>
  <si>
    <t>(Shortfall)/Excess in WC lines</t>
  </si>
  <si>
    <t>Income Statement</t>
  </si>
  <si>
    <t>Mr. Kha Sokong</t>
  </si>
  <si>
    <t>Description</t>
  </si>
  <si>
    <t>Revenue</t>
  </si>
  <si>
    <t>Selling Plastic Bottle Waste</t>
  </si>
  <si>
    <t>Total Revenue</t>
  </si>
  <si>
    <t>Expenses</t>
  </si>
  <si>
    <t>Petroleum</t>
  </si>
  <si>
    <t>Custom Post Fee</t>
  </si>
  <si>
    <t>Food</t>
  </si>
  <si>
    <t>Others</t>
  </si>
  <si>
    <t>Total Expenses</t>
  </si>
  <si>
    <t>Net income</t>
  </si>
  <si>
    <t>12 Months</t>
  </si>
  <si>
    <t>Monthly rental income (warehouse)</t>
  </si>
  <si>
    <t>COGS- Plastic Bottle Waste</t>
  </si>
  <si>
    <t>Total net income</t>
  </si>
  <si>
    <t>Salary's staff</t>
  </si>
  <si>
    <t>Prepared by:</t>
  </si>
  <si>
    <t>5 Months 
(Jan to May)</t>
  </si>
  <si>
    <t>Summarized by:</t>
  </si>
  <si>
    <t>Sok Ratanak</t>
  </si>
  <si>
    <t>Summary sale invoice of Selling Plastic</t>
  </si>
  <si>
    <t>KHR</t>
  </si>
  <si>
    <t>Summary invoice of Transportation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</si>
</sst>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43" fontId="4" fillId="0" borderId="0" xfId="1" applyFont="1" applyBorder="1" applyAlignment="1">
      <alignment horizontal="center" vertical="center"/>
    </xf>
    <xf numFmtId="43" fontId="3" fillId="0" borderId="0" xfId="1" applyFont="1" applyBorder="1" applyAlignment="1">
      <alignment horizontal="center" vertical="center" wrapText="1"/>
    </xf>
    <xf numFmtId="43" fontId="0" fillId="0" borderId="0" xfId="0" applyNumberFormat="1"/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4" fontId="5" fillId="0" borderId="5" xfId="0" applyNumberFormat="1" applyFont="1" applyBorder="1" applyAlignment="1">
      <alignment horizontal="right" vertical="center" wrapText="1"/>
    </xf>
    <xf numFmtId="0" fontId="5" fillId="0" borderId="5" xfId="0" applyFont="1" applyBorder="1" applyAlignment="1">
      <alignment horizontal="right" vertical="center" wrapText="1"/>
    </xf>
    <xf numFmtId="4" fontId="6" fillId="0" borderId="5" xfId="0" applyNumberFormat="1" applyFont="1" applyBorder="1" applyAlignment="1">
      <alignment horizontal="right" vertical="center" wrapText="1"/>
    </xf>
    <xf numFmtId="2" fontId="5" fillId="0" borderId="5" xfId="0" applyNumberFormat="1" applyFont="1" applyBorder="1" applyAlignment="1">
      <alignment horizontal="right" vertical="center" wrapText="1"/>
    </xf>
    <xf numFmtId="43" fontId="0" fillId="0" borderId="0" xfId="1" applyFont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0" fillId="0" borderId="8" xfId="0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43" fontId="0" fillId="0" borderId="0" xfId="1" applyFont="1" applyBorder="1"/>
    <xf numFmtId="43" fontId="0" fillId="0" borderId="11" xfId="0" applyNumberFormat="1" applyBorder="1"/>
    <xf numFmtId="43" fontId="0" fillId="0" borderId="11" xfId="1" applyFont="1" applyBorder="1"/>
    <xf numFmtId="0" fontId="2" fillId="0" borderId="10" xfId="0" applyFont="1" applyBorder="1"/>
    <xf numFmtId="0" fontId="2" fillId="0" borderId="0" xfId="0" applyFont="1" applyBorder="1"/>
    <xf numFmtId="43" fontId="2" fillId="0" borderId="0" xfId="1" applyFont="1" applyBorder="1"/>
    <xf numFmtId="43" fontId="2" fillId="0" borderId="11" xfId="1" applyFont="1" applyBorder="1"/>
    <xf numFmtId="43" fontId="2" fillId="0" borderId="0" xfId="1" applyFont="1" applyBorder="1" applyAlignment="1">
      <alignment horizontal="right"/>
    </xf>
    <xf numFmtId="43" fontId="2" fillId="0" borderId="11" xfId="0" applyNumberFormat="1" applyFont="1" applyBorder="1"/>
    <xf numFmtId="0" fontId="2" fillId="0" borderId="12" xfId="0" applyFont="1" applyBorder="1"/>
    <xf numFmtId="0" fontId="2" fillId="0" borderId="13" xfId="0" applyFont="1" applyBorder="1"/>
    <xf numFmtId="43" fontId="2" fillId="0" borderId="13" xfId="0" applyNumberFormat="1" applyFont="1" applyBorder="1"/>
    <xf numFmtId="43" fontId="2" fillId="0" borderId="14" xfId="0" applyNumberFormat="1" applyFont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3" fontId="0" fillId="0" borderId="13" xfId="1" applyFont="1" applyBorder="1" applyAlignment="1">
      <alignment horizontal="right"/>
    </xf>
    <xf numFmtId="0" fontId="0" fillId="0" borderId="6" xfId="0" applyBorder="1" applyAlignment="1">
      <alignment horizontal="center"/>
    </xf>
    <xf numFmtId="43" fontId="0" fillId="0" borderId="6" xfId="1" applyFont="1" applyBorder="1" applyAlignment="1">
      <alignment horizontal="center"/>
    </xf>
    <xf numFmtId="43" fontId="0" fillId="0" borderId="6" xfId="1" applyFont="1" applyBorder="1" applyAlignment="1">
      <alignment horizontal="right"/>
    </xf>
    <xf numFmtId="43" fontId="2" fillId="0" borderId="6" xfId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40" sqref="D40:D46"/>
    </sheetView>
  </sheetViews>
  <sheetFormatPr defaultRowHeight="15" x14ac:dyDescent="0.25"/>
  <cols>
    <col min="1" max="1" width="17.42578125" style="1" customWidth="1"/>
    <col min="2" max="4" width="22.7109375" style="2" customWidth="1"/>
  </cols>
  <sheetData>
    <row r="1" spans="1:4" x14ac:dyDescent="0.25">
      <c r="A1" s="3" t="s">
        <v>31</v>
      </c>
    </row>
    <row r="2" spans="1:4" x14ac:dyDescent="0.25">
      <c r="A2" s="3" t="s">
        <v>52</v>
      </c>
    </row>
    <row r="4" spans="1:4" x14ac:dyDescent="0.25">
      <c r="A4" s="53" t="s">
        <v>0</v>
      </c>
      <c r="B4" s="54" t="s">
        <v>1</v>
      </c>
      <c r="C4" s="54" t="s">
        <v>2</v>
      </c>
      <c r="D4" s="54" t="s">
        <v>3</v>
      </c>
    </row>
    <row r="5" spans="1:4" x14ac:dyDescent="0.25">
      <c r="A5" s="53">
        <v>1</v>
      </c>
      <c r="B5" s="55"/>
      <c r="C5" s="55">
        <f>11438400</f>
        <v>11438400</v>
      </c>
      <c r="D5" s="55"/>
    </row>
    <row r="6" spans="1:4" x14ac:dyDescent="0.25">
      <c r="A6" s="53">
        <v>2</v>
      </c>
      <c r="B6" s="55">
        <f>9900000</f>
        <v>9900000</v>
      </c>
      <c r="C6" s="55"/>
      <c r="D6" s="55">
        <f>10531200</f>
        <v>10531200</v>
      </c>
    </row>
    <row r="7" spans="1:4" x14ac:dyDescent="0.25">
      <c r="A7" s="53">
        <v>3</v>
      </c>
      <c r="B7" s="55"/>
      <c r="C7" s="55"/>
      <c r="D7" s="55"/>
    </row>
    <row r="8" spans="1:4" x14ac:dyDescent="0.25">
      <c r="A8" s="53">
        <v>4</v>
      </c>
      <c r="B8" s="55"/>
      <c r="C8" s="55">
        <f>9874800</f>
        <v>9874800</v>
      </c>
      <c r="D8" s="55"/>
    </row>
    <row r="9" spans="1:4" x14ac:dyDescent="0.25">
      <c r="A9" s="53">
        <v>5</v>
      </c>
      <c r="B9" s="55">
        <f>9036000</f>
        <v>9036000</v>
      </c>
      <c r="C9" s="55"/>
      <c r="D9" s="55">
        <f>12932400</f>
        <v>12932400</v>
      </c>
    </row>
    <row r="10" spans="1:4" x14ac:dyDescent="0.25">
      <c r="A10" s="53">
        <v>6</v>
      </c>
      <c r="B10" s="55"/>
      <c r="C10" s="55">
        <f>11518800</f>
        <v>11518800</v>
      </c>
      <c r="D10" s="55"/>
    </row>
    <row r="11" spans="1:4" x14ac:dyDescent="0.25">
      <c r="A11" s="53">
        <v>7</v>
      </c>
      <c r="B11" s="55">
        <f>11100000</f>
        <v>11100000</v>
      </c>
      <c r="C11" s="55"/>
      <c r="D11" s="55">
        <f>10947600</f>
        <v>10947600</v>
      </c>
    </row>
    <row r="12" spans="1:4" x14ac:dyDescent="0.25">
      <c r="A12" s="53">
        <v>8</v>
      </c>
      <c r="B12" s="55"/>
      <c r="C12" s="55">
        <f>9595200</f>
        <v>9595200</v>
      </c>
      <c r="D12" s="55"/>
    </row>
    <row r="13" spans="1:4" x14ac:dyDescent="0.25">
      <c r="A13" s="53">
        <v>9</v>
      </c>
      <c r="B13" s="55"/>
      <c r="C13" s="55"/>
      <c r="D13" s="55"/>
    </row>
    <row r="14" spans="1:4" x14ac:dyDescent="0.25">
      <c r="A14" s="53">
        <v>10</v>
      </c>
      <c r="B14" s="55"/>
      <c r="C14" s="55"/>
      <c r="D14" s="55">
        <f>10666800</f>
        <v>10666800</v>
      </c>
    </row>
    <row r="15" spans="1:4" x14ac:dyDescent="0.25">
      <c r="A15" s="53">
        <v>11</v>
      </c>
      <c r="B15" s="55">
        <f>12360000</f>
        <v>12360000</v>
      </c>
      <c r="C15" s="55"/>
      <c r="D15" s="55"/>
    </row>
    <row r="16" spans="1:4" x14ac:dyDescent="0.25">
      <c r="A16" s="53">
        <v>12</v>
      </c>
      <c r="B16" s="55"/>
      <c r="C16" s="55"/>
      <c r="D16" s="55">
        <f>11962800</f>
        <v>11962800</v>
      </c>
    </row>
    <row r="17" spans="1:4" x14ac:dyDescent="0.25">
      <c r="A17" s="53">
        <v>13</v>
      </c>
      <c r="B17" s="55"/>
      <c r="C17" s="55">
        <f>12008400</f>
        <v>12008400</v>
      </c>
      <c r="D17" s="55"/>
    </row>
    <row r="18" spans="1:4" x14ac:dyDescent="0.25">
      <c r="A18" s="53">
        <v>14</v>
      </c>
      <c r="B18" s="55">
        <f>11458800</f>
        <v>11458800</v>
      </c>
      <c r="C18" s="55"/>
      <c r="D18" s="55"/>
    </row>
    <row r="19" spans="1:4" x14ac:dyDescent="0.25">
      <c r="A19" s="53">
        <v>15</v>
      </c>
      <c r="B19" s="55"/>
      <c r="C19" s="55"/>
      <c r="D19" s="55">
        <f>11461200</f>
        <v>11461200</v>
      </c>
    </row>
    <row r="20" spans="1:4" x14ac:dyDescent="0.25">
      <c r="A20" s="53">
        <v>16</v>
      </c>
      <c r="B20" s="55">
        <f>9542400</f>
        <v>9542400</v>
      </c>
      <c r="C20" s="55"/>
      <c r="D20" s="55"/>
    </row>
    <row r="21" spans="1:4" x14ac:dyDescent="0.25">
      <c r="A21" s="53">
        <v>17</v>
      </c>
      <c r="B21" s="55"/>
      <c r="C21" s="55"/>
      <c r="D21" s="55">
        <f>10990800</f>
        <v>10990800</v>
      </c>
    </row>
    <row r="22" spans="1:4" x14ac:dyDescent="0.25">
      <c r="A22" s="53">
        <v>18</v>
      </c>
      <c r="B22" s="55"/>
      <c r="C22" s="55">
        <f>13088400</f>
        <v>13088400</v>
      </c>
      <c r="D22" s="55"/>
    </row>
    <row r="23" spans="1:4" x14ac:dyDescent="0.25">
      <c r="A23" s="53">
        <v>19</v>
      </c>
      <c r="B23" s="55">
        <f>9998400</f>
        <v>9998400</v>
      </c>
      <c r="C23" s="55"/>
      <c r="D23" s="55">
        <f>10741200</f>
        <v>10741200</v>
      </c>
    </row>
    <row r="24" spans="1:4" x14ac:dyDescent="0.25">
      <c r="A24" s="53">
        <v>20</v>
      </c>
      <c r="B24" s="55"/>
      <c r="C24" s="55">
        <f>11894400</f>
        <v>11894400</v>
      </c>
      <c r="D24" s="55"/>
    </row>
    <row r="25" spans="1:4" x14ac:dyDescent="0.25">
      <c r="A25" s="53">
        <v>21</v>
      </c>
      <c r="B25" s="55"/>
      <c r="C25" s="55"/>
      <c r="D25" s="55">
        <f>10626000</f>
        <v>10626000</v>
      </c>
    </row>
    <row r="26" spans="1:4" x14ac:dyDescent="0.25">
      <c r="A26" s="53">
        <v>22</v>
      </c>
      <c r="B26" s="55"/>
      <c r="C26" s="55"/>
      <c r="D26" s="55"/>
    </row>
    <row r="27" spans="1:4" x14ac:dyDescent="0.25">
      <c r="A27" s="53">
        <v>23</v>
      </c>
      <c r="B27" s="55">
        <f>11332800</f>
        <v>11332800</v>
      </c>
      <c r="C27" s="55">
        <f>11053200</f>
        <v>11053200</v>
      </c>
      <c r="D27" s="55"/>
    </row>
    <row r="28" spans="1:4" x14ac:dyDescent="0.25">
      <c r="A28" s="53">
        <v>24</v>
      </c>
      <c r="B28" s="55"/>
      <c r="C28" s="55"/>
      <c r="D28" s="55"/>
    </row>
    <row r="29" spans="1:4" x14ac:dyDescent="0.25">
      <c r="A29" s="53">
        <v>25</v>
      </c>
      <c r="B29" s="55"/>
      <c r="C29" s="55"/>
      <c r="D29" s="55"/>
    </row>
    <row r="30" spans="1:4" x14ac:dyDescent="0.25">
      <c r="A30" s="53">
        <v>26</v>
      </c>
      <c r="B30" s="55">
        <f>10797600</f>
        <v>10797600</v>
      </c>
      <c r="C30" s="55"/>
      <c r="D30" s="55"/>
    </row>
    <row r="31" spans="1:4" x14ac:dyDescent="0.25">
      <c r="A31" s="53">
        <v>27</v>
      </c>
      <c r="B31" s="55"/>
      <c r="C31" s="55"/>
      <c r="D31" s="55">
        <v>12154800</v>
      </c>
    </row>
    <row r="32" spans="1:4" x14ac:dyDescent="0.25">
      <c r="A32" s="53">
        <v>28</v>
      </c>
      <c r="B32" s="55">
        <f>11418000</f>
        <v>11418000</v>
      </c>
      <c r="C32" s="55"/>
      <c r="D32" s="55"/>
    </row>
    <row r="33" spans="1:4" x14ac:dyDescent="0.25">
      <c r="A33" s="53">
        <v>29</v>
      </c>
      <c r="B33" s="55"/>
      <c r="C33" s="55">
        <f>10933200</f>
        <v>10933200</v>
      </c>
      <c r="D33" s="55"/>
    </row>
    <row r="34" spans="1:4" x14ac:dyDescent="0.25">
      <c r="A34" s="53">
        <v>30</v>
      </c>
      <c r="B34" s="55"/>
      <c r="C34" s="55"/>
      <c r="D34" s="55"/>
    </row>
    <row r="35" spans="1:4" x14ac:dyDescent="0.25">
      <c r="A35" s="53">
        <v>31</v>
      </c>
      <c r="B35" s="55"/>
      <c r="C35" s="55"/>
      <c r="D35" s="55"/>
    </row>
    <row r="36" spans="1:4" x14ac:dyDescent="0.25">
      <c r="A36" s="53" t="s">
        <v>4</v>
      </c>
      <c r="B36" s="55">
        <f>SUM(B5:B35)</f>
        <v>106944000</v>
      </c>
      <c r="C36" s="55">
        <f t="shared" ref="C36:D36" si="0">SUM(C5:C35)</f>
        <v>101404800</v>
      </c>
      <c r="D36" s="55">
        <f t="shared" si="0"/>
        <v>113014800</v>
      </c>
    </row>
    <row r="37" spans="1:4" x14ac:dyDescent="0.25">
      <c r="A37" s="53" t="s">
        <v>5</v>
      </c>
      <c r="B37" s="55"/>
      <c r="C37" s="55" t="s">
        <v>53</v>
      </c>
      <c r="D37" s="55">
        <f>AVERAGE(B36:D36)</f>
        <v>107121200</v>
      </c>
    </row>
    <row r="38" spans="1:4" x14ac:dyDescent="0.25">
      <c r="A38" s="53"/>
      <c r="B38" s="55"/>
      <c r="C38" s="56" t="s">
        <v>6</v>
      </c>
      <c r="D38" s="56">
        <f>D37/4000</f>
        <v>26780.3</v>
      </c>
    </row>
    <row r="40" spans="1:4" x14ac:dyDescent="0.25">
      <c r="D40" s="2" t="s">
        <v>50</v>
      </c>
    </row>
    <row r="45" spans="1:4" x14ac:dyDescent="0.25">
      <c r="D45" s="52"/>
    </row>
    <row r="46" spans="1:4" x14ac:dyDescent="0.25">
      <c r="D46" s="2" t="s">
        <v>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topLeftCell="A19" workbookViewId="0">
      <selection activeCell="B14" sqref="B14"/>
    </sheetView>
  </sheetViews>
  <sheetFormatPr defaultRowHeight="15" x14ac:dyDescent="0.25"/>
  <cols>
    <col min="1" max="1" width="17.42578125" style="1" customWidth="1"/>
    <col min="2" max="4" width="22.7109375" style="2" customWidth="1"/>
  </cols>
  <sheetData>
    <row r="1" spans="1:4" x14ac:dyDescent="0.25">
      <c r="A1" s="3" t="s">
        <v>31</v>
      </c>
    </row>
    <row r="2" spans="1:4" x14ac:dyDescent="0.25">
      <c r="A2" s="3" t="s">
        <v>54</v>
      </c>
    </row>
    <row r="4" spans="1:4" x14ac:dyDescent="0.25">
      <c r="A4" s="53" t="s">
        <v>0</v>
      </c>
      <c r="B4" s="54" t="s">
        <v>1</v>
      </c>
      <c r="C4" s="54" t="s">
        <v>2</v>
      </c>
      <c r="D4" s="54" t="s">
        <v>3</v>
      </c>
    </row>
    <row r="5" spans="1:4" x14ac:dyDescent="0.25">
      <c r="A5" s="53">
        <v>1</v>
      </c>
      <c r="B5" s="55">
        <f>1600000+384000</f>
        <v>1984000</v>
      </c>
      <c r="C5" s="55">
        <f>1600000+176600+1500000+384000</f>
        <v>3660600</v>
      </c>
      <c r="D5" s="55">
        <f>1500000+2570400</f>
        <v>4070400</v>
      </c>
    </row>
    <row r="6" spans="1:4" x14ac:dyDescent="0.25">
      <c r="A6" s="53">
        <v>2</v>
      </c>
      <c r="B6" s="55"/>
      <c r="C6" s="55">
        <f>1600000+176600</f>
        <v>1776600</v>
      </c>
      <c r="D6" s="55">
        <f>1400000+2601000</f>
        <v>4001000</v>
      </c>
    </row>
    <row r="7" spans="1:4" x14ac:dyDescent="0.25">
      <c r="A7" s="53">
        <v>3</v>
      </c>
      <c r="B7" s="55">
        <f>1600000+420000</f>
        <v>2020000</v>
      </c>
      <c r="C7" s="55">
        <f>1700000+2254200+1600000+300000+1600000+300000</f>
        <v>7754200</v>
      </c>
      <c r="D7" s="55">
        <f>1500000</f>
        <v>1500000</v>
      </c>
    </row>
    <row r="8" spans="1:4" x14ac:dyDescent="0.25">
      <c r="A8" s="53">
        <v>4</v>
      </c>
      <c r="B8" s="55"/>
      <c r="C8" s="55">
        <f>1500000+1500000</f>
        <v>3000000</v>
      </c>
      <c r="D8" s="55">
        <f>1600000+2386800</f>
        <v>3986800</v>
      </c>
    </row>
    <row r="9" spans="1:4" x14ac:dyDescent="0.25">
      <c r="A9" s="53">
        <v>5</v>
      </c>
      <c r="B9" s="55">
        <f>1400000+2080800</f>
        <v>3480800</v>
      </c>
      <c r="C9" s="55">
        <f>1600000+320000+1600000+320000</f>
        <v>3840000</v>
      </c>
      <c r="D9" s="55"/>
    </row>
    <row r="10" spans="1:4" x14ac:dyDescent="0.25">
      <c r="A10" s="53">
        <v>6</v>
      </c>
      <c r="B10" s="55">
        <f>1500000+600000</f>
        <v>2100000</v>
      </c>
      <c r="C10" s="55"/>
      <c r="D10" s="55">
        <f>1600000+300000</f>
        <v>1900000</v>
      </c>
    </row>
    <row r="11" spans="1:4" x14ac:dyDescent="0.25">
      <c r="A11" s="53">
        <v>7</v>
      </c>
      <c r="B11" s="55"/>
      <c r="C11" s="55">
        <f>1500000+1116000+1600000+1500000+1116000</f>
        <v>6832000</v>
      </c>
      <c r="D11" s="55"/>
    </row>
    <row r="12" spans="1:4" x14ac:dyDescent="0.25">
      <c r="A12" s="53">
        <v>8</v>
      </c>
      <c r="B12" s="55">
        <f>1400000+300000+1500000+2200000</f>
        <v>5400000</v>
      </c>
      <c r="C12" s="55"/>
      <c r="D12" s="55">
        <f>1400000+2386800</f>
        <v>3786800</v>
      </c>
    </row>
    <row r="13" spans="1:4" x14ac:dyDescent="0.25">
      <c r="A13" s="53">
        <v>9</v>
      </c>
      <c r="B13" s="55"/>
      <c r="C13" s="55">
        <f>1600000+2427600+1600000+500000</f>
        <v>6127600</v>
      </c>
      <c r="D13" s="55"/>
    </row>
    <row r="14" spans="1:4" x14ac:dyDescent="0.25">
      <c r="A14" s="53">
        <v>10</v>
      </c>
      <c r="B14" s="55"/>
      <c r="C14" s="55">
        <f>1500000+300000</f>
        <v>1800000</v>
      </c>
      <c r="D14" s="55">
        <f>1500000+2254200</f>
        <v>3754200</v>
      </c>
    </row>
    <row r="15" spans="1:4" x14ac:dyDescent="0.25">
      <c r="A15" s="53">
        <v>11</v>
      </c>
      <c r="B15" s="55">
        <f>1700000+2254200</f>
        <v>3954200</v>
      </c>
      <c r="C15" s="55"/>
      <c r="D15" s="55">
        <f>1600000+179000</f>
        <v>1779000</v>
      </c>
    </row>
    <row r="16" spans="1:4" x14ac:dyDescent="0.25">
      <c r="A16" s="53">
        <v>12</v>
      </c>
      <c r="B16" s="55"/>
      <c r="C16" s="55">
        <f>1600000+176600</f>
        <v>1776600</v>
      </c>
      <c r="D16" s="55"/>
    </row>
    <row r="17" spans="1:4" x14ac:dyDescent="0.25">
      <c r="A17" s="53">
        <v>13</v>
      </c>
      <c r="B17" s="55"/>
      <c r="C17" s="55"/>
      <c r="D17" s="55">
        <f>1600000+200000</f>
        <v>1800000</v>
      </c>
    </row>
    <row r="18" spans="1:4" x14ac:dyDescent="0.25">
      <c r="A18" s="53">
        <v>14</v>
      </c>
      <c r="B18" s="55">
        <f>1500000+200000</f>
        <v>1700000</v>
      </c>
      <c r="C18" s="55"/>
      <c r="D18" s="55"/>
    </row>
    <row r="19" spans="1:4" x14ac:dyDescent="0.25">
      <c r="A19" s="53">
        <v>15</v>
      </c>
      <c r="B19" s="55">
        <f>1600000+278000</f>
        <v>1878000</v>
      </c>
      <c r="C19" s="55">
        <f>1500000+330000</f>
        <v>1830000</v>
      </c>
      <c r="D19" s="55">
        <f>1700000+2519400</f>
        <v>4219400</v>
      </c>
    </row>
    <row r="20" spans="1:4" x14ac:dyDescent="0.25">
      <c r="A20" s="53">
        <v>16</v>
      </c>
      <c r="B20" s="55"/>
      <c r="C20" s="55"/>
      <c r="D20" s="55"/>
    </row>
    <row r="21" spans="1:4" x14ac:dyDescent="0.25">
      <c r="A21" s="53">
        <v>17</v>
      </c>
      <c r="B21" s="55"/>
      <c r="C21" s="55"/>
      <c r="D21" s="55">
        <v>500000</v>
      </c>
    </row>
    <row r="22" spans="1:4" x14ac:dyDescent="0.25">
      <c r="A22" s="53">
        <v>18</v>
      </c>
      <c r="B22" s="55">
        <f>500000+1600000+278000+500000</f>
        <v>2878000</v>
      </c>
      <c r="C22" s="55">
        <f>1500000</f>
        <v>1500000</v>
      </c>
      <c r="D22" s="55"/>
    </row>
    <row r="23" spans="1:4" x14ac:dyDescent="0.25">
      <c r="A23" s="53">
        <v>19</v>
      </c>
      <c r="B23" s="55">
        <f>1600000+360000</f>
        <v>1960000</v>
      </c>
      <c r="C23" s="55"/>
      <c r="D23" s="55">
        <f>500000</f>
        <v>500000</v>
      </c>
    </row>
    <row r="24" spans="1:4" x14ac:dyDescent="0.25">
      <c r="A24" s="53">
        <v>20</v>
      </c>
      <c r="B24" s="55"/>
      <c r="C24" s="55">
        <f>1500000</f>
        <v>1500000</v>
      </c>
      <c r="D24" s="55"/>
    </row>
    <row r="25" spans="1:4" x14ac:dyDescent="0.25">
      <c r="A25" s="53">
        <v>21</v>
      </c>
      <c r="B25" s="55"/>
      <c r="C25" s="55">
        <v>1600000</v>
      </c>
      <c r="D25" s="55">
        <f>1600000+176600</f>
        <v>1776600</v>
      </c>
    </row>
    <row r="26" spans="1:4" x14ac:dyDescent="0.25">
      <c r="A26" s="53">
        <v>22</v>
      </c>
      <c r="B26" s="55">
        <f>1500000+2254200</f>
        <v>3754200</v>
      </c>
      <c r="C26" s="55"/>
      <c r="D26" s="55"/>
    </row>
    <row r="27" spans="1:4" x14ac:dyDescent="0.25">
      <c r="A27" s="53">
        <v>23</v>
      </c>
      <c r="B27" s="55"/>
      <c r="C27" s="55"/>
      <c r="D27" s="55">
        <f>1600000+176600</f>
        <v>1776600</v>
      </c>
    </row>
    <row r="28" spans="1:4" x14ac:dyDescent="0.25">
      <c r="A28" s="53">
        <v>24</v>
      </c>
      <c r="B28" s="55">
        <f>500000+500000+1600000+300000</f>
        <v>2900000</v>
      </c>
      <c r="C28" s="55">
        <f>1500000+3886000</f>
        <v>5386000</v>
      </c>
      <c r="D28" s="55"/>
    </row>
    <row r="29" spans="1:4" x14ac:dyDescent="0.25">
      <c r="A29" s="53">
        <v>25</v>
      </c>
      <c r="B29" s="55"/>
      <c r="C29" s="55">
        <f>1600000</f>
        <v>1600000</v>
      </c>
      <c r="D29" s="55">
        <f>1400000+2100000</f>
        <v>3500000</v>
      </c>
    </row>
    <row r="30" spans="1:4" x14ac:dyDescent="0.25">
      <c r="A30" s="53">
        <v>26</v>
      </c>
      <c r="B30" s="55">
        <f>1600000</f>
        <v>1600000</v>
      </c>
      <c r="C30" s="55"/>
      <c r="D30" s="55"/>
    </row>
    <row r="31" spans="1:4" x14ac:dyDescent="0.25">
      <c r="A31" s="53">
        <v>27</v>
      </c>
      <c r="B31" s="55"/>
      <c r="C31" s="55"/>
      <c r="D31" s="55">
        <f>1500000+2427600</f>
        <v>3927600</v>
      </c>
    </row>
    <row r="32" spans="1:4" x14ac:dyDescent="0.25">
      <c r="A32" s="53">
        <v>28</v>
      </c>
      <c r="B32" s="55">
        <f>1600000+2254200</f>
        <v>3854200</v>
      </c>
      <c r="C32" s="55">
        <f>1500000+2427600+1700000</f>
        <v>5627600</v>
      </c>
      <c r="D32" s="55">
        <f>1400000+700000</f>
        <v>2100000</v>
      </c>
    </row>
    <row r="33" spans="1:4" x14ac:dyDescent="0.25">
      <c r="A33" s="53">
        <v>29</v>
      </c>
      <c r="B33" s="55"/>
      <c r="C33" s="55">
        <v>1700000</v>
      </c>
      <c r="D33" s="55"/>
    </row>
    <row r="34" spans="1:4" x14ac:dyDescent="0.25">
      <c r="A34" s="53">
        <v>30</v>
      </c>
      <c r="B34" s="55">
        <f>1500000+384000</f>
        <v>1884000</v>
      </c>
      <c r="C34" s="55"/>
      <c r="D34" s="55">
        <f>1600000+384000</f>
        <v>1984000</v>
      </c>
    </row>
    <row r="35" spans="1:4" x14ac:dyDescent="0.25">
      <c r="A35" s="53">
        <v>31</v>
      </c>
      <c r="B35" s="55"/>
      <c r="C35" s="55"/>
      <c r="D35" s="55"/>
    </row>
    <row r="36" spans="1:4" x14ac:dyDescent="0.25">
      <c r="A36" s="53" t="s">
        <v>4</v>
      </c>
      <c r="B36" s="55">
        <f>SUM(B5:B35)</f>
        <v>41347400</v>
      </c>
      <c r="C36" s="55">
        <f t="shared" ref="C36:D36" si="0">SUM(C5:C35)</f>
        <v>57311200</v>
      </c>
      <c r="D36" s="55">
        <f t="shared" si="0"/>
        <v>46862400</v>
      </c>
    </row>
    <row r="37" spans="1:4" x14ac:dyDescent="0.25">
      <c r="A37" s="53" t="s">
        <v>5</v>
      </c>
      <c r="B37" s="55"/>
      <c r="C37" s="55"/>
      <c r="D37" s="55">
        <f>AVERAGE(B36:D36)</f>
        <v>48507000</v>
      </c>
    </row>
    <row r="38" spans="1:4" x14ac:dyDescent="0.25">
      <c r="A38" s="53"/>
      <c r="B38" s="55"/>
      <c r="C38" s="56" t="s">
        <v>6</v>
      </c>
      <c r="D38" s="56">
        <f>D37/4000</f>
        <v>12126.75</v>
      </c>
    </row>
    <row r="40" spans="1:4" x14ac:dyDescent="0.25">
      <c r="D40" s="2" t="s">
        <v>50</v>
      </c>
    </row>
    <row r="45" spans="1:4" x14ac:dyDescent="0.25">
      <c r="D45" s="52"/>
    </row>
    <row r="46" spans="1:4" x14ac:dyDescent="0.25">
      <c r="D46" s="2" t="s">
        <v>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8"/>
  <sheetViews>
    <sheetView workbookViewId="0">
      <selection activeCell="D15" sqref="D15"/>
    </sheetView>
  </sheetViews>
  <sheetFormatPr defaultRowHeight="15" x14ac:dyDescent="0.25"/>
  <cols>
    <col min="2" max="5" width="15.5703125" style="4" customWidth="1"/>
    <col min="7" max="7" width="14.7109375" customWidth="1"/>
    <col min="11" max="11" width="10.5703125" bestFit="1" customWidth="1"/>
  </cols>
  <sheetData>
    <row r="4" spans="2:11" x14ac:dyDescent="0.25">
      <c r="B4" s="18" t="s">
        <v>8</v>
      </c>
      <c r="C4" s="18"/>
      <c r="D4" s="18"/>
      <c r="E4" s="18"/>
    </row>
    <row r="5" spans="2:11" x14ac:dyDescent="0.25">
      <c r="B5" s="19" t="s">
        <v>9</v>
      </c>
      <c r="C5" s="19"/>
      <c r="D5" s="19"/>
      <c r="E5" s="19"/>
    </row>
    <row r="6" spans="2:11" x14ac:dyDescent="0.25">
      <c r="B6" s="19" t="s">
        <v>10</v>
      </c>
      <c r="C6" s="19"/>
      <c r="D6" s="19"/>
      <c r="E6" s="19"/>
    </row>
    <row r="7" spans="2:11" x14ac:dyDescent="0.25">
      <c r="B7" s="19" t="s">
        <v>11</v>
      </c>
      <c r="C7" s="19"/>
      <c r="D7" s="19"/>
      <c r="E7" s="19"/>
    </row>
    <row r="8" spans="2:11" x14ac:dyDescent="0.25">
      <c r="B8" s="5" t="s">
        <v>12</v>
      </c>
      <c r="C8" s="5" t="s">
        <v>13</v>
      </c>
      <c r="D8" s="5" t="s">
        <v>14</v>
      </c>
      <c r="E8" s="5" t="s">
        <v>15</v>
      </c>
    </row>
    <row r="9" spans="2:11" x14ac:dyDescent="0.25">
      <c r="B9" s="20" t="s">
        <v>16</v>
      </c>
      <c r="C9" s="20"/>
      <c r="D9" s="20"/>
      <c r="E9" s="7">
        <v>40456.21</v>
      </c>
    </row>
    <row r="10" spans="2:11" x14ac:dyDescent="0.25">
      <c r="B10" s="6">
        <v>43101</v>
      </c>
      <c r="C10" s="7">
        <f>E9+D10-E10</f>
        <v>29513.499999999996</v>
      </c>
      <c r="D10" s="7">
        <f>10020+12.49</f>
        <v>10032.49</v>
      </c>
      <c r="E10" s="7">
        <v>20975.200000000001</v>
      </c>
      <c r="G10" s="9">
        <f>E9+D10-C10</f>
        <v>20975.200000000001</v>
      </c>
      <c r="K10" s="17">
        <v>40456.21</v>
      </c>
    </row>
    <row r="11" spans="2:11" x14ac:dyDescent="0.25">
      <c r="B11" s="6">
        <v>43132</v>
      </c>
      <c r="C11" s="7">
        <f t="shared" ref="C11:C15" si="0">E10+D11-E11</f>
        <v>5007.369999999999</v>
      </c>
      <c r="D11" s="7">
        <f>10000+9.21</f>
        <v>10009.209999999999</v>
      </c>
      <c r="E11" s="7">
        <v>25977.040000000001</v>
      </c>
      <c r="G11" s="9">
        <f t="shared" ref="G11:G15" si="1">E10+D11-C11</f>
        <v>25977.040000000001</v>
      </c>
      <c r="K11" s="17">
        <v>20975.200000000001</v>
      </c>
    </row>
    <row r="12" spans="2:11" x14ac:dyDescent="0.25">
      <c r="B12" s="6">
        <v>43160</v>
      </c>
      <c r="C12" s="7">
        <f t="shared" si="0"/>
        <v>13017.290000000003</v>
      </c>
      <c r="D12" s="7">
        <f>7.13</f>
        <v>7.13</v>
      </c>
      <c r="E12" s="7">
        <v>12966.88</v>
      </c>
      <c r="G12" s="9">
        <f t="shared" si="1"/>
        <v>12966.88</v>
      </c>
      <c r="K12" s="17">
        <v>25977.040000000001</v>
      </c>
    </row>
    <row r="13" spans="2:11" x14ac:dyDescent="0.25">
      <c r="B13" s="6">
        <v>43191</v>
      </c>
      <c r="C13" s="7">
        <f t="shared" si="0"/>
        <v>10020.249999999996</v>
      </c>
      <c r="D13" s="7">
        <f>14000+6.36</f>
        <v>14006.36</v>
      </c>
      <c r="E13" s="7">
        <v>16952.990000000002</v>
      </c>
      <c r="G13" s="9">
        <f t="shared" si="1"/>
        <v>16952.990000000002</v>
      </c>
      <c r="K13" s="17">
        <v>12966.88</v>
      </c>
    </row>
    <row r="14" spans="2:11" x14ac:dyDescent="0.25">
      <c r="B14" s="6">
        <v>43221</v>
      </c>
      <c r="C14" s="7">
        <f t="shared" si="0"/>
        <v>18.379999999997381</v>
      </c>
      <c r="D14" s="7">
        <f>19000+9.8</f>
        <v>19009.8</v>
      </c>
      <c r="E14" s="7">
        <v>35944.410000000003</v>
      </c>
      <c r="G14" s="9">
        <f t="shared" si="1"/>
        <v>35944.410000000003</v>
      </c>
      <c r="K14" s="17">
        <v>16952.990000000002</v>
      </c>
    </row>
    <row r="15" spans="2:11" x14ac:dyDescent="0.25">
      <c r="B15" s="6">
        <v>43252</v>
      </c>
      <c r="C15" s="7">
        <f t="shared" si="0"/>
        <v>15.590000000003783</v>
      </c>
      <c r="D15" s="7">
        <f>14.76</f>
        <v>14.76</v>
      </c>
      <c r="E15" s="7">
        <v>35943.58</v>
      </c>
      <c r="G15" s="9">
        <f t="shared" si="1"/>
        <v>35943.58</v>
      </c>
      <c r="K15" s="17">
        <v>35944.410000000003</v>
      </c>
    </row>
    <row r="16" spans="2:11" x14ac:dyDescent="0.25">
      <c r="B16" s="5" t="s">
        <v>4</v>
      </c>
      <c r="C16" s="8">
        <f>SUM(C10:C15)</f>
        <v>57592.37999999999</v>
      </c>
      <c r="D16" s="8">
        <f>SUM(D10:D15)</f>
        <v>53079.750000000007</v>
      </c>
      <c r="E16" s="8"/>
      <c r="K16" s="17">
        <v>35943.58</v>
      </c>
    </row>
    <row r="17" spans="2:11" x14ac:dyDescent="0.25">
      <c r="B17" s="5" t="s">
        <v>5</v>
      </c>
      <c r="C17" s="8">
        <f>AVERAGE(C10:C15)</f>
        <v>9598.7299999999977</v>
      </c>
      <c r="D17" s="8">
        <f t="shared" ref="D17:E17" si="2">AVERAGE(D10:D15)</f>
        <v>8846.6250000000018</v>
      </c>
      <c r="E17" s="8">
        <f t="shared" si="2"/>
        <v>24793.350000000002</v>
      </c>
      <c r="K17" s="17"/>
    </row>
    <row r="18" spans="2:11" x14ac:dyDescent="0.25">
      <c r="K18" s="17">
        <v>24793.350000000002</v>
      </c>
    </row>
  </sheetData>
  <mergeCells count="5">
    <mergeCell ref="B4:E4"/>
    <mergeCell ref="B5:E5"/>
    <mergeCell ref="B6:E6"/>
    <mergeCell ref="B7:E7"/>
    <mergeCell ref="B9:D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G16"/>
  <sheetViews>
    <sheetView workbookViewId="0">
      <selection activeCell="D28" sqref="D28"/>
    </sheetView>
  </sheetViews>
  <sheetFormatPr defaultRowHeight="15" x14ac:dyDescent="0.25"/>
  <cols>
    <col min="4" max="4" width="40.140625" customWidth="1"/>
    <col min="5" max="7" width="16.5703125" customWidth="1"/>
  </cols>
  <sheetData>
    <row r="6" spans="4:7" x14ac:dyDescent="0.25">
      <c r="D6" s="21" t="s">
        <v>17</v>
      </c>
      <c r="E6" s="10" t="s">
        <v>18</v>
      </c>
      <c r="F6" s="10" t="s">
        <v>19</v>
      </c>
      <c r="G6" s="21" t="s">
        <v>20</v>
      </c>
    </row>
    <row r="7" spans="4:7" x14ac:dyDescent="0.25">
      <c r="D7" s="22"/>
      <c r="E7" s="11">
        <v>2017</v>
      </c>
      <c r="F7" s="11">
        <v>2018</v>
      </c>
      <c r="G7" s="22"/>
    </row>
    <row r="8" spans="4:7" x14ac:dyDescent="0.25">
      <c r="D8" s="23"/>
      <c r="E8" s="11" t="s">
        <v>21</v>
      </c>
      <c r="F8" s="11" t="s">
        <v>21</v>
      </c>
      <c r="G8" s="23"/>
    </row>
    <row r="9" spans="4:7" ht="18" customHeight="1" x14ac:dyDescent="0.25">
      <c r="D9" s="12" t="s">
        <v>22</v>
      </c>
      <c r="E9" s="13">
        <f>Sheet5!E10/5</f>
        <v>26780.3</v>
      </c>
      <c r="F9" s="13">
        <f>Sheet5!G10/12</f>
        <v>28119.314999999999</v>
      </c>
      <c r="G9" s="24"/>
    </row>
    <row r="10" spans="4:7" ht="18" customHeight="1" x14ac:dyDescent="0.25">
      <c r="D10" s="12" t="s">
        <v>23</v>
      </c>
      <c r="E10" s="14">
        <v>30</v>
      </c>
      <c r="F10" s="14">
        <v>30</v>
      </c>
      <c r="G10" s="25"/>
    </row>
    <row r="11" spans="4:7" ht="18" customHeight="1" x14ac:dyDescent="0.25">
      <c r="D11" s="12" t="s">
        <v>24</v>
      </c>
      <c r="E11" s="14">
        <v>35</v>
      </c>
      <c r="F11" s="14">
        <v>35</v>
      </c>
      <c r="G11" s="25"/>
    </row>
    <row r="12" spans="4:7" ht="18" customHeight="1" x14ac:dyDescent="0.25">
      <c r="D12" s="12" t="s">
        <v>25</v>
      </c>
      <c r="E12" s="14">
        <v>0</v>
      </c>
      <c r="F12" s="14">
        <v>0</v>
      </c>
      <c r="G12" s="25"/>
    </row>
    <row r="13" spans="4:7" ht="18" customHeight="1" x14ac:dyDescent="0.25">
      <c r="D13" s="12" t="s">
        <v>26</v>
      </c>
      <c r="E13" s="16">
        <f>((E10+E11)-E12)/30</f>
        <v>2.1666666666666665</v>
      </c>
      <c r="F13" s="16">
        <f>((F10+F11)-F12)/30</f>
        <v>2.1666666666666665</v>
      </c>
      <c r="G13" s="25"/>
    </row>
    <row r="14" spans="4:7" ht="18" customHeight="1" x14ac:dyDescent="0.25">
      <c r="D14" s="12" t="s">
        <v>27</v>
      </c>
      <c r="E14" s="13">
        <f>E9*E13</f>
        <v>58023.98333333333</v>
      </c>
      <c r="F14" s="13">
        <f>F9*F13</f>
        <v>60925.182499999995</v>
      </c>
      <c r="G14" s="25"/>
    </row>
    <row r="15" spans="4:7" ht="18" customHeight="1" x14ac:dyDescent="0.25">
      <c r="D15" s="12" t="s">
        <v>28</v>
      </c>
      <c r="E15" s="15">
        <v>50000</v>
      </c>
      <c r="F15" s="15">
        <f>E15</f>
        <v>50000</v>
      </c>
      <c r="G15" s="25"/>
    </row>
    <row r="16" spans="4:7" ht="18" customHeight="1" x14ac:dyDescent="0.25">
      <c r="D16" s="12" t="s">
        <v>29</v>
      </c>
      <c r="E16" s="15">
        <f>E15-E14</f>
        <v>-8023.9833333333299</v>
      </c>
      <c r="F16" s="15">
        <f>F15-F14</f>
        <v>-10925.182499999995</v>
      </c>
      <c r="G16" s="26"/>
    </row>
  </sheetData>
  <mergeCells count="3">
    <mergeCell ref="D6:D8"/>
    <mergeCell ref="G6:G8"/>
    <mergeCell ref="G9:G16"/>
  </mergeCell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3"/>
  <sheetViews>
    <sheetView zoomScale="70" zoomScaleNormal="70" workbookViewId="0">
      <selection activeCell="E27" sqref="E27"/>
    </sheetView>
  </sheetViews>
  <sheetFormatPr defaultRowHeight="15" x14ac:dyDescent="0.25"/>
  <cols>
    <col min="1" max="1" width="4.28515625" customWidth="1"/>
    <col min="2" max="2" width="27.5703125" customWidth="1"/>
    <col min="3" max="4" width="17.5703125" customWidth="1"/>
    <col min="5" max="5" width="20.42578125" customWidth="1"/>
    <col min="6" max="8" width="17.5703125" customWidth="1"/>
    <col min="9" max="9" width="16.5703125" customWidth="1"/>
    <col min="10" max="10" width="16.42578125" hidden="1" customWidth="1"/>
    <col min="13" max="13" width="22" customWidth="1"/>
  </cols>
  <sheetData>
    <row r="2" spans="1:10" x14ac:dyDescent="0.25">
      <c r="A2" t="s">
        <v>30</v>
      </c>
    </row>
    <row r="3" spans="1:10" x14ac:dyDescent="0.25">
      <c r="A3" t="s">
        <v>31</v>
      </c>
    </row>
    <row r="6" spans="1:10" x14ac:dyDescent="0.25">
      <c r="A6" s="48" t="s">
        <v>32</v>
      </c>
      <c r="B6" s="49"/>
      <c r="C6" s="28">
        <v>2016</v>
      </c>
      <c r="D6" s="28">
        <v>2017</v>
      </c>
      <c r="E6" s="28">
        <v>2018</v>
      </c>
      <c r="F6" s="28">
        <v>2018</v>
      </c>
      <c r="G6" s="28">
        <v>2019</v>
      </c>
      <c r="H6" s="28">
        <v>2020</v>
      </c>
      <c r="I6" s="29">
        <v>2021</v>
      </c>
    </row>
    <row r="7" spans="1:10" ht="30" x14ac:dyDescent="0.25">
      <c r="A7" s="50"/>
      <c r="B7" s="51"/>
      <c r="C7" s="45" t="s">
        <v>43</v>
      </c>
      <c r="D7" s="45" t="s">
        <v>43</v>
      </c>
      <c r="E7" s="46" t="s">
        <v>49</v>
      </c>
      <c r="F7" s="45" t="s">
        <v>43</v>
      </c>
      <c r="G7" s="45" t="s">
        <v>43</v>
      </c>
      <c r="H7" s="45" t="s">
        <v>43</v>
      </c>
      <c r="I7" s="47" t="s">
        <v>43</v>
      </c>
    </row>
    <row r="8" spans="1:10" x14ac:dyDescent="0.25">
      <c r="A8" s="30" t="s">
        <v>33</v>
      </c>
      <c r="B8" s="4"/>
      <c r="C8" s="4"/>
      <c r="D8" s="4"/>
      <c r="E8" s="4"/>
      <c r="F8" s="4"/>
      <c r="G8" s="4"/>
      <c r="H8" s="4"/>
      <c r="I8" s="31"/>
    </row>
    <row r="9" spans="1:10" x14ac:dyDescent="0.25">
      <c r="A9" s="30"/>
      <c r="B9" s="4" t="s">
        <v>7</v>
      </c>
      <c r="C9" s="32">
        <f>D9*0.93</f>
        <v>125861.11290000001</v>
      </c>
      <c r="D9" s="32">
        <f>E9/5*12*0.93</f>
        <v>135334.53</v>
      </c>
      <c r="E9" s="32">
        <f>12126.75*5</f>
        <v>60633.75</v>
      </c>
      <c r="F9" s="32">
        <f>E9/5*12</f>
        <v>145521</v>
      </c>
      <c r="G9" s="32">
        <f>F9*1.07</f>
        <v>155707.47</v>
      </c>
      <c r="H9" s="32">
        <f>G9*1.07</f>
        <v>166606.99290000001</v>
      </c>
      <c r="I9" s="33">
        <f>H9*1.07</f>
        <v>178269.48240300003</v>
      </c>
      <c r="J9" s="9">
        <f>E9/5</f>
        <v>12126.75</v>
      </c>
    </row>
    <row r="10" spans="1:10" x14ac:dyDescent="0.25">
      <c r="A10" s="30"/>
      <c r="B10" s="4" t="s">
        <v>34</v>
      </c>
      <c r="C10" s="32">
        <f>D10*0.95</f>
        <v>290030.64899999998</v>
      </c>
      <c r="D10" s="32">
        <f>E10/5*12*0.95</f>
        <v>305295.42</v>
      </c>
      <c r="E10" s="32">
        <f>26780.3*5</f>
        <v>133901.5</v>
      </c>
      <c r="F10" s="32">
        <f>E10/5*12</f>
        <v>321363.59999999998</v>
      </c>
      <c r="G10" s="32">
        <f>F10*1.05</f>
        <v>337431.77999999997</v>
      </c>
      <c r="H10" s="32">
        <f>G10*1.05</f>
        <v>354303.36900000001</v>
      </c>
      <c r="I10" s="33">
        <f>H10*1.05</f>
        <v>372018.53745</v>
      </c>
      <c r="J10" s="9">
        <f t="shared" ref="J10:J21" si="0">E10/5</f>
        <v>26780.3</v>
      </c>
    </row>
    <row r="11" spans="1:10" x14ac:dyDescent="0.25">
      <c r="A11" s="30"/>
      <c r="B11" s="4" t="s">
        <v>35</v>
      </c>
      <c r="C11" s="32">
        <f>SUM(C9:C10)</f>
        <v>415891.76189999998</v>
      </c>
      <c r="D11" s="32">
        <f>SUM(D9:D10)</f>
        <v>440629.94999999995</v>
      </c>
      <c r="E11" s="32">
        <f t="shared" ref="E11:J11" si="1">SUM(E9:E10)</f>
        <v>194535.25</v>
      </c>
      <c r="F11" s="32">
        <f t="shared" si="1"/>
        <v>466884.6</v>
      </c>
      <c r="G11" s="32">
        <f t="shared" si="1"/>
        <v>493139.25</v>
      </c>
      <c r="H11" s="32">
        <f t="shared" si="1"/>
        <v>520910.36190000002</v>
      </c>
      <c r="I11" s="34">
        <f t="shared" si="1"/>
        <v>550288.01985300006</v>
      </c>
      <c r="J11" s="17">
        <f t="shared" si="1"/>
        <v>38907.050000000003</v>
      </c>
    </row>
    <row r="12" spans="1:10" x14ac:dyDescent="0.25">
      <c r="A12" s="30" t="s">
        <v>36</v>
      </c>
      <c r="B12" s="4"/>
      <c r="C12" s="32"/>
      <c r="D12" s="32"/>
      <c r="E12" s="32"/>
      <c r="F12" s="32"/>
      <c r="G12" s="32"/>
      <c r="H12" s="32"/>
      <c r="I12" s="31"/>
      <c r="J12" s="9">
        <f t="shared" si="0"/>
        <v>0</v>
      </c>
    </row>
    <row r="13" spans="1:10" x14ac:dyDescent="0.25">
      <c r="A13" s="30"/>
      <c r="B13" s="4" t="s">
        <v>45</v>
      </c>
      <c r="C13" s="32">
        <f>C10*95%</f>
        <v>275529.11654999998</v>
      </c>
      <c r="D13" s="32">
        <f>D10*95%</f>
        <v>290030.64899999998</v>
      </c>
      <c r="E13" s="32">
        <f>E10*95%</f>
        <v>127206.42499999999</v>
      </c>
      <c r="F13" s="32">
        <f>F10*95%</f>
        <v>305295.42</v>
      </c>
      <c r="G13" s="32">
        <f t="shared" ref="G13:J13" si="2">G10*95%</f>
        <v>320560.19099999993</v>
      </c>
      <c r="H13" s="32">
        <f t="shared" si="2"/>
        <v>336588.20055000001</v>
      </c>
      <c r="I13" s="34">
        <f t="shared" si="2"/>
        <v>353417.61057749996</v>
      </c>
      <c r="J13" s="17">
        <f t="shared" si="2"/>
        <v>25441.285</v>
      </c>
    </row>
    <row r="14" spans="1:10" x14ac:dyDescent="0.25">
      <c r="A14" s="30"/>
      <c r="B14" s="4" t="s">
        <v>37</v>
      </c>
      <c r="C14" s="32">
        <f>D14*0.95</f>
        <v>42032.529600000002</v>
      </c>
      <c r="D14" s="32">
        <f>E14/5*12*0.95</f>
        <v>44244.768000000004</v>
      </c>
      <c r="E14" s="32">
        <f>3881.12*5</f>
        <v>19405.599999999999</v>
      </c>
      <c r="F14" s="32">
        <f>E14/5*12</f>
        <v>46573.440000000002</v>
      </c>
      <c r="G14" s="32">
        <f>F14*1.05</f>
        <v>48902.112000000001</v>
      </c>
      <c r="H14" s="32">
        <f>G14*1.05</f>
        <v>51347.217600000004</v>
      </c>
      <c r="I14" s="33">
        <f>H14*1.05</f>
        <v>53914.578480000004</v>
      </c>
      <c r="J14" s="9">
        <f t="shared" si="0"/>
        <v>3881.12</v>
      </c>
    </row>
    <row r="15" spans="1:10" x14ac:dyDescent="0.25">
      <c r="A15" s="30"/>
      <c r="B15" s="4" t="s">
        <v>47</v>
      </c>
      <c r="C15" s="32">
        <f>D15*0.95</f>
        <v>16245</v>
      </c>
      <c r="D15" s="32">
        <f>E15/5*12*0.95</f>
        <v>17100</v>
      </c>
      <c r="E15" s="32">
        <f>5*300*5</f>
        <v>7500</v>
      </c>
      <c r="F15" s="32">
        <f t="shared" ref="F15:F18" si="3">E15/5*12</f>
        <v>18000</v>
      </c>
      <c r="G15" s="32">
        <f t="shared" ref="G15:I18" si="4">F15*1.05</f>
        <v>18900</v>
      </c>
      <c r="H15" s="32">
        <f t="shared" si="4"/>
        <v>19845</v>
      </c>
      <c r="I15" s="33">
        <f t="shared" si="4"/>
        <v>20837.25</v>
      </c>
      <c r="J15" s="9">
        <f t="shared" si="0"/>
        <v>1500</v>
      </c>
    </row>
    <row r="16" spans="1:10" x14ac:dyDescent="0.25">
      <c r="A16" s="30"/>
      <c r="B16" s="4" t="s">
        <v>38</v>
      </c>
      <c r="C16" s="32">
        <f>D16*0.95</f>
        <v>19494</v>
      </c>
      <c r="D16" s="32">
        <f>E16/5*12*0.95</f>
        <v>20520</v>
      </c>
      <c r="E16" s="32">
        <f>60*30*5</f>
        <v>9000</v>
      </c>
      <c r="F16" s="32">
        <f>E16/5*12</f>
        <v>21600</v>
      </c>
      <c r="G16" s="32">
        <f t="shared" si="4"/>
        <v>22680</v>
      </c>
      <c r="H16" s="32">
        <f t="shared" si="4"/>
        <v>23814</v>
      </c>
      <c r="I16" s="33">
        <f t="shared" si="4"/>
        <v>25004.7</v>
      </c>
      <c r="J16" s="9">
        <f t="shared" si="0"/>
        <v>1800</v>
      </c>
    </row>
    <row r="17" spans="1:10" x14ac:dyDescent="0.25">
      <c r="A17" s="30"/>
      <c r="B17" s="4" t="s">
        <v>39</v>
      </c>
      <c r="C17" s="32">
        <f>D17*0.95</f>
        <v>9747</v>
      </c>
      <c r="D17" s="32">
        <f>E17/5*12*0.95</f>
        <v>10260</v>
      </c>
      <c r="E17" s="32">
        <f>30*30*5</f>
        <v>4500</v>
      </c>
      <c r="F17" s="32">
        <f t="shared" si="3"/>
        <v>10800</v>
      </c>
      <c r="G17" s="32">
        <f t="shared" si="4"/>
        <v>11340</v>
      </c>
      <c r="H17" s="32">
        <f t="shared" si="4"/>
        <v>11907</v>
      </c>
      <c r="I17" s="33">
        <f t="shared" si="4"/>
        <v>12502.35</v>
      </c>
      <c r="J17" s="9">
        <f t="shared" si="0"/>
        <v>900</v>
      </c>
    </row>
    <row r="18" spans="1:10" x14ac:dyDescent="0.25">
      <c r="A18" s="30"/>
      <c r="B18" s="4" t="s">
        <v>40</v>
      </c>
      <c r="C18" s="32">
        <f>D18*0.95</f>
        <v>10830</v>
      </c>
      <c r="D18" s="32">
        <f>E18/5*12*0.95</f>
        <v>11400</v>
      </c>
      <c r="E18" s="32">
        <f>1000*5</f>
        <v>5000</v>
      </c>
      <c r="F18" s="32">
        <f t="shared" si="3"/>
        <v>12000</v>
      </c>
      <c r="G18" s="32">
        <f t="shared" si="4"/>
        <v>12600</v>
      </c>
      <c r="H18" s="32">
        <f t="shared" si="4"/>
        <v>13230</v>
      </c>
      <c r="I18" s="33">
        <f t="shared" si="4"/>
        <v>13891.5</v>
      </c>
      <c r="J18" s="9">
        <f t="shared" si="0"/>
        <v>1000</v>
      </c>
    </row>
    <row r="19" spans="1:10" x14ac:dyDescent="0.25">
      <c r="A19" s="30"/>
      <c r="B19" s="4" t="s">
        <v>41</v>
      </c>
      <c r="C19" s="32">
        <f>SUM(C13:C18)</f>
        <v>373877.64614999999</v>
      </c>
      <c r="D19" s="32">
        <f>SUM(D13:D18)</f>
        <v>393555.41699999996</v>
      </c>
      <c r="E19" s="32">
        <f>SUM(E13:E18)</f>
        <v>172612.02499999999</v>
      </c>
      <c r="F19" s="32">
        <f t="shared" ref="F19:I19" si="5">SUM(F13:F18)</f>
        <v>414268.86</v>
      </c>
      <c r="G19" s="32">
        <f t="shared" si="5"/>
        <v>434982.30299999996</v>
      </c>
      <c r="H19" s="32">
        <f t="shared" si="5"/>
        <v>456731.41815000004</v>
      </c>
      <c r="I19" s="34">
        <f t="shared" si="5"/>
        <v>479567.98905749997</v>
      </c>
      <c r="J19" s="9">
        <f t="shared" si="0"/>
        <v>34522.404999999999</v>
      </c>
    </row>
    <row r="20" spans="1:10" x14ac:dyDescent="0.25">
      <c r="A20" s="30" t="s">
        <v>42</v>
      </c>
      <c r="B20" s="4"/>
      <c r="C20" s="32">
        <f>C11-C19</f>
        <v>42014.115749999997</v>
      </c>
      <c r="D20" s="32">
        <f>D11-D19</f>
        <v>47074.532999999996</v>
      </c>
      <c r="E20" s="32">
        <f>E11-E19</f>
        <v>21923.225000000006</v>
      </c>
      <c r="F20" s="32">
        <f t="shared" ref="F20:I20" si="6">F11-F19</f>
        <v>52615.739999999991</v>
      </c>
      <c r="G20" s="32">
        <f t="shared" si="6"/>
        <v>58156.947000000044</v>
      </c>
      <c r="H20" s="32">
        <f t="shared" si="6"/>
        <v>64178.943749999977</v>
      </c>
      <c r="I20" s="34">
        <f t="shared" si="6"/>
        <v>70720.03079550009</v>
      </c>
      <c r="J20" s="9">
        <f t="shared" si="0"/>
        <v>4384.6450000000013</v>
      </c>
    </row>
    <row r="21" spans="1:10" x14ac:dyDescent="0.25">
      <c r="A21" s="35" t="s">
        <v>5</v>
      </c>
      <c r="B21" s="36"/>
      <c r="C21" s="37">
        <f>C20/12</f>
        <v>3501.1763124999998</v>
      </c>
      <c r="D21" s="37">
        <f>D20/12</f>
        <v>3922.8777499999997</v>
      </c>
      <c r="E21" s="37">
        <f>E20/5</f>
        <v>4384.6450000000013</v>
      </c>
      <c r="F21" s="37">
        <f>F20/12</f>
        <v>4384.6449999999995</v>
      </c>
      <c r="G21" s="37">
        <f t="shared" ref="G21:I21" si="7">G20/12</f>
        <v>4846.412250000004</v>
      </c>
      <c r="H21" s="37">
        <f t="shared" si="7"/>
        <v>5348.2453124999984</v>
      </c>
      <c r="I21" s="38">
        <f t="shared" si="7"/>
        <v>5893.3358996250072</v>
      </c>
      <c r="J21" s="9">
        <f t="shared" si="0"/>
        <v>876.92900000000031</v>
      </c>
    </row>
    <row r="22" spans="1:10" x14ac:dyDescent="0.25">
      <c r="A22" s="35" t="s">
        <v>44</v>
      </c>
      <c r="B22" s="36"/>
      <c r="C22" s="39">
        <v>0</v>
      </c>
      <c r="D22" s="39">
        <v>0</v>
      </c>
      <c r="E22" s="37">
        <v>300</v>
      </c>
      <c r="F22" s="37">
        <f>E22*1.1</f>
        <v>330</v>
      </c>
      <c r="G22" s="37">
        <f>F22*1.1</f>
        <v>363.00000000000006</v>
      </c>
      <c r="H22" s="37">
        <f>G22*1.1</f>
        <v>399.30000000000007</v>
      </c>
      <c r="I22" s="40">
        <f>H22*1.1</f>
        <v>439.23000000000013</v>
      </c>
    </row>
    <row r="23" spans="1:10" x14ac:dyDescent="0.25">
      <c r="A23" s="41" t="s">
        <v>46</v>
      </c>
      <c r="B23" s="42"/>
      <c r="C23" s="43">
        <f>C21+C22</f>
        <v>3501.1763124999998</v>
      </c>
      <c r="D23" s="43">
        <f>D21+D22</f>
        <v>3922.8777499999997</v>
      </c>
      <c r="E23" s="43">
        <f>E21+E22</f>
        <v>4684.6450000000013</v>
      </c>
      <c r="F23" s="43">
        <f t="shared" ref="F23:I23" si="8">F21+F22</f>
        <v>4714.6449999999995</v>
      </c>
      <c r="G23" s="43">
        <f t="shared" si="8"/>
        <v>5209.412250000004</v>
      </c>
      <c r="H23" s="43">
        <f t="shared" si="8"/>
        <v>5747.5453124999985</v>
      </c>
      <c r="I23" s="44">
        <f t="shared" si="8"/>
        <v>6332.5658996250077</v>
      </c>
    </row>
    <row r="25" spans="1:10" x14ac:dyDescent="0.25">
      <c r="H25" t="s">
        <v>48</v>
      </c>
    </row>
    <row r="27" spans="1:10" x14ac:dyDescent="0.25">
      <c r="E27" s="9"/>
    </row>
    <row r="33" spans="8:9" x14ac:dyDescent="0.25">
      <c r="H33" s="27" t="s">
        <v>31</v>
      </c>
      <c r="I33" s="27"/>
    </row>
  </sheetData>
  <mergeCells count="1">
    <mergeCell ref="A6:B7"/>
  </mergeCells>
  <pageMargins left="0.7" right="0.7" top="0.75" bottom="0.75" header="0.3" footer="0.3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 Ratanak</dc:creator>
  <cp:lastModifiedBy>Sok Ratanak</cp:lastModifiedBy>
  <cp:lastPrinted>2018-07-20T04:13:31Z</cp:lastPrinted>
  <dcterms:created xsi:type="dcterms:W3CDTF">2018-07-10T07:44:36Z</dcterms:created>
  <dcterms:modified xsi:type="dcterms:W3CDTF">2018-07-20T04:13:33Z</dcterms:modified>
</cp:coreProperties>
</file>