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1075" windowHeight="9525" activeTab="1"/>
  </bookViews>
  <sheets>
    <sheet name="Sheet1" sheetId="1" r:id="rId1"/>
    <sheet name="Sheet1 (2)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D23" i="3" l="1"/>
  <c r="E23" i="3"/>
  <c r="F23" i="3"/>
  <c r="F24" i="3" s="1"/>
  <c r="F26" i="3" s="1"/>
  <c r="F27" i="3" s="1"/>
  <c r="G23" i="3"/>
  <c r="H23" i="3"/>
  <c r="H24" i="3" s="1"/>
  <c r="H26" i="3" s="1"/>
  <c r="H27" i="3" s="1"/>
  <c r="H22" i="3"/>
  <c r="G22" i="3"/>
  <c r="F22" i="3"/>
  <c r="C25" i="3"/>
  <c r="C23" i="3"/>
  <c r="E22" i="3"/>
  <c r="E25" i="3"/>
  <c r="F25" i="3"/>
  <c r="G25" i="3"/>
  <c r="H25" i="3"/>
  <c r="G24" i="3"/>
  <c r="D15" i="3"/>
  <c r="E15" i="3"/>
  <c r="F15" i="3"/>
  <c r="G15" i="3"/>
  <c r="H15" i="3"/>
  <c r="C15" i="3"/>
  <c r="G14" i="3"/>
  <c r="H14" i="3"/>
  <c r="F14" i="3"/>
  <c r="G13" i="3"/>
  <c r="H13" i="3"/>
  <c r="F13" i="3"/>
  <c r="H12" i="3"/>
  <c r="G12" i="3"/>
  <c r="F12" i="3"/>
  <c r="H11" i="3"/>
  <c r="G11" i="3"/>
  <c r="F11" i="3"/>
  <c r="G10" i="3"/>
  <c r="H10" i="3"/>
  <c r="F10" i="3"/>
  <c r="H8" i="3"/>
  <c r="G8" i="3"/>
  <c r="G9" i="3" s="1"/>
  <c r="H9" i="3"/>
  <c r="F9" i="3"/>
  <c r="F8" i="3"/>
  <c r="E21" i="2"/>
  <c r="F21" i="2"/>
  <c r="D21" i="2"/>
  <c r="E20" i="2"/>
  <c r="D20" i="2"/>
  <c r="D19" i="2"/>
  <c r="E19" i="2"/>
  <c r="D18" i="2"/>
  <c r="E18" i="2"/>
  <c r="D17" i="2"/>
  <c r="E17" i="2"/>
  <c r="D16" i="2"/>
  <c r="E16" i="2"/>
  <c r="D15" i="2"/>
  <c r="E15" i="2"/>
  <c r="D14" i="2"/>
  <c r="E14" i="2"/>
  <c r="D13" i="2"/>
  <c r="E13" i="2"/>
  <c r="E12" i="2"/>
  <c r="F11" i="2"/>
  <c r="F12" i="2" s="1"/>
  <c r="F13" i="2" s="1"/>
  <c r="D11" i="2"/>
  <c r="E11" i="2"/>
  <c r="G26" i="3" l="1"/>
  <c r="G27" i="3" s="1"/>
  <c r="E24" i="3"/>
  <c r="E26" i="3" s="1"/>
  <c r="E27" i="3" s="1"/>
  <c r="D22" i="3"/>
  <c r="F14" i="2"/>
  <c r="F15" i="2" s="1"/>
  <c r="F16" i="2" s="1"/>
  <c r="F17" i="2" s="1"/>
  <c r="F18" i="2" s="1"/>
  <c r="F19" i="2" s="1"/>
  <c r="D38" i="4"/>
  <c r="B37" i="4"/>
  <c r="B33" i="4"/>
  <c r="B32" i="4"/>
  <c r="B27" i="4"/>
  <c r="B26" i="4"/>
  <c r="B25" i="4"/>
  <c r="B24" i="4"/>
  <c r="B23" i="4"/>
  <c r="B20" i="4"/>
  <c r="B19" i="4"/>
  <c r="B17" i="4"/>
  <c r="B16" i="4"/>
  <c r="B15" i="4"/>
  <c r="C10" i="4"/>
  <c r="C37" i="4" s="1"/>
  <c r="D36" i="4"/>
  <c r="D32" i="4"/>
  <c r="D30" i="4"/>
  <c r="D25" i="4"/>
  <c r="D24" i="4"/>
  <c r="D21" i="4"/>
  <c r="D19" i="4"/>
  <c r="D10" i="4"/>
  <c r="D9" i="4"/>
  <c r="D6" i="4"/>
  <c r="C9" i="4"/>
  <c r="C7" i="4"/>
  <c r="C35" i="4"/>
  <c r="C34" i="4"/>
  <c r="C33" i="4"/>
  <c r="C31" i="4"/>
  <c r="C30" i="4"/>
  <c r="C28" i="4"/>
  <c r="C27" i="4"/>
  <c r="C26" i="4"/>
  <c r="C25" i="4"/>
  <c r="C21" i="4"/>
  <c r="C19" i="4"/>
  <c r="C15" i="4"/>
  <c r="C12" i="4"/>
  <c r="C22" i="3" l="1"/>
  <c r="D24" i="3"/>
  <c r="D25" i="3"/>
  <c r="D37" i="4"/>
  <c r="L38" i="1"/>
  <c r="I37" i="1"/>
  <c r="J37" i="1"/>
  <c r="K37" i="1"/>
  <c r="L37" i="1"/>
  <c r="I35" i="1"/>
  <c r="I32" i="1"/>
  <c r="I26" i="1"/>
  <c r="I23" i="1"/>
  <c r="I7" i="1"/>
  <c r="I6" i="1"/>
  <c r="H35" i="1"/>
  <c r="H32" i="1"/>
  <c r="H7" i="1"/>
  <c r="H27" i="1"/>
  <c r="H24" i="1"/>
  <c r="H22" i="1"/>
  <c r="H21" i="1"/>
  <c r="J34" i="1"/>
  <c r="J27" i="1"/>
  <c r="J26" i="1"/>
  <c r="J23" i="1"/>
  <c r="J19" i="1"/>
  <c r="J18" i="1"/>
  <c r="J16" i="1"/>
  <c r="J15" i="1"/>
  <c r="J13" i="1"/>
  <c r="J12" i="1"/>
  <c r="J11" i="1"/>
  <c r="J10" i="1"/>
  <c r="J6" i="1"/>
  <c r="J9" i="1"/>
  <c r="L14" i="1"/>
  <c r="L13" i="1"/>
  <c r="L10" i="1"/>
  <c r="K36" i="1"/>
  <c r="L7" i="1"/>
  <c r="K33" i="1"/>
  <c r="K32" i="1"/>
  <c r="K31" i="1"/>
  <c r="K28" i="1"/>
  <c r="K27" i="1"/>
  <c r="K26" i="1"/>
  <c r="K22" i="1"/>
  <c r="K20" i="1"/>
  <c r="K19" i="1"/>
  <c r="K17" i="1"/>
  <c r="K16" i="1"/>
  <c r="K13" i="1"/>
  <c r="K11" i="1"/>
  <c r="K10" i="1"/>
  <c r="E35" i="1"/>
  <c r="E34" i="1"/>
  <c r="E32" i="1"/>
  <c r="E30" i="1"/>
  <c r="E27" i="1"/>
  <c r="E22" i="1"/>
  <c r="E20" i="1"/>
  <c r="E16" i="1"/>
  <c r="E15" i="1"/>
  <c r="E13" i="1"/>
  <c r="E12" i="1"/>
  <c r="E10" i="1"/>
  <c r="E8" i="1"/>
  <c r="E6" i="1"/>
  <c r="D35" i="1"/>
  <c r="D34" i="1"/>
  <c r="D32" i="1"/>
  <c r="D30" i="1"/>
  <c r="D28" i="1"/>
  <c r="D27" i="1"/>
  <c r="D25" i="1"/>
  <c r="D21" i="1"/>
  <c r="D20" i="1"/>
  <c r="D16" i="1"/>
  <c r="D15" i="1"/>
  <c r="D12" i="1"/>
  <c r="D11" i="1"/>
  <c r="D10" i="1"/>
  <c r="D8" i="1"/>
  <c r="D6" i="1"/>
  <c r="C37" i="1"/>
  <c r="C35" i="1"/>
  <c r="C33" i="1"/>
  <c r="C32" i="1"/>
  <c r="C31" i="1"/>
  <c r="C30" i="1"/>
  <c r="C28" i="1"/>
  <c r="C26" i="1"/>
  <c r="C25" i="1"/>
  <c r="C23" i="1"/>
  <c r="C20" i="1"/>
  <c r="C15" i="1"/>
  <c r="C13" i="1"/>
  <c r="C10" i="1"/>
  <c r="C8" i="1"/>
  <c r="D26" i="3" l="1"/>
  <c r="D27" i="3" s="1"/>
  <c r="C24" i="3"/>
  <c r="C26" i="3" s="1"/>
  <c r="C27" i="3" s="1"/>
  <c r="H37" i="1"/>
  <c r="E37" i="1"/>
  <c r="D37" i="1"/>
  <c r="E38" i="1" l="1"/>
</calcChain>
</file>

<file path=xl/sharedStrings.xml><?xml version="1.0" encoding="utf-8"?>
<sst xmlns="http://schemas.openxmlformats.org/spreadsheetml/2006/main" count="75" uniqueCount="39">
  <si>
    <t>Summary Invoice</t>
  </si>
  <si>
    <t>Sale Invovice</t>
  </si>
  <si>
    <t>LINH LINH FURNITURE</t>
  </si>
  <si>
    <t>Month/Day</t>
  </si>
  <si>
    <t>Sep</t>
  </si>
  <si>
    <t>Nov</t>
  </si>
  <si>
    <t>Oct</t>
  </si>
  <si>
    <t>Total</t>
  </si>
  <si>
    <t>Average</t>
  </si>
  <si>
    <t>MEY MEY FURNITURE</t>
  </si>
  <si>
    <t>Dec</t>
  </si>
  <si>
    <t>Jan</t>
  </si>
  <si>
    <t>Queen  Diamond Store (In Ratana Plaza Mall)</t>
  </si>
  <si>
    <t>Aug</t>
  </si>
  <si>
    <t>Summarized by:</t>
  </si>
  <si>
    <t>Sok Ratanak</t>
  </si>
  <si>
    <t>12 Months</t>
  </si>
  <si>
    <t>Month</t>
  </si>
  <si>
    <t>Debit (USD)</t>
  </si>
  <si>
    <t>Credit (USD)</t>
  </si>
  <si>
    <t>Balance (USD)</t>
  </si>
  <si>
    <t>Balance Forward</t>
  </si>
  <si>
    <t>UCB: Account No.  1000167882</t>
  </si>
  <si>
    <t>Ms. Tang Guech Linh</t>
  </si>
  <si>
    <t>Linh Linh Furniture Business</t>
  </si>
  <si>
    <t>Income Statement</t>
  </si>
  <si>
    <t>12-Month</t>
  </si>
  <si>
    <t>Revenue</t>
  </si>
  <si>
    <t>COGS</t>
  </si>
  <si>
    <t>Gross Income</t>
  </si>
  <si>
    <t>Operating Expenses</t>
  </si>
  <si>
    <t>Other Expenses</t>
  </si>
  <si>
    <t>Total Expenses</t>
  </si>
  <si>
    <t>Net Income</t>
  </si>
  <si>
    <t>Income Projection</t>
  </si>
  <si>
    <t>Queen Diamond
Store</t>
  </si>
  <si>
    <t>Selling Jewerly</t>
  </si>
  <si>
    <t>Gross Profit</t>
  </si>
  <si>
    <t>Summaried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</si>
</sst>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43" fontId="0" fillId="0" borderId="0" xfId="1" applyFont="1"/>
    <xf numFmtId="43" fontId="2" fillId="0" borderId="0" xfId="0" applyNumberFormat="1" applyFont="1"/>
    <xf numFmtId="16" fontId="0" fillId="0" borderId="0" xfId="0" applyNumberFormat="1" applyFont="1" applyAlignment="1">
      <alignment horizontal="center"/>
    </xf>
    <xf numFmtId="0" fontId="0" fillId="0" borderId="0" xfId="0" applyAlignment="1"/>
    <xf numFmtId="43" fontId="0" fillId="0" borderId="0" xfId="1" applyFont="1" applyAlignment="1">
      <alignment horizontal="center"/>
    </xf>
    <xf numFmtId="43" fontId="2" fillId="0" borderId="0" xfId="1" applyFont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/>
    <xf numFmtId="0" fontId="2" fillId="0" borderId="1" xfId="0" applyFont="1" applyBorder="1"/>
    <xf numFmtId="43" fontId="2" fillId="0" borderId="1" xfId="0" applyNumberFormat="1" applyFont="1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4" fontId="5" fillId="0" borderId="0" xfId="0" applyNumberFormat="1" applyFont="1" applyBorder="1" applyAlignment="1">
      <alignment horizontal="right" vertical="center"/>
    </xf>
    <xf numFmtId="4" fontId="5" fillId="0" borderId="0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9" fontId="0" fillId="0" borderId="0" xfId="2" applyFont="1"/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4" fontId="7" fillId="0" borderId="1" xfId="0" applyNumberFormat="1" applyFont="1" applyBorder="1" applyAlignment="1">
      <alignment horizontal="right" vertical="center" wrapText="1"/>
    </xf>
    <xf numFmtId="43" fontId="0" fillId="0" borderId="1" xfId="1" applyNumberFormat="1" applyFont="1" applyBorder="1"/>
    <xf numFmtId="0" fontId="6" fillId="0" borderId="1" xfId="0" applyFont="1" applyBorder="1" applyAlignment="1">
      <alignment horizontal="left" vertical="center" wrapText="1"/>
    </xf>
    <xf numFmtId="4" fontId="6" fillId="0" borderId="1" xfId="0" applyNumberFormat="1" applyFont="1" applyBorder="1" applyAlignment="1">
      <alignment horizontal="right" vertical="center" wrapText="1"/>
    </xf>
    <xf numFmtId="0" fontId="6" fillId="0" borderId="1" xfId="0" applyFont="1" applyFill="1" applyBorder="1" applyAlignment="1">
      <alignment horizontal="left" vertical="center" wrapText="1"/>
    </xf>
    <xf numFmtId="43" fontId="2" fillId="0" borderId="1" xfId="1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3" fontId="0" fillId="0" borderId="1" xfId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5"/>
  <sheetViews>
    <sheetView topLeftCell="A14" workbookViewId="0">
      <selection activeCell="F42" sqref="F42"/>
    </sheetView>
  </sheetViews>
  <sheetFormatPr defaultRowHeight="15" x14ac:dyDescent="0.25"/>
  <cols>
    <col min="2" max="2" width="11.7109375" customWidth="1"/>
    <col min="3" max="5" width="16.7109375" customWidth="1"/>
    <col min="6" max="6" width="25.28515625" customWidth="1"/>
    <col min="7" max="7" width="11.7109375" customWidth="1"/>
    <col min="8" max="11" width="16.7109375" customWidth="1"/>
    <col min="12" max="12" width="14.42578125" style="5" customWidth="1"/>
  </cols>
  <sheetData>
    <row r="1" spans="2:14" x14ac:dyDescent="0.25">
      <c r="B1" s="1" t="s">
        <v>2</v>
      </c>
      <c r="G1" s="1" t="s">
        <v>9</v>
      </c>
    </row>
    <row r="2" spans="2:14" x14ac:dyDescent="0.25">
      <c r="B2" t="s">
        <v>0</v>
      </c>
      <c r="G2" t="s">
        <v>0</v>
      </c>
    </row>
    <row r="3" spans="2:14" x14ac:dyDescent="0.25">
      <c r="B3" t="s">
        <v>1</v>
      </c>
      <c r="G3" t="s">
        <v>1</v>
      </c>
    </row>
    <row r="4" spans="2:14" x14ac:dyDescent="0.25">
      <c r="B4" s="34" t="s">
        <v>3</v>
      </c>
      <c r="C4" s="33">
        <v>2018</v>
      </c>
      <c r="D4" s="33"/>
      <c r="E4" s="33"/>
      <c r="G4" s="35" t="s">
        <v>3</v>
      </c>
      <c r="H4" s="36">
        <v>2018</v>
      </c>
      <c r="I4" s="36"/>
      <c r="J4" s="36"/>
      <c r="K4" s="36"/>
      <c r="L4" s="2">
        <v>2019</v>
      </c>
      <c r="M4" s="8"/>
      <c r="N4" s="8"/>
    </row>
    <row r="5" spans="2:14" x14ac:dyDescent="0.25">
      <c r="B5" s="34"/>
      <c r="C5" s="11" t="s">
        <v>4</v>
      </c>
      <c r="D5" s="11" t="s">
        <v>6</v>
      </c>
      <c r="E5" s="11" t="s">
        <v>5</v>
      </c>
      <c r="G5" s="35"/>
      <c r="H5" s="4" t="s">
        <v>4</v>
      </c>
      <c r="I5" s="4" t="s">
        <v>6</v>
      </c>
      <c r="J5" s="4" t="s">
        <v>5</v>
      </c>
      <c r="K5" s="7" t="s">
        <v>10</v>
      </c>
      <c r="L5" s="9" t="s">
        <v>11</v>
      </c>
    </row>
    <row r="6" spans="2:14" x14ac:dyDescent="0.25">
      <c r="B6" s="12">
        <v>1</v>
      </c>
      <c r="C6" s="13"/>
      <c r="D6" s="13">
        <f>1615</f>
        <v>1615</v>
      </c>
      <c r="E6" s="13">
        <f>12860+880+290+320</f>
        <v>14350</v>
      </c>
      <c r="G6" s="2">
        <v>1</v>
      </c>
      <c r="H6" s="5"/>
      <c r="I6" s="5">
        <f>140</f>
        <v>140</v>
      </c>
      <c r="J6" s="5">
        <f>650+5450</f>
        <v>6100</v>
      </c>
      <c r="K6" s="5"/>
    </row>
    <row r="7" spans="2:14" x14ac:dyDescent="0.25">
      <c r="B7" s="12">
        <v>2</v>
      </c>
      <c r="C7" s="13"/>
      <c r="D7" s="13"/>
      <c r="E7" s="13"/>
      <c r="G7" s="2">
        <v>2</v>
      </c>
      <c r="H7" s="5">
        <f>5080</f>
        <v>5080</v>
      </c>
      <c r="I7" s="5">
        <f>1200+160</f>
        <v>1360</v>
      </c>
      <c r="J7" s="5"/>
      <c r="K7" s="5"/>
      <c r="L7" s="5">
        <f>2500+200</f>
        <v>2700</v>
      </c>
    </row>
    <row r="8" spans="2:14" x14ac:dyDescent="0.25">
      <c r="B8" s="12">
        <v>3</v>
      </c>
      <c r="C8" s="13">
        <f>2695</f>
        <v>2695</v>
      </c>
      <c r="D8" s="13">
        <f>1660</f>
        <v>1660</v>
      </c>
      <c r="E8" s="13">
        <f>1390</f>
        <v>1390</v>
      </c>
      <c r="G8" s="2">
        <v>3</v>
      </c>
      <c r="H8" s="5"/>
      <c r="I8" s="5"/>
      <c r="J8" s="5"/>
      <c r="K8" s="5"/>
    </row>
    <row r="9" spans="2:14" x14ac:dyDescent="0.25">
      <c r="B9" s="12">
        <v>4</v>
      </c>
      <c r="C9" s="13"/>
      <c r="D9" s="13"/>
      <c r="E9" s="13"/>
      <c r="G9" s="2">
        <v>4</v>
      </c>
      <c r="H9" s="5"/>
      <c r="I9" s="5"/>
      <c r="J9" s="5">
        <f>1550</f>
        <v>1550</v>
      </c>
      <c r="K9" s="5"/>
    </row>
    <row r="10" spans="2:14" x14ac:dyDescent="0.25">
      <c r="B10" s="12">
        <v>5</v>
      </c>
      <c r="C10" s="13">
        <f>5400+850</f>
        <v>6250</v>
      </c>
      <c r="D10" s="13">
        <f>850</f>
        <v>850</v>
      </c>
      <c r="E10" s="13">
        <f>3200</f>
        <v>3200</v>
      </c>
      <c r="G10" s="2">
        <v>5</v>
      </c>
      <c r="H10" s="5"/>
      <c r="I10" s="5"/>
      <c r="J10" s="5">
        <f>1500</f>
        <v>1500</v>
      </c>
      <c r="K10" s="5">
        <f>2800</f>
        <v>2800</v>
      </c>
      <c r="L10" s="5">
        <f>1840+50</f>
        <v>1890</v>
      </c>
    </row>
    <row r="11" spans="2:14" x14ac:dyDescent="0.25">
      <c r="B11" s="12">
        <v>6</v>
      </c>
      <c r="C11" s="13"/>
      <c r="D11" s="13">
        <f>2825</f>
        <v>2825</v>
      </c>
      <c r="E11" s="13"/>
      <c r="G11" s="2">
        <v>6</v>
      </c>
      <c r="H11" s="5"/>
      <c r="I11" s="5"/>
      <c r="J11" s="5">
        <f>800</f>
        <v>800</v>
      </c>
      <c r="K11" s="5">
        <f>2500</f>
        <v>2500</v>
      </c>
    </row>
    <row r="12" spans="2:14" x14ac:dyDescent="0.25">
      <c r="B12" s="12">
        <v>7</v>
      </c>
      <c r="C12" s="13"/>
      <c r="D12" s="13">
        <f>3150</f>
        <v>3150</v>
      </c>
      <c r="E12" s="13">
        <f>8050</f>
        <v>8050</v>
      </c>
      <c r="G12" s="2">
        <v>7</v>
      </c>
      <c r="H12" s="5"/>
      <c r="I12" s="5"/>
      <c r="J12" s="5">
        <f>4640+600</f>
        <v>5240</v>
      </c>
      <c r="K12" s="5"/>
    </row>
    <row r="13" spans="2:14" x14ac:dyDescent="0.25">
      <c r="B13" s="12">
        <v>8</v>
      </c>
      <c r="C13" s="13">
        <f>3159</f>
        <v>3159</v>
      </c>
      <c r="D13" s="13"/>
      <c r="E13" s="13">
        <f>9040</f>
        <v>9040</v>
      </c>
      <c r="G13" s="2">
        <v>8</v>
      </c>
      <c r="H13" s="5"/>
      <c r="I13" s="5"/>
      <c r="J13" s="5">
        <f>2400</f>
        <v>2400</v>
      </c>
      <c r="K13" s="5">
        <f>1550+1580+160</f>
        <v>3290</v>
      </c>
      <c r="L13" s="5">
        <f>7600</f>
        <v>7600</v>
      </c>
    </row>
    <row r="14" spans="2:14" x14ac:dyDescent="0.25">
      <c r="B14" s="12">
        <v>9</v>
      </c>
      <c r="C14" s="13"/>
      <c r="D14" s="13"/>
      <c r="E14" s="13"/>
      <c r="G14" s="2">
        <v>9</v>
      </c>
      <c r="H14" s="5"/>
      <c r="I14" s="5"/>
      <c r="J14" s="5"/>
      <c r="K14" s="5"/>
      <c r="L14" s="5">
        <f>1000</f>
        <v>1000</v>
      </c>
    </row>
    <row r="15" spans="2:14" x14ac:dyDescent="0.25">
      <c r="B15" s="12">
        <v>10</v>
      </c>
      <c r="C15" s="13">
        <f>930</f>
        <v>930</v>
      </c>
      <c r="D15" s="13">
        <f>6900+380</f>
        <v>7280</v>
      </c>
      <c r="E15" s="13">
        <f>15250+335</f>
        <v>15585</v>
      </c>
      <c r="G15" s="2">
        <v>10</v>
      </c>
      <c r="H15" s="5"/>
      <c r="I15" s="5"/>
      <c r="J15" s="5">
        <f>2980+80</f>
        <v>3060</v>
      </c>
      <c r="K15" s="5"/>
    </row>
    <row r="16" spans="2:14" x14ac:dyDescent="0.25">
      <c r="B16" s="12">
        <v>11</v>
      </c>
      <c r="C16" s="13"/>
      <c r="D16" s="13">
        <f>300</f>
        <v>300</v>
      </c>
      <c r="E16" s="13">
        <f>1599+180</f>
        <v>1779</v>
      </c>
      <c r="G16" s="2">
        <v>11</v>
      </c>
      <c r="H16" s="5"/>
      <c r="I16" s="5"/>
      <c r="J16" s="5">
        <f>970</f>
        <v>970</v>
      </c>
      <c r="K16" s="5">
        <f>2680</f>
        <v>2680</v>
      </c>
    </row>
    <row r="17" spans="2:11" x14ac:dyDescent="0.25">
      <c r="B17" s="12">
        <v>12</v>
      </c>
      <c r="C17" s="13"/>
      <c r="D17" s="13"/>
      <c r="E17" s="13"/>
      <c r="G17" s="2">
        <v>12</v>
      </c>
      <c r="H17" s="5"/>
      <c r="I17" s="5"/>
      <c r="J17" s="5"/>
      <c r="K17" s="5">
        <f>320</f>
        <v>320</v>
      </c>
    </row>
    <row r="18" spans="2:11" x14ac:dyDescent="0.25">
      <c r="B18" s="12">
        <v>13</v>
      </c>
      <c r="C18" s="13"/>
      <c r="D18" s="13"/>
      <c r="E18" s="13"/>
      <c r="G18" s="2">
        <v>13</v>
      </c>
      <c r="H18" s="5"/>
      <c r="I18" s="5"/>
      <c r="J18" s="5">
        <f>2350</f>
        <v>2350</v>
      </c>
      <c r="K18" s="5"/>
    </row>
    <row r="19" spans="2:11" x14ac:dyDescent="0.25">
      <c r="B19" s="12">
        <v>14</v>
      </c>
      <c r="C19" s="13"/>
      <c r="D19" s="13"/>
      <c r="E19" s="13"/>
      <c r="G19" s="2">
        <v>14</v>
      </c>
      <c r="H19" s="5"/>
      <c r="I19" s="5"/>
      <c r="J19" s="5">
        <f>330</f>
        <v>330</v>
      </c>
      <c r="K19" s="5">
        <f>16400</f>
        <v>16400</v>
      </c>
    </row>
    <row r="20" spans="2:11" x14ac:dyDescent="0.25">
      <c r="B20" s="12">
        <v>15</v>
      </c>
      <c r="C20" s="13">
        <f>2550</f>
        <v>2550</v>
      </c>
      <c r="D20" s="13">
        <f>3576</f>
        <v>3576</v>
      </c>
      <c r="E20" s="13">
        <f>350</f>
        <v>350</v>
      </c>
      <c r="G20" s="2">
        <v>15</v>
      </c>
      <c r="H20" s="5"/>
      <c r="I20" s="5"/>
      <c r="J20" s="5"/>
      <c r="K20" s="5">
        <f>1350+450</f>
        <v>1800</v>
      </c>
    </row>
    <row r="21" spans="2:11" x14ac:dyDescent="0.25">
      <c r="B21" s="12">
        <v>16</v>
      </c>
      <c r="C21" s="13"/>
      <c r="D21" s="13">
        <f>1950</f>
        <v>1950</v>
      </c>
      <c r="E21" s="13"/>
      <c r="G21" s="2">
        <v>16</v>
      </c>
      <c r="H21" s="5">
        <f>400</f>
        <v>400</v>
      </c>
      <c r="I21" s="5"/>
      <c r="J21" s="5"/>
      <c r="K21" s="5"/>
    </row>
    <row r="22" spans="2:11" x14ac:dyDescent="0.25">
      <c r="B22" s="12">
        <v>17</v>
      </c>
      <c r="C22" s="13"/>
      <c r="D22" s="13"/>
      <c r="E22" s="13">
        <f>395</f>
        <v>395</v>
      </c>
      <c r="G22" s="2">
        <v>17</v>
      </c>
      <c r="H22" s="5">
        <f>500+1350</f>
        <v>1850</v>
      </c>
      <c r="I22" s="5"/>
      <c r="J22" s="5"/>
      <c r="K22" s="5">
        <f>18000+2400</f>
        <v>20400</v>
      </c>
    </row>
    <row r="23" spans="2:11" x14ac:dyDescent="0.25">
      <c r="B23" s="12">
        <v>18</v>
      </c>
      <c r="C23" s="13">
        <f>4280</f>
        <v>4280</v>
      </c>
      <c r="D23" s="13"/>
      <c r="E23" s="13"/>
      <c r="G23" s="2">
        <v>18</v>
      </c>
      <c r="H23" s="5"/>
      <c r="I23" s="5">
        <f>1000+350</f>
        <v>1350</v>
      </c>
      <c r="J23" s="5">
        <f>1350+2350</f>
        <v>3700</v>
      </c>
      <c r="K23" s="5"/>
    </row>
    <row r="24" spans="2:11" x14ac:dyDescent="0.25">
      <c r="B24" s="12">
        <v>19</v>
      </c>
      <c r="C24" s="13"/>
      <c r="D24" s="13"/>
      <c r="E24" s="13"/>
      <c r="G24" s="2">
        <v>19</v>
      </c>
      <c r="H24" s="5">
        <f>1450+150</f>
        <v>1600</v>
      </c>
      <c r="I24" s="5"/>
      <c r="J24" s="5"/>
      <c r="K24" s="5"/>
    </row>
    <row r="25" spans="2:11" x14ac:dyDescent="0.25">
      <c r="B25" s="12">
        <v>20</v>
      </c>
      <c r="C25" s="13">
        <f>1815</f>
        <v>1815</v>
      </c>
      <c r="D25" s="13">
        <f>930</f>
        <v>930</v>
      </c>
      <c r="E25" s="13"/>
      <c r="G25" s="2">
        <v>20</v>
      </c>
      <c r="H25" s="5"/>
      <c r="I25" s="5"/>
      <c r="J25" s="5"/>
      <c r="K25" s="5"/>
    </row>
    <row r="26" spans="2:11" x14ac:dyDescent="0.25">
      <c r="B26" s="12">
        <v>21</v>
      </c>
      <c r="C26" s="13">
        <f>915+750+880</f>
        <v>2545</v>
      </c>
      <c r="D26" s="13"/>
      <c r="E26" s="13"/>
      <c r="G26" s="2">
        <v>21</v>
      </c>
      <c r="H26" s="5"/>
      <c r="I26" s="5">
        <f>350+350+1050</f>
        <v>1750</v>
      </c>
      <c r="J26" s="5">
        <f>350</f>
        <v>350</v>
      </c>
      <c r="K26" s="5">
        <f>23500</f>
        <v>23500</v>
      </c>
    </row>
    <row r="27" spans="2:11" x14ac:dyDescent="0.25">
      <c r="B27" s="12">
        <v>22</v>
      </c>
      <c r="C27" s="13"/>
      <c r="D27" s="13">
        <f>2330</f>
        <v>2330</v>
      </c>
      <c r="E27" s="13">
        <f>1015</f>
        <v>1015</v>
      </c>
      <c r="G27" s="2">
        <v>22</v>
      </c>
      <c r="H27" s="5">
        <f>2230</f>
        <v>2230</v>
      </c>
      <c r="I27" s="5"/>
      <c r="J27" s="5">
        <f>1300+650+140</f>
        <v>2090</v>
      </c>
      <c r="K27" s="5">
        <f>530+740</f>
        <v>1270</v>
      </c>
    </row>
    <row r="28" spans="2:11" x14ac:dyDescent="0.25">
      <c r="B28" s="12">
        <v>23</v>
      </c>
      <c r="C28" s="13">
        <f>960</f>
        <v>960</v>
      </c>
      <c r="D28" s="13">
        <f>2950</f>
        <v>2950</v>
      </c>
      <c r="E28" s="13"/>
      <c r="G28" s="2">
        <v>23</v>
      </c>
      <c r="H28" s="5"/>
      <c r="I28" s="5"/>
      <c r="J28" s="5"/>
      <c r="K28" s="5">
        <f>2100</f>
        <v>2100</v>
      </c>
    </row>
    <row r="29" spans="2:11" x14ac:dyDescent="0.25">
      <c r="B29" s="12">
        <v>24</v>
      </c>
      <c r="C29" s="13"/>
      <c r="D29" s="13"/>
      <c r="E29" s="13"/>
      <c r="G29" s="2">
        <v>24</v>
      </c>
      <c r="H29" s="5"/>
      <c r="I29" s="5"/>
      <c r="J29" s="5"/>
      <c r="K29" s="5"/>
    </row>
    <row r="30" spans="2:11" x14ac:dyDescent="0.25">
      <c r="B30" s="12">
        <v>25</v>
      </c>
      <c r="C30" s="13">
        <f>4548</f>
        <v>4548</v>
      </c>
      <c r="D30" s="13">
        <f>115+240</f>
        <v>355</v>
      </c>
      <c r="E30" s="13">
        <f>3260</f>
        <v>3260</v>
      </c>
      <c r="G30" s="2">
        <v>25</v>
      </c>
      <c r="H30" s="5"/>
      <c r="I30" s="5"/>
      <c r="J30" s="5"/>
      <c r="K30" s="5"/>
    </row>
    <row r="31" spans="2:11" x14ac:dyDescent="0.25">
      <c r="B31" s="12">
        <v>26</v>
      </c>
      <c r="C31" s="13">
        <f>1315</f>
        <v>1315</v>
      </c>
      <c r="D31" s="13"/>
      <c r="E31" s="13"/>
      <c r="G31" s="2">
        <v>26</v>
      </c>
      <c r="H31" s="5"/>
      <c r="I31" s="5"/>
      <c r="J31" s="5"/>
      <c r="K31" s="5">
        <f>900+300</f>
        <v>1200</v>
      </c>
    </row>
    <row r="32" spans="2:11" x14ac:dyDescent="0.25">
      <c r="B32" s="12">
        <v>27</v>
      </c>
      <c r="C32" s="13">
        <f>1600</f>
        <v>1600</v>
      </c>
      <c r="D32" s="13">
        <f>10245</f>
        <v>10245</v>
      </c>
      <c r="E32" s="13">
        <f>280</f>
        <v>280</v>
      </c>
      <c r="G32" s="2">
        <v>27</v>
      </c>
      <c r="H32" s="5">
        <f>930</f>
        <v>930</v>
      </c>
      <c r="I32" s="5">
        <f>330+530</f>
        <v>860</v>
      </c>
      <c r="J32" s="5"/>
      <c r="K32" s="5">
        <f>1150</f>
        <v>1150</v>
      </c>
    </row>
    <row r="33" spans="2:12" x14ac:dyDescent="0.25">
      <c r="B33" s="12">
        <v>28</v>
      </c>
      <c r="C33" s="13">
        <f>700+880</f>
        <v>1580</v>
      </c>
      <c r="D33" s="13"/>
      <c r="E33" s="13"/>
      <c r="G33" s="2">
        <v>28</v>
      </c>
      <c r="H33" s="5"/>
      <c r="I33" s="5"/>
      <c r="J33" s="5"/>
      <c r="K33" s="5">
        <f>2500+200</f>
        <v>2700</v>
      </c>
    </row>
    <row r="34" spans="2:12" x14ac:dyDescent="0.25">
      <c r="B34" s="12">
        <v>29</v>
      </c>
      <c r="C34" s="13"/>
      <c r="D34" s="13">
        <f>1496+645+300</f>
        <v>2441</v>
      </c>
      <c r="E34" s="13">
        <f>1000</f>
        <v>1000</v>
      </c>
      <c r="G34" s="2">
        <v>29</v>
      </c>
      <c r="H34" s="5"/>
      <c r="I34" s="5"/>
      <c r="J34" s="5">
        <f>4880+310</f>
        <v>5190</v>
      </c>
      <c r="K34" s="5"/>
    </row>
    <row r="35" spans="2:12" x14ac:dyDescent="0.25">
      <c r="B35" s="12">
        <v>30</v>
      </c>
      <c r="C35" s="13">
        <f>1750</f>
        <v>1750</v>
      </c>
      <c r="D35" s="13">
        <f>1800</f>
        <v>1800</v>
      </c>
      <c r="E35" s="13">
        <f>710</f>
        <v>710</v>
      </c>
      <c r="G35" s="2">
        <v>30</v>
      </c>
      <c r="H35" s="5">
        <f>790</f>
        <v>790</v>
      </c>
      <c r="I35" s="5">
        <f>750</f>
        <v>750</v>
      </c>
      <c r="J35" s="5"/>
      <c r="K35" s="5"/>
    </row>
    <row r="36" spans="2:12" x14ac:dyDescent="0.25">
      <c r="B36" s="12">
        <v>31</v>
      </c>
      <c r="C36" s="13"/>
      <c r="D36" s="13"/>
      <c r="E36" s="13"/>
      <c r="G36" s="2">
        <v>31</v>
      </c>
      <c r="H36" s="5"/>
      <c r="I36" s="5"/>
      <c r="J36" s="5"/>
      <c r="K36" s="5">
        <f>1650</f>
        <v>1650</v>
      </c>
    </row>
    <row r="37" spans="2:12" x14ac:dyDescent="0.25">
      <c r="B37" s="14" t="s">
        <v>7</v>
      </c>
      <c r="C37" s="15">
        <f>SUM(C6:C36)</f>
        <v>35977</v>
      </c>
      <c r="D37" s="15">
        <f t="shared" ref="D37:E37" si="0">SUM(D6:D36)</f>
        <v>44257</v>
      </c>
      <c r="E37" s="15">
        <f t="shared" si="0"/>
        <v>60404</v>
      </c>
      <c r="G37" s="1" t="s">
        <v>7</v>
      </c>
      <c r="H37" s="6">
        <f>SUM(H6:H36)</f>
        <v>12880</v>
      </c>
      <c r="I37" s="6">
        <f t="shared" ref="I37:L37" si="1">SUM(I6:I36)</f>
        <v>6210</v>
      </c>
      <c r="J37" s="6">
        <f t="shared" si="1"/>
        <v>35630</v>
      </c>
      <c r="K37" s="6">
        <f t="shared" si="1"/>
        <v>83760</v>
      </c>
      <c r="L37" s="6">
        <f t="shared" si="1"/>
        <v>13190</v>
      </c>
    </row>
    <row r="38" spans="2:12" x14ac:dyDescent="0.25">
      <c r="B38" s="14" t="s">
        <v>8</v>
      </c>
      <c r="C38" s="14"/>
      <c r="D38" s="14"/>
      <c r="E38" s="15">
        <f>AVERAGE(C37:E37)</f>
        <v>46879.333333333336</v>
      </c>
      <c r="G38" s="1" t="s">
        <v>8</v>
      </c>
      <c r="H38" s="1"/>
      <c r="I38" s="1"/>
      <c r="J38" s="1"/>
      <c r="K38" s="6"/>
      <c r="L38" s="10">
        <f>AVERAGE(H37:L37)</f>
        <v>30334</v>
      </c>
    </row>
    <row r="40" spans="2:12" x14ac:dyDescent="0.25">
      <c r="E40" t="s">
        <v>14</v>
      </c>
    </row>
    <row r="44" spans="2:12" x14ac:dyDescent="0.25">
      <c r="E44" s="16"/>
    </row>
    <row r="45" spans="2:12" x14ac:dyDescent="0.25">
      <c r="E45" t="s">
        <v>15</v>
      </c>
    </row>
  </sheetData>
  <mergeCells count="4">
    <mergeCell ref="C4:E4"/>
    <mergeCell ref="B4:B5"/>
    <mergeCell ref="G4:G5"/>
    <mergeCell ref="H4:K4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topLeftCell="A11" workbookViewId="0">
      <selection activeCell="G31" sqref="G31"/>
    </sheetView>
  </sheetViews>
  <sheetFormatPr defaultRowHeight="15" x14ac:dyDescent="0.25"/>
  <cols>
    <col min="1" max="1" width="11.7109375" customWidth="1"/>
    <col min="2" max="2" width="15.42578125" customWidth="1"/>
    <col min="3" max="4" width="16.7109375" customWidth="1"/>
    <col min="6" max="6" width="11.7109375" customWidth="1"/>
    <col min="7" max="10" width="16.7109375" customWidth="1"/>
    <col min="11" max="11" width="14.42578125" style="5" customWidth="1"/>
  </cols>
  <sheetData>
    <row r="1" spans="1:13" x14ac:dyDescent="0.25">
      <c r="A1" s="1" t="s">
        <v>12</v>
      </c>
      <c r="B1" s="1"/>
      <c r="F1" s="1"/>
    </row>
    <row r="2" spans="1:13" x14ac:dyDescent="0.25">
      <c r="A2" t="s">
        <v>0</v>
      </c>
    </row>
    <row r="3" spans="1:13" x14ac:dyDescent="0.25">
      <c r="A3" t="s">
        <v>1</v>
      </c>
    </row>
    <row r="4" spans="1:13" x14ac:dyDescent="0.25">
      <c r="A4" s="34" t="s">
        <v>3</v>
      </c>
      <c r="B4" s="33">
        <v>2018</v>
      </c>
      <c r="C4" s="33"/>
      <c r="D4" s="33"/>
      <c r="F4" s="35"/>
      <c r="G4" s="36"/>
      <c r="H4" s="36"/>
      <c r="I4" s="36"/>
      <c r="J4" s="36"/>
      <c r="K4" s="3"/>
      <c r="L4" s="8"/>
      <c r="M4" s="8"/>
    </row>
    <row r="5" spans="1:13" x14ac:dyDescent="0.25">
      <c r="A5" s="34"/>
      <c r="B5" s="11" t="s">
        <v>13</v>
      </c>
      <c r="C5" s="11" t="s">
        <v>4</v>
      </c>
      <c r="D5" s="11" t="s">
        <v>6</v>
      </c>
      <c r="F5" s="35"/>
      <c r="G5" s="4"/>
      <c r="H5" s="4"/>
      <c r="I5" s="4"/>
      <c r="J5" s="7"/>
      <c r="K5" s="9"/>
    </row>
    <row r="6" spans="1:13" x14ac:dyDescent="0.25">
      <c r="A6" s="17">
        <v>1</v>
      </c>
      <c r="B6" s="41"/>
      <c r="C6" s="13"/>
      <c r="D6" s="13">
        <f>170</f>
        <v>170</v>
      </c>
      <c r="F6" s="3"/>
      <c r="G6" s="5"/>
      <c r="H6" s="5"/>
      <c r="I6" s="5"/>
      <c r="J6" s="5"/>
    </row>
    <row r="7" spans="1:13" x14ac:dyDescent="0.25">
      <c r="A7" s="17">
        <v>2</v>
      </c>
      <c r="B7" s="41"/>
      <c r="C7" s="13">
        <f>170+105</f>
        <v>275</v>
      </c>
      <c r="D7" s="13"/>
      <c r="F7" s="3"/>
      <c r="G7" s="5"/>
      <c r="H7" s="5"/>
      <c r="I7" s="5"/>
      <c r="J7" s="5"/>
    </row>
    <row r="8" spans="1:13" x14ac:dyDescent="0.25">
      <c r="A8" s="17">
        <v>3</v>
      </c>
      <c r="B8" s="41"/>
      <c r="C8" s="13"/>
      <c r="D8" s="13"/>
      <c r="F8" s="3"/>
      <c r="G8" s="5"/>
      <c r="H8" s="5"/>
      <c r="I8" s="5"/>
      <c r="J8" s="5"/>
    </row>
    <row r="9" spans="1:13" x14ac:dyDescent="0.25">
      <c r="A9" s="17">
        <v>4</v>
      </c>
      <c r="B9" s="41"/>
      <c r="C9" s="13">
        <f>108</f>
        <v>108</v>
      </c>
      <c r="D9" s="13">
        <f>790+110</f>
        <v>900</v>
      </c>
      <c r="F9" s="3"/>
      <c r="G9" s="5"/>
      <c r="H9" s="5"/>
      <c r="I9" s="5"/>
      <c r="J9" s="5"/>
    </row>
    <row r="10" spans="1:13" x14ac:dyDescent="0.25">
      <c r="A10" s="17">
        <v>5</v>
      </c>
      <c r="B10" s="41"/>
      <c r="C10" s="13">
        <f>2880+105+105+105+270</f>
        <v>3465</v>
      </c>
      <c r="D10" s="13">
        <f>210+200</f>
        <v>410</v>
      </c>
      <c r="F10" s="3"/>
      <c r="G10" s="5"/>
      <c r="H10" s="5"/>
      <c r="I10" s="5"/>
      <c r="J10" s="5"/>
    </row>
    <row r="11" spans="1:13" x14ac:dyDescent="0.25">
      <c r="A11" s="17">
        <v>6</v>
      </c>
      <c r="B11" s="41"/>
      <c r="C11" s="13">
        <v>3280</v>
      </c>
      <c r="D11" s="13"/>
      <c r="F11" s="3"/>
      <c r="G11" s="5"/>
      <c r="H11" s="5"/>
      <c r="I11" s="5"/>
      <c r="J11" s="5"/>
    </row>
    <row r="12" spans="1:13" x14ac:dyDescent="0.25">
      <c r="A12" s="17">
        <v>7</v>
      </c>
      <c r="B12" s="41"/>
      <c r="C12" s="13">
        <f>555+185</f>
        <v>740</v>
      </c>
      <c r="D12" s="13"/>
      <c r="F12" s="3"/>
      <c r="G12" s="5"/>
      <c r="H12" s="5"/>
      <c r="I12" s="5"/>
      <c r="J12" s="5"/>
    </row>
    <row r="13" spans="1:13" x14ac:dyDescent="0.25">
      <c r="A13" s="17">
        <v>8</v>
      </c>
      <c r="B13" s="41"/>
      <c r="C13" s="13"/>
      <c r="D13" s="13"/>
      <c r="F13" s="3"/>
      <c r="G13" s="5"/>
      <c r="H13" s="5"/>
      <c r="I13" s="5"/>
      <c r="J13" s="5"/>
    </row>
    <row r="14" spans="1:13" x14ac:dyDescent="0.25">
      <c r="A14" s="17">
        <v>9</v>
      </c>
      <c r="B14" s="41"/>
      <c r="C14" s="13"/>
      <c r="D14" s="13"/>
      <c r="F14" s="3"/>
      <c r="G14" s="5"/>
      <c r="H14" s="5"/>
      <c r="I14" s="5"/>
      <c r="J14" s="5"/>
    </row>
    <row r="15" spans="1:13" x14ac:dyDescent="0.25">
      <c r="A15" s="17">
        <v>10</v>
      </c>
      <c r="B15" s="41">
        <f>200+100</f>
        <v>300</v>
      </c>
      <c r="C15" s="13">
        <f>1250+375+240</f>
        <v>1865</v>
      </c>
      <c r="D15" s="13"/>
      <c r="F15" s="3"/>
      <c r="G15" s="5"/>
      <c r="H15" s="5"/>
      <c r="I15" s="5"/>
      <c r="J15" s="5"/>
    </row>
    <row r="16" spans="1:13" x14ac:dyDescent="0.25">
      <c r="A16" s="17">
        <v>11</v>
      </c>
      <c r="B16" s="41">
        <f>1600</f>
        <v>1600</v>
      </c>
      <c r="C16" s="13"/>
      <c r="D16" s="13"/>
      <c r="F16" s="3"/>
      <c r="G16" s="5"/>
      <c r="H16" s="5"/>
      <c r="I16" s="5"/>
      <c r="J16" s="5"/>
    </row>
    <row r="17" spans="1:10" x14ac:dyDescent="0.25">
      <c r="A17" s="17">
        <v>12</v>
      </c>
      <c r="B17" s="41">
        <f>522</f>
        <v>522</v>
      </c>
      <c r="C17" s="13"/>
      <c r="D17" s="13"/>
      <c r="F17" s="3"/>
      <c r="G17" s="5"/>
      <c r="H17" s="5"/>
      <c r="I17" s="5"/>
      <c r="J17" s="5"/>
    </row>
    <row r="18" spans="1:10" x14ac:dyDescent="0.25">
      <c r="A18" s="17">
        <v>13</v>
      </c>
      <c r="B18" s="41"/>
      <c r="C18" s="13"/>
      <c r="D18" s="13"/>
      <c r="F18" s="3"/>
      <c r="G18" s="5"/>
      <c r="H18" s="5"/>
      <c r="I18" s="5"/>
      <c r="J18" s="5"/>
    </row>
    <row r="19" spans="1:10" x14ac:dyDescent="0.25">
      <c r="A19" s="17">
        <v>14</v>
      </c>
      <c r="B19" s="41">
        <f>720+260</f>
        <v>980</v>
      </c>
      <c r="C19" s="13">
        <f>530+200</f>
        <v>730</v>
      </c>
      <c r="D19" s="13">
        <f>130</f>
        <v>130</v>
      </c>
      <c r="F19" s="3"/>
      <c r="G19" s="5"/>
      <c r="H19" s="5"/>
      <c r="I19" s="5"/>
      <c r="J19" s="5"/>
    </row>
    <row r="20" spans="1:10" x14ac:dyDescent="0.25">
      <c r="A20" s="17">
        <v>15</v>
      </c>
      <c r="B20" s="41">
        <f>130+205</f>
        <v>335</v>
      </c>
      <c r="C20" s="13"/>
      <c r="D20" s="13"/>
      <c r="F20" s="3"/>
      <c r="G20" s="5"/>
      <c r="H20" s="5"/>
      <c r="I20" s="5"/>
      <c r="J20" s="5"/>
    </row>
    <row r="21" spans="1:10" x14ac:dyDescent="0.25">
      <c r="A21" s="17">
        <v>16</v>
      </c>
      <c r="B21" s="41"/>
      <c r="C21" s="13">
        <f>110</f>
        <v>110</v>
      </c>
      <c r="D21" s="13">
        <f>230</f>
        <v>230</v>
      </c>
      <c r="F21" s="3"/>
      <c r="G21" s="5"/>
      <c r="H21" s="5"/>
      <c r="I21" s="5"/>
      <c r="J21" s="5"/>
    </row>
    <row r="22" spans="1:10" x14ac:dyDescent="0.25">
      <c r="A22" s="17">
        <v>17</v>
      </c>
      <c r="B22" s="41"/>
      <c r="C22" s="13"/>
      <c r="D22" s="13"/>
      <c r="F22" s="3"/>
      <c r="G22" s="5"/>
      <c r="H22" s="5"/>
      <c r="I22" s="5"/>
      <c r="J22" s="5"/>
    </row>
    <row r="23" spans="1:10" x14ac:dyDescent="0.25">
      <c r="A23" s="17">
        <v>18</v>
      </c>
      <c r="B23" s="41">
        <f>275</f>
        <v>275</v>
      </c>
      <c r="C23" s="13"/>
      <c r="D23" s="13"/>
      <c r="F23" s="3"/>
      <c r="G23" s="5"/>
      <c r="H23" s="5"/>
      <c r="I23" s="5"/>
      <c r="J23" s="5"/>
    </row>
    <row r="24" spans="1:10" x14ac:dyDescent="0.25">
      <c r="A24" s="17">
        <v>19</v>
      </c>
      <c r="B24" s="41">
        <f>448</f>
        <v>448</v>
      </c>
      <c r="C24" s="13"/>
      <c r="D24" s="13">
        <f>416+100</f>
        <v>516</v>
      </c>
      <c r="F24" s="3"/>
      <c r="G24" s="5"/>
      <c r="H24" s="5"/>
      <c r="I24" s="5"/>
      <c r="J24" s="5"/>
    </row>
    <row r="25" spans="1:10" x14ac:dyDescent="0.25">
      <c r="A25" s="17">
        <v>20</v>
      </c>
      <c r="B25" s="41">
        <f>640</f>
        <v>640</v>
      </c>
      <c r="C25" s="13">
        <f>1720</f>
        <v>1720</v>
      </c>
      <c r="D25" s="13">
        <f>260</f>
        <v>260</v>
      </c>
      <c r="F25" s="3"/>
      <c r="G25" s="5"/>
      <c r="H25" s="5"/>
      <c r="I25" s="5"/>
      <c r="J25" s="5"/>
    </row>
    <row r="26" spans="1:10" x14ac:dyDescent="0.25">
      <c r="A26" s="17">
        <v>21</v>
      </c>
      <c r="B26" s="41">
        <f>6840</f>
        <v>6840</v>
      </c>
      <c r="C26" s="13">
        <f>495</f>
        <v>495</v>
      </c>
      <c r="D26" s="13"/>
      <c r="F26" s="3"/>
      <c r="G26" s="5"/>
      <c r="H26" s="5"/>
      <c r="I26" s="5"/>
      <c r="J26" s="5"/>
    </row>
    <row r="27" spans="1:10" x14ac:dyDescent="0.25">
      <c r="A27" s="17">
        <v>22</v>
      </c>
      <c r="B27" s="41">
        <f>130+210</f>
        <v>340</v>
      </c>
      <c r="C27" s="13">
        <f>135</f>
        <v>135</v>
      </c>
      <c r="D27" s="13"/>
      <c r="F27" s="3"/>
      <c r="G27" s="5"/>
      <c r="H27" s="5"/>
      <c r="I27" s="5"/>
      <c r="J27" s="5"/>
    </row>
    <row r="28" spans="1:10" x14ac:dyDescent="0.25">
      <c r="A28" s="17">
        <v>23</v>
      </c>
      <c r="B28" s="41"/>
      <c r="C28" s="13">
        <f>6815</f>
        <v>6815</v>
      </c>
      <c r="D28" s="13"/>
      <c r="F28" s="3"/>
      <c r="G28" s="5"/>
      <c r="H28" s="5"/>
      <c r="I28" s="5"/>
      <c r="J28" s="5"/>
    </row>
    <row r="29" spans="1:10" x14ac:dyDescent="0.25">
      <c r="A29" s="17">
        <v>24</v>
      </c>
      <c r="B29" s="41"/>
      <c r="C29" s="13">
        <v>280</v>
      </c>
      <c r="D29" s="13"/>
      <c r="F29" s="3"/>
      <c r="G29" s="5"/>
      <c r="H29" s="5"/>
      <c r="I29" s="5"/>
      <c r="J29" s="5"/>
    </row>
    <row r="30" spans="1:10" x14ac:dyDescent="0.25">
      <c r="A30" s="17">
        <v>25</v>
      </c>
      <c r="B30" s="41"/>
      <c r="C30" s="13">
        <f>100+145</f>
        <v>245</v>
      </c>
      <c r="D30" s="13">
        <f>1520+3389+340</f>
        <v>5249</v>
      </c>
      <c r="F30" s="3"/>
      <c r="G30" s="5"/>
      <c r="H30" s="5"/>
      <c r="I30" s="5"/>
      <c r="J30" s="5"/>
    </row>
    <row r="31" spans="1:10" x14ac:dyDescent="0.25">
      <c r="A31" s="17">
        <v>26</v>
      </c>
      <c r="B31" s="41"/>
      <c r="C31" s="13">
        <f>4614</f>
        <v>4614</v>
      </c>
      <c r="D31" s="13"/>
      <c r="F31" s="3"/>
      <c r="G31" s="5"/>
      <c r="H31" s="5"/>
      <c r="I31" s="5"/>
      <c r="J31" s="5"/>
    </row>
    <row r="32" spans="1:10" x14ac:dyDescent="0.25">
      <c r="A32" s="17">
        <v>27</v>
      </c>
      <c r="B32" s="41">
        <f>160</f>
        <v>160</v>
      </c>
      <c r="C32" s="13"/>
      <c r="D32" s="13">
        <f>54+175</f>
        <v>229</v>
      </c>
      <c r="F32" s="3"/>
      <c r="G32" s="5"/>
      <c r="H32" s="5"/>
      <c r="I32" s="5"/>
      <c r="J32" s="5"/>
    </row>
    <row r="33" spans="1:11" x14ac:dyDescent="0.25">
      <c r="A33" s="17">
        <v>28</v>
      </c>
      <c r="B33" s="41">
        <f>265+80+315+1035</f>
        <v>1695</v>
      </c>
      <c r="C33" s="13">
        <f>1000</f>
        <v>1000</v>
      </c>
      <c r="D33" s="13"/>
      <c r="F33" s="3"/>
      <c r="G33" s="5"/>
      <c r="H33" s="5"/>
      <c r="I33" s="5"/>
      <c r="J33" s="5"/>
    </row>
    <row r="34" spans="1:11" x14ac:dyDescent="0.25">
      <c r="A34" s="17">
        <v>29</v>
      </c>
      <c r="B34" s="41"/>
      <c r="C34" s="13">
        <f>260+280</f>
        <v>540</v>
      </c>
      <c r="D34" s="13"/>
      <c r="F34" s="3"/>
      <c r="G34" s="5"/>
      <c r="H34" s="5"/>
      <c r="I34" s="5"/>
      <c r="J34" s="5"/>
    </row>
    <row r="35" spans="1:11" x14ac:dyDescent="0.25">
      <c r="A35" s="17">
        <v>30</v>
      </c>
      <c r="B35" s="41"/>
      <c r="C35" s="13">
        <f>1395+905+400</f>
        <v>2700</v>
      </c>
      <c r="D35" s="13"/>
      <c r="F35" s="3"/>
      <c r="G35" s="5"/>
      <c r="H35" s="5"/>
      <c r="I35" s="5"/>
      <c r="J35" s="5"/>
    </row>
    <row r="36" spans="1:11" x14ac:dyDescent="0.25">
      <c r="A36" s="17">
        <v>31</v>
      </c>
      <c r="B36" s="41"/>
      <c r="C36" s="13"/>
      <c r="D36" s="13">
        <f>240</f>
        <v>240</v>
      </c>
      <c r="F36" s="3"/>
      <c r="G36" s="5"/>
      <c r="H36" s="5"/>
      <c r="I36" s="5"/>
      <c r="J36" s="5"/>
    </row>
    <row r="37" spans="1:11" x14ac:dyDescent="0.25">
      <c r="A37" s="14" t="s">
        <v>7</v>
      </c>
      <c r="B37" s="31">
        <f>SUM(B6:B36)</f>
        <v>14135</v>
      </c>
      <c r="C37" s="15">
        <f>SUM(C6:C36)</f>
        <v>29117</v>
      </c>
      <c r="D37" s="15">
        <f t="shared" ref="D37" si="0">SUM(D6:D36)</f>
        <v>8334</v>
      </c>
      <c r="F37" s="1"/>
      <c r="G37" s="6"/>
      <c r="H37" s="6"/>
      <c r="I37" s="6"/>
      <c r="J37" s="6"/>
      <c r="K37" s="6"/>
    </row>
    <row r="38" spans="1:11" x14ac:dyDescent="0.25">
      <c r="A38" s="14" t="s">
        <v>8</v>
      </c>
      <c r="B38" s="31"/>
      <c r="C38" s="14"/>
      <c r="D38" s="15">
        <f>AVERAGE(B37:D37)</f>
        <v>17195.333333333332</v>
      </c>
      <c r="F38" s="1"/>
      <c r="G38" s="1"/>
      <c r="H38" s="1"/>
      <c r="I38" s="1"/>
      <c r="J38" s="6"/>
      <c r="K38" s="10"/>
    </row>
    <row r="40" spans="1:11" x14ac:dyDescent="0.25">
      <c r="D40" t="s">
        <v>38</v>
      </c>
    </row>
    <row r="45" spans="1:11" x14ac:dyDescent="0.25">
      <c r="D45" s="16"/>
    </row>
    <row r="46" spans="1:11" x14ac:dyDescent="0.25">
      <c r="D46" t="s">
        <v>15</v>
      </c>
    </row>
  </sheetData>
  <mergeCells count="4">
    <mergeCell ref="A4:A5"/>
    <mergeCell ref="F4:F5"/>
    <mergeCell ref="G4:J4"/>
    <mergeCell ref="B4:D4"/>
  </mergeCell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F21"/>
  <sheetViews>
    <sheetView workbookViewId="0">
      <selection activeCell="E21" sqref="E21"/>
    </sheetView>
  </sheetViews>
  <sheetFormatPr defaultRowHeight="15" x14ac:dyDescent="0.25"/>
  <cols>
    <col min="4" max="6" width="16.42578125" customWidth="1"/>
  </cols>
  <sheetData>
    <row r="6" spans="3:6" x14ac:dyDescent="0.25">
      <c r="C6" s="37" t="s">
        <v>22</v>
      </c>
      <c r="D6" s="37"/>
      <c r="E6" s="37"/>
      <c r="F6" s="37"/>
    </row>
    <row r="7" spans="3:6" x14ac:dyDescent="0.25">
      <c r="C7" s="38" t="s">
        <v>23</v>
      </c>
      <c r="D7" s="38"/>
      <c r="E7" s="38"/>
      <c r="F7" s="38"/>
    </row>
    <row r="8" spans="3:6" x14ac:dyDescent="0.25">
      <c r="C8" s="38" t="s">
        <v>16</v>
      </c>
      <c r="D8" s="38"/>
      <c r="E8" s="38"/>
      <c r="F8" s="38"/>
    </row>
    <row r="9" spans="3:6" x14ac:dyDescent="0.25">
      <c r="C9" s="18" t="s">
        <v>17</v>
      </c>
      <c r="D9" s="18" t="s">
        <v>18</v>
      </c>
      <c r="E9" s="18" t="s">
        <v>19</v>
      </c>
      <c r="F9" s="18" t="s">
        <v>20</v>
      </c>
    </row>
    <row r="10" spans="3:6" x14ac:dyDescent="0.25">
      <c r="C10" s="39" t="s">
        <v>21</v>
      </c>
      <c r="D10" s="39"/>
      <c r="E10" s="39"/>
      <c r="F10" s="19">
        <v>14275.5</v>
      </c>
    </row>
    <row r="11" spans="3:6" x14ac:dyDescent="0.25">
      <c r="C11" s="22">
        <v>43252</v>
      </c>
      <c r="D11" s="20">
        <f>38000+28480</f>
        <v>66480</v>
      </c>
      <c r="E11" s="20">
        <f>34700+14500+20000+3000+10000</f>
        <v>82200</v>
      </c>
      <c r="F11" s="19">
        <f>F10+E11-D11</f>
        <v>29995.5</v>
      </c>
    </row>
    <row r="12" spans="3:6" x14ac:dyDescent="0.25">
      <c r="C12" s="22">
        <v>43282</v>
      </c>
      <c r="D12" s="20">
        <v>29200</v>
      </c>
      <c r="E12" s="20">
        <f>2700+34650+10000+7000</f>
        <v>54350</v>
      </c>
      <c r="F12" s="19">
        <f t="shared" ref="F12:F19" si="0">F11+E12-D12</f>
        <v>55145.5</v>
      </c>
    </row>
    <row r="13" spans="3:6" x14ac:dyDescent="0.25">
      <c r="C13" s="22">
        <v>43313</v>
      </c>
      <c r="D13" s="20">
        <f>13624+14740</f>
        <v>28364</v>
      </c>
      <c r="E13" s="20">
        <f>5000+300+20000</f>
        <v>25300</v>
      </c>
      <c r="F13" s="19">
        <f t="shared" si="0"/>
        <v>52081.5</v>
      </c>
    </row>
    <row r="14" spans="3:6" x14ac:dyDescent="0.25">
      <c r="C14" s="22">
        <v>43344</v>
      </c>
      <c r="D14" s="20">
        <f>27442+51004</f>
        <v>78446</v>
      </c>
      <c r="E14" s="19">
        <f>8200+34650+70000</f>
        <v>112850</v>
      </c>
      <c r="F14" s="19">
        <f t="shared" si="0"/>
        <v>86485.5</v>
      </c>
    </row>
    <row r="15" spans="3:6" x14ac:dyDescent="0.25">
      <c r="C15" s="22">
        <v>43374</v>
      </c>
      <c r="D15" s="20">
        <f>29734+5000+1050</f>
        <v>35784</v>
      </c>
      <c r="E15" s="19">
        <f>31500</f>
        <v>31500</v>
      </c>
      <c r="F15" s="19">
        <f t="shared" si="0"/>
        <v>82201.5</v>
      </c>
    </row>
    <row r="16" spans="3:6" x14ac:dyDescent="0.25">
      <c r="C16" s="22">
        <v>43405</v>
      </c>
      <c r="D16" s="20">
        <f>70000+7000</f>
        <v>77000</v>
      </c>
      <c r="E16" s="19">
        <f>2500+7100</f>
        <v>9600</v>
      </c>
      <c r="F16" s="19">
        <f t="shared" si="0"/>
        <v>14801.5</v>
      </c>
    </row>
    <row r="17" spans="3:6" x14ac:dyDescent="0.25">
      <c r="C17" s="22">
        <v>43435</v>
      </c>
      <c r="D17" s="20">
        <f>20202+3000</f>
        <v>23202</v>
      </c>
      <c r="E17" s="19">
        <f>4000+3000+20200</f>
        <v>27200</v>
      </c>
      <c r="F17" s="19">
        <f t="shared" si="0"/>
        <v>18799.5</v>
      </c>
    </row>
    <row r="18" spans="3:6" x14ac:dyDescent="0.25">
      <c r="C18" s="22">
        <v>43466</v>
      </c>
      <c r="D18" s="20">
        <f>13128+84179.31</f>
        <v>97307.31</v>
      </c>
      <c r="E18" s="19">
        <f>60000+30000+29200+21100+93+4200</f>
        <v>144593</v>
      </c>
      <c r="F18" s="19">
        <f t="shared" si="0"/>
        <v>66085.19</v>
      </c>
    </row>
    <row r="19" spans="3:6" x14ac:dyDescent="0.25">
      <c r="C19" s="22">
        <v>43497</v>
      </c>
      <c r="D19" s="20">
        <f>20000+20+53950</f>
        <v>73970</v>
      </c>
      <c r="E19" s="19">
        <f>10000+10000+3000+1700+18000</f>
        <v>42700</v>
      </c>
      <c r="F19" s="19">
        <f t="shared" si="0"/>
        <v>34815.19</v>
      </c>
    </row>
    <row r="20" spans="3:6" x14ac:dyDescent="0.25">
      <c r="C20" s="18" t="s">
        <v>7</v>
      </c>
      <c r="D20" s="20">
        <f>SUM(D11:D19)</f>
        <v>509753.31</v>
      </c>
      <c r="E20" s="20">
        <f>SUM(E11:E19)</f>
        <v>530293</v>
      </c>
      <c r="F20" s="21"/>
    </row>
    <row r="21" spans="3:6" x14ac:dyDescent="0.25">
      <c r="C21" s="18" t="s">
        <v>8</v>
      </c>
      <c r="D21" s="20">
        <f>AVERAGE(D11:D19)</f>
        <v>56639.256666666668</v>
      </c>
      <c r="E21" s="20">
        <f t="shared" ref="E21:F21" si="1">AVERAGE(E11:E19)</f>
        <v>58921.444444444445</v>
      </c>
      <c r="F21" s="20">
        <f t="shared" si="1"/>
        <v>48934.542222222226</v>
      </c>
    </row>
  </sheetData>
  <mergeCells count="4">
    <mergeCell ref="C6:F6"/>
    <mergeCell ref="C7:F7"/>
    <mergeCell ref="C8:F8"/>
    <mergeCell ref="C10:E10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P27"/>
  <sheetViews>
    <sheetView topLeftCell="A4" zoomScaleNormal="100" workbookViewId="0">
      <selection activeCell="D27" sqref="D27"/>
    </sheetView>
  </sheetViews>
  <sheetFormatPr defaultRowHeight="15" x14ac:dyDescent="0.25"/>
  <cols>
    <col min="2" max="2" width="22" customWidth="1"/>
    <col min="3" max="5" width="18.42578125" customWidth="1"/>
    <col min="6" max="8" width="16.7109375" customWidth="1"/>
  </cols>
  <sheetData>
    <row r="5" spans="2:16" x14ac:dyDescent="0.25">
      <c r="B5" s="40" t="s">
        <v>24</v>
      </c>
      <c r="C5" s="40" t="s">
        <v>25</v>
      </c>
      <c r="D5" s="40"/>
      <c r="E5" s="40"/>
      <c r="F5" s="40" t="s">
        <v>34</v>
      </c>
      <c r="G5" s="40"/>
      <c r="H5" s="40"/>
    </row>
    <row r="6" spans="2:16" ht="17.25" customHeight="1" x14ac:dyDescent="0.25">
      <c r="B6" s="40"/>
      <c r="C6" s="24">
        <v>2016</v>
      </c>
      <c r="D6" s="24">
        <v>2017</v>
      </c>
      <c r="E6" s="24">
        <v>2018</v>
      </c>
      <c r="F6" s="24">
        <v>2019</v>
      </c>
      <c r="G6" s="24">
        <v>2020</v>
      </c>
      <c r="H6" s="24">
        <v>2021</v>
      </c>
    </row>
    <row r="7" spans="2:16" ht="17.25" customHeight="1" x14ac:dyDescent="0.25">
      <c r="B7" s="40"/>
      <c r="C7" s="24" t="s">
        <v>26</v>
      </c>
      <c r="D7" s="24" t="s">
        <v>26</v>
      </c>
      <c r="E7" s="24" t="s">
        <v>26</v>
      </c>
      <c r="F7" s="24" t="s">
        <v>26</v>
      </c>
      <c r="G7" s="24" t="s">
        <v>26</v>
      </c>
      <c r="H7" s="24" t="s">
        <v>26</v>
      </c>
    </row>
    <row r="8" spans="2:16" ht="15.75" customHeight="1" x14ac:dyDescent="0.25">
      <c r="B8" s="25" t="s">
        <v>27</v>
      </c>
      <c r="C8" s="26">
        <v>483634.79</v>
      </c>
      <c r="D8" s="26">
        <v>497463.37</v>
      </c>
      <c r="E8" s="26">
        <v>514067.76</v>
      </c>
      <c r="F8" s="27">
        <f>E8*1.03</f>
        <v>529489.79280000005</v>
      </c>
      <c r="G8" s="27">
        <f>F8*1.03</f>
        <v>545374.48658400006</v>
      </c>
      <c r="H8" s="27">
        <f>G8*1.03</f>
        <v>561735.72118152003</v>
      </c>
      <c r="J8" s="23"/>
      <c r="O8" s="23"/>
      <c r="P8" s="23"/>
    </row>
    <row r="9" spans="2:16" ht="15.75" customHeight="1" x14ac:dyDescent="0.25">
      <c r="B9" s="25" t="s">
        <v>28</v>
      </c>
      <c r="C9" s="26">
        <v>283557.40000000002</v>
      </c>
      <c r="D9" s="26">
        <v>294696.39</v>
      </c>
      <c r="E9" s="26">
        <v>309597.31</v>
      </c>
      <c r="F9" s="27">
        <f>F8*60%</f>
        <v>317693.87568</v>
      </c>
      <c r="G9" s="27">
        <f t="shared" ref="G9:H9" si="0">G8*60%</f>
        <v>327224.69195040001</v>
      </c>
      <c r="H9" s="27">
        <f t="shared" si="0"/>
        <v>337041.43270891201</v>
      </c>
      <c r="O9" s="23"/>
      <c r="P9" s="23"/>
    </row>
    <row r="10" spans="2:16" ht="15.75" customHeight="1" x14ac:dyDescent="0.25">
      <c r="B10" s="25" t="s">
        <v>29</v>
      </c>
      <c r="C10" s="26">
        <v>200077.39</v>
      </c>
      <c r="D10" s="26">
        <v>202766.98</v>
      </c>
      <c r="E10" s="26">
        <v>204470.45</v>
      </c>
      <c r="F10" s="27">
        <f>F8-F9</f>
        <v>211795.91712000006</v>
      </c>
      <c r="G10" s="27">
        <f t="shared" ref="G10:H10" si="1">G8-G9</f>
        <v>218149.79463360005</v>
      </c>
      <c r="H10" s="27">
        <f t="shared" si="1"/>
        <v>224694.28847260802</v>
      </c>
      <c r="O10" s="23"/>
      <c r="P10" s="23"/>
    </row>
    <row r="11" spans="2:16" ht="15.75" customHeight="1" x14ac:dyDescent="0.25">
      <c r="B11" s="25" t="s">
        <v>30</v>
      </c>
      <c r="C11" s="26">
        <v>19788.97</v>
      </c>
      <c r="D11" s="26">
        <v>20250.650000000001</v>
      </c>
      <c r="E11" s="26">
        <v>20904.98</v>
      </c>
      <c r="F11" s="27">
        <f>E11*1.032</f>
        <v>21573.93936</v>
      </c>
      <c r="G11" s="27">
        <f>F11*1.03</f>
        <v>22221.157540800003</v>
      </c>
      <c r="H11" s="27">
        <f>G11*1.03</f>
        <v>22887.792267024004</v>
      </c>
      <c r="O11" s="23"/>
      <c r="P11" s="23"/>
    </row>
    <row r="12" spans="2:16" ht="15.75" customHeight="1" x14ac:dyDescent="0.25">
      <c r="B12" s="25" t="s">
        <v>31</v>
      </c>
      <c r="C12" s="26">
        <v>4608.78</v>
      </c>
      <c r="D12" s="26">
        <v>4692.29</v>
      </c>
      <c r="E12" s="26">
        <v>4843.55</v>
      </c>
      <c r="F12" s="27">
        <f>E12*1.03</f>
        <v>4988.8564999999999</v>
      </c>
      <c r="G12" s="27">
        <f>F12*1.03</f>
        <v>5138.5221949999996</v>
      </c>
      <c r="H12" s="27">
        <f>G12*1.03</f>
        <v>5292.6778608499999</v>
      </c>
      <c r="O12" s="23"/>
      <c r="P12" s="23"/>
    </row>
    <row r="13" spans="2:16" ht="15.75" customHeight="1" x14ac:dyDescent="0.25">
      <c r="B13" s="25" t="s">
        <v>32</v>
      </c>
      <c r="C13" s="26">
        <v>24397.75</v>
      </c>
      <c r="D13" s="26">
        <v>24942.94</v>
      </c>
      <c r="E13" s="26">
        <v>25748.53</v>
      </c>
      <c r="F13" s="27">
        <f>SUM(F11:F12)</f>
        <v>26562.795859999998</v>
      </c>
      <c r="G13" s="27">
        <f t="shared" ref="G13:H13" si="2">SUM(G11:G12)</f>
        <v>27359.679735800004</v>
      </c>
      <c r="H13" s="27">
        <f t="shared" si="2"/>
        <v>28180.470127874003</v>
      </c>
      <c r="O13" s="23"/>
      <c r="P13" s="23"/>
    </row>
    <row r="14" spans="2:16" ht="15.75" customHeight="1" x14ac:dyDescent="0.25">
      <c r="B14" s="28" t="s">
        <v>33</v>
      </c>
      <c r="C14" s="29">
        <v>175679.64</v>
      </c>
      <c r="D14" s="29">
        <v>177824.04</v>
      </c>
      <c r="E14" s="29">
        <v>178721.92000000001</v>
      </c>
      <c r="F14" s="27">
        <f>F10-F13</f>
        <v>185233.12126000004</v>
      </c>
      <c r="G14" s="27">
        <f t="shared" ref="G14:H14" si="3">G10-G13</f>
        <v>190790.11489780003</v>
      </c>
      <c r="H14" s="27">
        <f t="shared" si="3"/>
        <v>196513.81834473403</v>
      </c>
      <c r="O14" s="23"/>
      <c r="P14" s="23"/>
    </row>
    <row r="15" spans="2:16" x14ac:dyDescent="0.25">
      <c r="B15" s="30" t="s">
        <v>8</v>
      </c>
      <c r="C15" s="31">
        <f>C14/12</f>
        <v>14639.970000000001</v>
      </c>
      <c r="D15" s="31">
        <f t="shared" ref="D15:H15" si="4">D14/12</f>
        <v>14818.67</v>
      </c>
      <c r="E15" s="31">
        <f t="shared" si="4"/>
        <v>14893.493333333334</v>
      </c>
      <c r="F15" s="31">
        <f t="shared" si="4"/>
        <v>15436.093438333337</v>
      </c>
      <c r="G15" s="31">
        <f t="shared" si="4"/>
        <v>15899.176241483336</v>
      </c>
      <c r="H15" s="31">
        <f t="shared" si="4"/>
        <v>16376.151528727836</v>
      </c>
    </row>
    <row r="17" spans="2:8" x14ac:dyDescent="0.25">
      <c r="C17" s="23"/>
      <c r="D17" s="23"/>
      <c r="E17" s="23"/>
      <c r="F17" s="23"/>
      <c r="G17" s="23"/>
      <c r="H17" s="23"/>
    </row>
    <row r="19" spans="2:8" x14ac:dyDescent="0.25">
      <c r="B19" s="40" t="s">
        <v>35</v>
      </c>
      <c r="C19" s="40" t="s">
        <v>25</v>
      </c>
      <c r="D19" s="40"/>
      <c r="E19" s="40"/>
      <c r="F19" s="40" t="s">
        <v>34</v>
      </c>
      <c r="G19" s="40"/>
      <c r="H19" s="40"/>
    </row>
    <row r="20" spans="2:8" x14ac:dyDescent="0.25">
      <c r="B20" s="40"/>
      <c r="C20" s="24">
        <v>2016</v>
      </c>
      <c r="D20" s="24">
        <v>2017</v>
      </c>
      <c r="E20" s="24">
        <v>2018</v>
      </c>
      <c r="F20" s="24">
        <v>2019</v>
      </c>
      <c r="G20" s="24">
        <v>2020</v>
      </c>
      <c r="H20" s="24">
        <v>2021</v>
      </c>
    </row>
    <row r="21" spans="2:8" x14ac:dyDescent="0.25">
      <c r="B21" s="40"/>
      <c r="C21" s="24" t="s">
        <v>26</v>
      </c>
      <c r="D21" s="24" t="s">
        <v>26</v>
      </c>
      <c r="E21" s="24" t="s">
        <v>26</v>
      </c>
      <c r="F21" s="24" t="s">
        <v>26</v>
      </c>
      <c r="G21" s="24" t="s">
        <v>26</v>
      </c>
      <c r="H21" s="24" t="s">
        <v>26</v>
      </c>
    </row>
    <row r="22" spans="2:8" x14ac:dyDescent="0.25">
      <c r="B22" s="32" t="s">
        <v>36</v>
      </c>
      <c r="C22" s="13">
        <f>D22*0.95</f>
        <v>242093.05107000002</v>
      </c>
      <c r="D22" s="13">
        <f>E22*0.95</f>
        <v>254834.79060000004</v>
      </c>
      <c r="E22" s="13">
        <f>17195.33*12*1.3</f>
        <v>268247.14800000004</v>
      </c>
      <c r="F22" s="13">
        <f>E22*1.05</f>
        <v>281659.50540000008</v>
      </c>
      <c r="G22" s="13">
        <f>F22*1.05</f>
        <v>295742.48067000008</v>
      </c>
      <c r="H22" s="13">
        <f>G22*1.05</f>
        <v>310529.60470350011</v>
      </c>
    </row>
    <row r="23" spans="2:8" x14ac:dyDescent="0.25">
      <c r="B23" s="32" t="s">
        <v>28</v>
      </c>
      <c r="C23" s="13">
        <f>C22*91%</f>
        <v>220304.67647370003</v>
      </c>
      <c r="D23" s="13">
        <f t="shared" ref="D23:H23" si="5">D22*91%</f>
        <v>231899.65944600003</v>
      </c>
      <c r="E23" s="13">
        <f t="shared" si="5"/>
        <v>244104.90468000004</v>
      </c>
      <c r="F23" s="13">
        <f t="shared" si="5"/>
        <v>256310.1499140001</v>
      </c>
      <c r="G23" s="13">
        <f t="shared" si="5"/>
        <v>269125.6574097001</v>
      </c>
      <c r="H23" s="13">
        <f t="shared" si="5"/>
        <v>282581.94028018508</v>
      </c>
    </row>
    <row r="24" spans="2:8" x14ac:dyDescent="0.25">
      <c r="B24" s="32" t="s">
        <v>37</v>
      </c>
      <c r="C24" s="13">
        <f>C22-C23</f>
        <v>21788.374596299982</v>
      </c>
      <c r="D24" s="13">
        <f t="shared" ref="D24:H24" si="6">D22-D23</f>
        <v>22935.131154000002</v>
      </c>
      <c r="E24" s="13">
        <f t="shared" si="6"/>
        <v>24142.243320000009</v>
      </c>
      <c r="F24" s="13">
        <f t="shared" si="6"/>
        <v>25349.355485999986</v>
      </c>
      <c r="G24" s="13">
        <f t="shared" si="6"/>
        <v>26616.823260299978</v>
      </c>
      <c r="H24" s="13">
        <f t="shared" si="6"/>
        <v>27947.664423315029</v>
      </c>
    </row>
    <row r="25" spans="2:8" x14ac:dyDescent="0.25">
      <c r="B25" s="32" t="s">
        <v>32</v>
      </c>
      <c r="C25" s="13">
        <f>C22*0.025</f>
        <v>6052.3262767500009</v>
      </c>
      <c r="D25" s="13">
        <f t="shared" ref="D25:H25" si="7">D22*0.02</f>
        <v>5096.6958120000008</v>
      </c>
      <c r="E25" s="13">
        <f t="shared" si="7"/>
        <v>5364.9429600000012</v>
      </c>
      <c r="F25" s="13">
        <f t="shared" si="7"/>
        <v>5633.1901080000016</v>
      </c>
      <c r="G25" s="13">
        <f t="shared" si="7"/>
        <v>5914.8496134000015</v>
      </c>
      <c r="H25" s="13">
        <f t="shared" si="7"/>
        <v>6210.5920940700025</v>
      </c>
    </row>
    <row r="26" spans="2:8" x14ac:dyDescent="0.25">
      <c r="B26" s="32" t="s">
        <v>33</v>
      </c>
      <c r="C26" s="13">
        <f>C24-C25</f>
        <v>15736.04831954998</v>
      </c>
      <c r="D26" s="13">
        <f t="shared" ref="D26:H26" si="8">D24-D25</f>
        <v>17838.435342000001</v>
      </c>
      <c r="E26" s="13">
        <f t="shared" si="8"/>
        <v>18777.300360000008</v>
      </c>
      <c r="F26" s="13">
        <f t="shared" si="8"/>
        <v>19716.165377999983</v>
      </c>
      <c r="G26" s="13">
        <f t="shared" si="8"/>
        <v>20701.973646899976</v>
      </c>
      <c r="H26" s="13">
        <f t="shared" si="8"/>
        <v>21737.072329245028</v>
      </c>
    </row>
    <row r="27" spans="2:8" x14ac:dyDescent="0.25">
      <c r="B27" s="32" t="s">
        <v>8</v>
      </c>
      <c r="C27" s="13">
        <f>C26/12</f>
        <v>1311.3373599624983</v>
      </c>
      <c r="D27" s="13">
        <f t="shared" ref="D27:H27" si="9">D26/12</f>
        <v>1486.5362785</v>
      </c>
      <c r="E27" s="13">
        <f t="shared" si="9"/>
        <v>1564.7750300000007</v>
      </c>
      <c r="F27" s="13">
        <f t="shared" si="9"/>
        <v>1643.0137814999987</v>
      </c>
      <c r="G27" s="13">
        <f t="shared" si="9"/>
        <v>1725.1644705749979</v>
      </c>
      <c r="H27" s="13">
        <f t="shared" si="9"/>
        <v>1811.4226941037523</v>
      </c>
    </row>
  </sheetData>
  <mergeCells count="6">
    <mergeCell ref="B5:B7"/>
    <mergeCell ref="C5:E5"/>
    <mergeCell ref="F5:H5"/>
    <mergeCell ref="B19:B21"/>
    <mergeCell ref="C19:E19"/>
    <mergeCell ref="F19:H19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 Ratanak</dc:creator>
  <cp:lastModifiedBy>Sok Ratanak</cp:lastModifiedBy>
  <cp:lastPrinted>2019-02-20T09:58:45Z</cp:lastPrinted>
  <dcterms:created xsi:type="dcterms:W3CDTF">2019-01-30T06:54:08Z</dcterms:created>
  <dcterms:modified xsi:type="dcterms:W3CDTF">2019-02-20T10:01:05Z</dcterms:modified>
</cp:coreProperties>
</file>