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65" windowWidth="15480" windowHeight="6675"/>
  </bookViews>
  <sheets>
    <sheet name="Summary" sheetId="19" r:id="rId1"/>
    <sheet name="Conduct account" sheetId="20" r:id="rId2"/>
    <sheet name="P &amp; L" sheetId="21" r:id="rId3"/>
    <sheet name="Sensitize" sheetId="22" r:id="rId4"/>
    <sheet name="Sheet1" sheetId="23" r:id="rId5"/>
  </sheets>
  <calcPr calcId="145621"/>
</workbook>
</file>

<file path=xl/calcChain.xml><?xml version="1.0" encoding="utf-8"?>
<calcChain xmlns="http://schemas.openxmlformats.org/spreadsheetml/2006/main">
  <c r="F21" i="19" l="1"/>
  <c r="F22" i="19" s="1"/>
  <c r="D21" i="19" l="1"/>
  <c r="D22" i="19" s="1"/>
  <c r="C20" i="19"/>
  <c r="C18" i="19"/>
  <c r="C9" i="19"/>
  <c r="E19" i="19"/>
  <c r="C19" i="19" s="1"/>
  <c r="E17" i="19"/>
  <c r="C17" i="19" s="1"/>
  <c r="E16" i="19"/>
  <c r="C16" i="19" s="1"/>
  <c r="E15" i="19"/>
  <c r="C15" i="19" s="1"/>
  <c r="E14" i="19"/>
  <c r="C14" i="19" s="1"/>
  <c r="E13" i="19"/>
  <c r="C13" i="19" s="1"/>
  <c r="E12" i="19"/>
  <c r="C12" i="19" s="1"/>
  <c r="E11" i="19"/>
  <c r="C11" i="19" s="1"/>
  <c r="E10" i="19"/>
  <c r="E21" i="19" s="1"/>
  <c r="E22" i="19" s="1"/>
  <c r="C10" i="19" l="1"/>
  <c r="C21" i="19" s="1"/>
  <c r="C22" i="19" s="1"/>
  <c r="G22" i="19"/>
  <c r="B12" i="23" l="1"/>
  <c r="B11" i="23"/>
  <c r="C6" i="22"/>
  <c r="D6" i="22"/>
  <c r="E6" i="22"/>
  <c r="B6" i="22"/>
  <c r="C10" i="22"/>
  <c r="D10" i="22"/>
  <c r="E10" i="22"/>
  <c r="B10" i="22"/>
  <c r="C9" i="22"/>
  <c r="D9" i="22"/>
  <c r="E9" i="22"/>
  <c r="B9" i="22"/>
  <c r="C5" i="22"/>
  <c r="D5" i="22"/>
  <c r="E5" i="22"/>
  <c r="B5" i="22"/>
  <c r="C4" i="22"/>
  <c r="D4" i="22"/>
  <c r="E4" i="22"/>
  <c r="D3" i="22"/>
  <c r="E3" i="22"/>
  <c r="C3" i="22"/>
  <c r="B4" i="22"/>
  <c r="B3" i="22"/>
  <c r="D30" i="21"/>
  <c r="D31" i="21"/>
  <c r="D29" i="21"/>
  <c r="C30" i="21"/>
  <c r="C31" i="21"/>
  <c r="C29" i="21"/>
  <c r="B30" i="21"/>
  <c r="B31" i="21"/>
  <c r="B32" i="21"/>
  <c r="B29" i="21"/>
  <c r="D28" i="21"/>
  <c r="B28" i="21"/>
  <c r="C26" i="21"/>
  <c r="D26" i="21"/>
  <c r="B26" i="21"/>
  <c r="C25" i="21"/>
  <c r="D25" i="21"/>
  <c r="B25" i="21"/>
  <c r="D24" i="21"/>
  <c r="C24" i="21"/>
  <c r="B24" i="21"/>
  <c r="E16" i="21"/>
  <c r="E15" i="21"/>
  <c r="E14" i="21"/>
  <c r="E13" i="21"/>
  <c r="E12" i="21"/>
  <c r="E9" i="21"/>
  <c r="E10" i="21"/>
  <c r="E11" i="21"/>
  <c r="E8" i="21"/>
  <c r="E6" i="21"/>
  <c r="E5" i="21"/>
  <c r="E4" i="21"/>
  <c r="C28" i="21"/>
  <c r="D14" i="21"/>
  <c r="C5" i="21"/>
  <c r="D5" i="21"/>
  <c r="B5" i="21"/>
  <c r="B33" i="21" l="1"/>
  <c r="B34" i="21" s="1"/>
  <c r="C32" i="21"/>
  <c r="C33" i="21" s="1"/>
  <c r="C34" i="21" s="1"/>
  <c r="C4" i="21"/>
  <c r="G6" i="21"/>
  <c r="G5" i="21"/>
  <c r="F4" i="21"/>
  <c r="D8" i="21"/>
  <c r="D12" i="21"/>
  <c r="C9" i="21"/>
  <c r="B9" i="21"/>
  <c r="C8" i="21"/>
  <c r="B8" i="21"/>
  <c r="D9" i="21"/>
  <c r="D11" i="21" s="1"/>
  <c r="C11" i="21" s="1"/>
  <c r="C10" i="21"/>
  <c r="B10" i="21" s="1"/>
  <c r="D10" i="21"/>
  <c r="G4" i="21"/>
  <c r="D4" i="21"/>
  <c r="C35" i="21" l="1"/>
  <c r="D35" i="21"/>
  <c r="D32" i="21"/>
  <c r="D33" i="21" s="1"/>
  <c r="D34" i="21" s="1"/>
  <c r="C12" i="21"/>
  <c r="B11" i="21"/>
  <c r="B12" i="21" s="1"/>
  <c r="B4" i="21"/>
  <c r="C6" i="21"/>
  <c r="C15" i="21" s="1"/>
  <c r="D6" i="21"/>
  <c r="D13" i="21" s="1"/>
  <c r="D36" i="21" l="1"/>
  <c r="B35" i="21"/>
  <c r="C36" i="21"/>
  <c r="D15" i="21"/>
  <c r="C17" i="21"/>
  <c r="C13" i="21"/>
  <c r="B6" i="21"/>
  <c r="E7" i="22"/>
  <c r="B8" i="22" l="1"/>
  <c r="B36" i="21"/>
  <c r="G14" i="21"/>
  <c r="D16" i="21"/>
  <c r="B13" i="21"/>
  <c r="B15" i="21"/>
  <c r="C14" i="21"/>
  <c r="C16" i="21"/>
  <c r="E8" i="22"/>
  <c r="D7" i="22"/>
  <c r="D8" i="22" s="1"/>
  <c r="C7" i="22"/>
  <c r="C8" i="22" s="1"/>
  <c r="G16" i="21" l="1"/>
  <c r="G18" i="21"/>
  <c r="B14" i="21"/>
  <c r="B16" i="21"/>
</calcChain>
</file>

<file path=xl/sharedStrings.xml><?xml version="1.0" encoding="utf-8"?>
<sst xmlns="http://schemas.openxmlformats.org/spreadsheetml/2006/main" count="100" uniqueCount="68">
  <si>
    <t>Total</t>
  </si>
  <si>
    <t>Date</t>
  </si>
  <si>
    <t>Debit</t>
  </si>
  <si>
    <t>Credit</t>
  </si>
  <si>
    <t>Ending Balance</t>
  </si>
  <si>
    <t>Item</t>
  </si>
  <si>
    <t>Average</t>
  </si>
  <si>
    <t>June,17</t>
  </si>
  <si>
    <t>Jul,17</t>
  </si>
  <si>
    <t>Aug,17</t>
  </si>
  <si>
    <t>Sep,17</t>
  </si>
  <si>
    <t>Oct,17</t>
  </si>
  <si>
    <t>Nov,17</t>
  </si>
  <si>
    <t>Dec,17</t>
  </si>
  <si>
    <t>Jan,18</t>
  </si>
  <si>
    <t>Feb,18</t>
  </si>
  <si>
    <t>No</t>
  </si>
  <si>
    <t>Due Date</t>
  </si>
  <si>
    <t>Amount (USD)</t>
  </si>
  <si>
    <t>Payment Date</t>
  </si>
  <si>
    <t>Day in arrears</t>
  </si>
  <si>
    <t>Remark</t>
  </si>
  <si>
    <t>5 on Sunday</t>
  </si>
  <si>
    <t>5&amp; 6 is Satuday and Sunday</t>
  </si>
  <si>
    <t>5 is Sunday</t>
  </si>
  <si>
    <t>7 is Sunday</t>
  </si>
  <si>
    <t>7 &amp; 8 is Saturday and Sunday</t>
  </si>
  <si>
    <t>Gross Profit</t>
  </si>
  <si>
    <t>Net Profit</t>
  </si>
  <si>
    <t>Description (USD)</t>
  </si>
  <si>
    <t>Actual</t>
  </si>
  <si>
    <t>Projection</t>
  </si>
  <si>
    <t>Total Commitments</t>
  </si>
  <si>
    <t>DSR (x) (100%)</t>
  </si>
  <si>
    <t>DSR (x) (Drop 20%)</t>
  </si>
  <si>
    <t>Mar,18</t>
  </si>
  <si>
    <t>Apr,18</t>
  </si>
  <si>
    <t>FY2016</t>
  </si>
  <si>
    <t>Jan-Dec</t>
  </si>
  <si>
    <t>Revenue</t>
  </si>
  <si>
    <t>Cost of Goods Sold</t>
  </si>
  <si>
    <t>Operating Expenses</t>
  </si>
  <si>
    <t>Utilities</t>
  </si>
  <si>
    <t>Salary/Wage</t>
  </si>
  <si>
    <t>Monthly Net Profit</t>
  </si>
  <si>
    <t>GPM</t>
  </si>
  <si>
    <t>NPM</t>
  </si>
  <si>
    <t>Revenue growth</t>
  </si>
  <si>
    <t>COS growth</t>
  </si>
  <si>
    <t>Expense growth</t>
  </si>
  <si>
    <t>FY2017</t>
  </si>
  <si>
    <t>FY2018</t>
  </si>
  <si>
    <t>Jan-March</t>
  </si>
  <si>
    <t>Office rental fee</t>
  </si>
  <si>
    <t>Other Expenses</t>
  </si>
  <si>
    <t>FY2019</t>
  </si>
  <si>
    <t>FY2020</t>
  </si>
  <si>
    <t>FY2021</t>
  </si>
  <si>
    <t>Avg. Monthly EBIT from business ( 100%)</t>
  </si>
  <si>
    <t>HL of USD150K ( New)</t>
  </si>
  <si>
    <t>Avg. Monthly EBIT from business ( 40%)</t>
  </si>
  <si>
    <t>Total Income (40% of shareholder)</t>
  </si>
  <si>
    <t>Total Income (drop 30%)</t>
  </si>
  <si>
    <t>Month</t>
  </si>
  <si>
    <t>Monthly Average</t>
  </si>
  <si>
    <t xml:space="preserve">May,18  </t>
  </si>
  <si>
    <t xml:space="preserve"> </t>
  </si>
  <si>
    <t xml:space="preserve">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</si>
</sst>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43" fontId="2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43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43" fontId="3" fillId="0" borderId="1" xfId="1" applyFont="1" applyBorder="1" applyAlignment="1">
      <alignment horizontal="right" vertical="center"/>
    </xf>
    <xf numFmtId="43" fontId="3" fillId="0" borderId="1" xfId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7" fillId="4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8" fillId="0" borderId="1" xfId="0" applyFont="1" applyBorder="1" applyAlignment="1">
      <alignment vertical="center" wrapText="1"/>
    </xf>
    <xf numFmtId="4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justify" vertical="center" wrapText="1"/>
    </xf>
    <xf numFmtId="2" fontId="8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" fontId="10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 indent="1"/>
    </xf>
    <xf numFmtId="10" fontId="10" fillId="0" borderId="1" xfId="0" applyNumberFormat="1" applyFont="1" applyBorder="1" applyAlignment="1">
      <alignment horizontal="right" vertical="center"/>
    </xf>
    <xf numFmtId="9" fontId="10" fillId="0" borderId="1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10" fontId="10" fillId="0" borderId="0" xfId="0" applyNumberFormat="1" applyFont="1" applyBorder="1" applyAlignment="1">
      <alignment horizontal="right" vertical="center"/>
    </xf>
    <xf numFmtId="9" fontId="10" fillId="0" borderId="0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4" fontId="11" fillId="0" borderId="1" xfId="0" applyNumberFormat="1" applyFont="1" applyBorder="1" applyAlignment="1">
      <alignment horizontal="right" vertical="center"/>
    </xf>
    <xf numFmtId="17" fontId="11" fillId="0" borderId="1" xfId="0" applyNumberFormat="1" applyFont="1" applyBorder="1" applyAlignment="1">
      <alignment horizontal="left" vertical="center"/>
    </xf>
    <xf numFmtId="43" fontId="0" fillId="0" borderId="0" xfId="0" applyNumberFormat="1" applyAlignment="1">
      <alignment vertical="center"/>
    </xf>
    <xf numFmtId="164" fontId="12" fillId="0" borderId="1" xfId="1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right" vertical="center"/>
    </xf>
    <xf numFmtId="164" fontId="13" fillId="0" borderId="1" xfId="1" applyNumberFormat="1" applyFont="1" applyBorder="1" applyAlignment="1">
      <alignment vertical="center"/>
    </xf>
    <xf numFmtId="43" fontId="3" fillId="2" borderId="2" xfId="1" applyFont="1" applyFill="1" applyBorder="1" applyAlignment="1">
      <alignment horizontal="right" vertical="center"/>
    </xf>
    <xf numFmtId="43" fontId="3" fillId="2" borderId="3" xfId="1" applyFont="1" applyFill="1" applyBorder="1" applyAlignment="1">
      <alignment horizontal="right" vertical="center"/>
    </xf>
    <xf numFmtId="43" fontId="3" fillId="2" borderId="4" xfId="1" applyFont="1" applyFill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G1" zoomScale="118" zoomScaleNormal="118" workbookViewId="0">
      <selection activeCell="W1" sqref="W1"/>
    </sheetView>
  </sheetViews>
  <sheetFormatPr defaultRowHeight="15" x14ac:dyDescent="0.25"/>
  <cols>
    <col min="1" max="1" width="9.140625" style="1"/>
    <col min="2" max="2" width="7.7109375" style="1" bestFit="1" customWidth="1"/>
    <col min="3" max="3" width="11" style="1" bestFit="1" customWidth="1"/>
    <col min="4" max="4" width="7.5703125" style="4" bestFit="1" customWidth="1"/>
    <col min="5" max="5" width="11.5703125" style="1" bestFit="1" customWidth="1"/>
    <col min="6" max="6" width="6.5703125" style="4" bestFit="1" customWidth="1"/>
    <col min="7" max="7" width="14.140625" style="1" bestFit="1" customWidth="1"/>
    <col min="8" max="8" width="13.42578125" style="1" bestFit="1" customWidth="1"/>
    <col min="9" max="9" width="10.5703125" style="1" bestFit="1" customWidth="1"/>
    <col min="10" max="10" width="9.5703125" style="1" bestFit="1" customWidth="1"/>
    <col min="11" max="11" width="9.5703125" style="1" customWidth="1"/>
    <col min="12" max="16384" width="9.140625" style="1"/>
  </cols>
  <sheetData>
    <row r="1" spans="1:23" x14ac:dyDescent="0.25">
      <c r="W1" s="1" t="s">
        <v>67</v>
      </c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23" x14ac:dyDescent="0.25">
      <c r="A3" s="2"/>
      <c r="B3" s="2"/>
      <c r="C3" s="2"/>
      <c r="D3" s="2"/>
      <c r="E3" s="2"/>
      <c r="F3" s="2"/>
      <c r="G3" s="2"/>
    </row>
    <row r="4" spans="1:23" x14ac:dyDescent="0.25">
      <c r="A4" s="2"/>
      <c r="B4" s="2"/>
      <c r="C4" s="2"/>
      <c r="D4" s="2"/>
      <c r="E4" s="2"/>
      <c r="F4" s="2"/>
      <c r="G4" s="2"/>
    </row>
    <row r="7" spans="1:23" x14ac:dyDescent="0.25">
      <c r="B7" s="6" t="s">
        <v>1</v>
      </c>
      <c r="C7" s="6" t="s">
        <v>2</v>
      </c>
      <c r="D7" s="6" t="s">
        <v>5</v>
      </c>
      <c r="E7" s="6" t="s">
        <v>3</v>
      </c>
      <c r="F7" s="6" t="s">
        <v>5</v>
      </c>
      <c r="G7" s="6" t="s">
        <v>4</v>
      </c>
    </row>
    <row r="8" spans="1:23" x14ac:dyDescent="0.25">
      <c r="B8" s="49">
        <v>5704.85</v>
      </c>
      <c r="C8" s="50"/>
      <c r="D8" s="50"/>
      <c r="E8" s="50"/>
      <c r="F8" s="50"/>
      <c r="G8" s="51"/>
      <c r="I8" s="45"/>
    </row>
    <row r="9" spans="1:23" x14ac:dyDescent="0.25">
      <c r="B9" s="7" t="s">
        <v>7</v>
      </c>
      <c r="C9" s="10">
        <f>B8-E9-G9</f>
        <v>0</v>
      </c>
      <c r="D9" s="46">
        <v>1</v>
      </c>
      <c r="E9" s="10">
        <v>1050</v>
      </c>
      <c r="F9" s="46">
        <v>1</v>
      </c>
      <c r="G9" s="10">
        <v>4654.8500000000004</v>
      </c>
      <c r="I9" s="45"/>
    </row>
    <row r="10" spans="1:23" x14ac:dyDescent="0.25">
      <c r="B10" s="7" t="s">
        <v>8</v>
      </c>
      <c r="C10" s="10">
        <f>G10+E10-G9</f>
        <v>4027.9599999999991</v>
      </c>
      <c r="D10" s="46">
        <v>6</v>
      </c>
      <c r="E10" s="10">
        <f>1.96+750+500+600+3350</f>
        <v>5201.96</v>
      </c>
      <c r="F10" s="46">
        <v>5</v>
      </c>
      <c r="G10" s="10">
        <v>3480.85</v>
      </c>
      <c r="M10" s="1" t="s">
        <v>66</v>
      </c>
    </row>
    <row r="11" spans="1:23" x14ac:dyDescent="0.25">
      <c r="B11" s="7" t="s">
        <v>9</v>
      </c>
      <c r="C11" s="10">
        <f t="shared" ref="C11:C19" si="0">G11+E11-G10</f>
        <v>10058.57</v>
      </c>
      <c r="D11" s="46">
        <v>12</v>
      </c>
      <c r="E11" s="10">
        <f>2200+2500+1000+4300</f>
        <v>10000</v>
      </c>
      <c r="F11" s="46">
        <v>3</v>
      </c>
      <c r="G11" s="10">
        <v>3539.42</v>
      </c>
    </row>
    <row r="12" spans="1:23" x14ac:dyDescent="0.25">
      <c r="B12" s="7" t="s">
        <v>10</v>
      </c>
      <c r="C12" s="10">
        <f t="shared" si="0"/>
        <v>13642.269999999999</v>
      </c>
      <c r="D12" s="46">
        <v>10</v>
      </c>
      <c r="E12" s="10">
        <f>1665+13800+580</f>
        <v>16045</v>
      </c>
      <c r="F12" s="46">
        <v>3</v>
      </c>
      <c r="G12" s="10">
        <v>1136.69</v>
      </c>
    </row>
    <row r="13" spans="1:23" x14ac:dyDescent="0.25">
      <c r="B13" s="7" t="s">
        <v>11</v>
      </c>
      <c r="C13" s="10">
        <f t="shared" si="0"/>
        <v>3257.3299999999995</v>
      </c>
      <c r="D13" s="46">
        <v>5</v>
      </c>
      <c r="E13" s="10">
        <f>0.78+350+300+10+3</f>
        <v>663.78</v>
      </c>
      <c r="F13" s="46">
        <v>5</v>
      </c>
      <c r="G13" s="10">
        <v>3730.24</v>
      </c>
    </row>
    <row r="14" spans="1:23" x14ac:dyDescent="0.25">
      <c r="B14" s="7" t="s">
        <v>12</v>
      </c>
      <c r="C14" s="10">
        <f t="shared" si="0"/>
        <v>4970</v>
      </c>
      <c r="D14" s="46">
        <v>6</v>
      </c>
      <c r="E14" s="10">
        <f>200+1300+900</f>
        <v>2400</v>
      </c>
      <c r="F14" s="46">
        <v>3</v>
      </c>
      <c r="G14" s="10">
        <v>6300.24</v>
      </c>
    </row>
    <row r="15" spans="1:23" x14ac:dyDescent="0.25">
      <c r="B15" s="7" t="s">
        <v>13</v>
      </c>
      <c r="C15" s="10">
        <f t="shared" si="0"/>
        <v>5946.9400000000005</v>
      </c>
      <c r="D15" s="46">
        <v>4</v>
      </c>
      <c r="E15" s="10">
        <f>1000+4700+300+10</f>
        <v>6010</v>
      </c>
      <c r="F15" s="46">
        <v>4</v>
      </c>
      <c r="G15" s="10">
        <v>6237.18</v>
      </c>
    </row>
    <row r="16" spans="1:23" x14ac:dyDescent="0.25">
      <c r="B16" s="7" t="s">
        <v>14</v>
      </c>
      <c r="C16" s="10">
        <f t="shared" si="0"/>
        <v>5914.8999999999978</v>
      </c>
      <c r="D16" s="46">
        <v>9</v>
      </c>
      <c r="E16" s="10">
        <f>1.2+1844+880+180+1000</f>
        <v>3905.2</v>
      </c>
      <c r="F16" s="46">
        <v>5</v>
      </c>
      <c r="G16" s="10">
        <v>8246.8799999999992</v>
      </c>
    </row>
    <row r="17" spans="2:11" x14ac:dyDescent="0.25">
      <c r="B17" s="7" t="s">
        <v>15</v>
      </c>
      <c r="C17" s="10">
        <f t="shared" si="0"/>
        <v>1064.0000000000018</v>
      </c>
      <c r="D17" s="46">
        <v>5</v>
      </c>
      <c r="E17" s="10">
        <f>3100+200+1000</f>
        <v>4300</v>
      </c>
      <c r="F17" s="46">
        <v>3</v>
      </c>
      <c r="G17" s="10">
        <v>5010.88</v>
      </c>
      <c r="K17" s="1" t="s">
        <v>66</v>
      </c>
    </row>
    <row r="18" spans="2:11" x14ac:dyDescent="0.25">
      <c r="B18" s="7" t="s">
        <v>35</v>
      </c>
      <c r="C18" s="10">
        <f t="shared" si="0"/>
        <v>8612.880000000001</v>
      </c>
      <c r="D18" s="46">
        <v>9</v>
      </c>
      <c r="E18" s="10">
        <v>0</v>
      </c>
      <c r="F18" s="46">
        <v>0</v>
      </c>
      <c r="G18" s="10">
        <v>13623.76</v>
      </c>
    </row>
    <row r="19" spans="2:11" x14ac:dyDescent="0.25">
      <c r="B19" s="7" t="s">
        <v>36</v>
      </c>
      <c r="C19" s="10">
        <f t="shared" si="0"/>
        <v>5189.7899999999991</v>
      </c>
      <c r="D19" s="46">
        <v>9</v>
      </c>
      <c r="E19" s="10">
        <f>0.91+180+300+150+1000+150</f>
        <v>1780.9099999999999</v>
      </c>
      <c r="F19" s="46">
        <v>6</v>
      </c>
      <c r="G19" s="10">
        <v>17032.64</v>
      </c>
    </row>
    <row r="20" spans="2:11" x14ac:dyDescent="0.25">
      <c r="B20" s="7" t="s">
        <v>65</v>
      </c>
      <c r="C20" s="10">
        <f>G20+E20-G19</f>
        <v>3573.4599999999991</v>
      </c>
      <c r="D20" s="46">
        <v>7</v>
      </c>
      <c r="E20" s="10">
        <v>9480</v>
      </c>
      <c r="F20" s="46">
        <v>8</v>
      </c>
      <c r="G20" s="10">
        <v>11126.1</v>
      </c>
    </row>
    <row r="21" spans="2:11" x14ac:dyDescent="0.25">
      <c r="B21" s="7" t="s">
        <v>0</v>
      </c>
      <c r="C21" s="11">
        <f>SUM(C9:C20)</f>
        <v>66258.099999999991</v>
      </c>
      <c r="D21" s="47">
        <f t="shared" ref="D21:E21" si="1">SUM(D9:D20)</f>
        <v>83</v>
      </c>
      <c r="E21" s="11">
        <f t="shared" si="1"/>
        <v>60836.849999999991</v>
      </c>
      <c r="F21" s="47">
        <f t="shared" ref="F21" si="2">SUM(F9:F20)</f>
        <v>46</v>
      </c>
      <c r="G21" s="11"/>
    </row>
    <row r="22" spans="2:11" x14ac:dyDescent="0.25">
      <c r="B22" s="9" t="s">
        <v>6</v>
      </c>
      <c r="C22" s="12">
        <f>C21/12</f>
        <v>5521.5083333333323</v>
      </c>
      <c r="D22" s="48">
        <f t="shared" ref="D22:E22" si="3">D21/12</f>
        <v>6.916666666666667</v>
      </c>
      <c r="E22" s="12">
        <f t="shared" si="3"/>
        <v>5069.7374999999993</v>
      </c>
      <c r="F22" s="48">
        <f t="shared" ref="F22" si="4">F21/12</f>
        <v>3.8333333333333335</v>
      </c>
      <c r="G22" s="12">
        <f t="shared" ref="G22" si="5">G21/12</f>
        <v>0</v>
      </c>
    </row>
    <row r="28" spans="2:11" x14ac:dyDescent="0.25">
      <c r="B28" s="3"/>
    </row>
    <row r="29" spans="2:11" x14ac:dyDescent="0.25">
      <c r="B29" s="5"/>
    </row>
  </sheetData>
  <mergeCells count="1">
    <mergeCell ref="B8:G8"/>
  </mergeCells>
  <pageMargins left="0.7" right="0.7" top="0.25" bottom="0.55000000000000004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9" zoomScale="154" zoomScaleNormal="154" workbookViewId="0">
      <selection activeCell="B39" sqref="B39"/>
    </sheetView>
  </sheetViews>
  <sheetFormatPr defaultRowHeight="15" x14ac:dyDescent="0.25"/>
  <cols>
    <col min="1" max="1" width="3.140625" bestFit="1" customWidth="1"/>
    <col min="2" max="2" width="8.85546875" bestFit="1" customWidth="1"/>
    <col min="3" max="3" width="12.42578125" bestFit="1" customWidth="1"/>
    <col min="4" max="4" width="12.28515625" bestFit="1" customWidth="1"/>
    <col min="5" max="5" width="12.42578125" bestFit="1" customWidth="1"/>
    <col min="6" max="6" width="24.28515625" bestFit="1" customWidth="1"/>
  </cols>
  <sheetData>
    <row r="1" spans="1:6" x14ac:dyDescent="0.2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6" x14ac:dyDescent="0.25">
      <c r="A2" s="8">
        <v>1</v>
      </c>
      <c r="B2" s="14">
        <v>42858</v>
      </c>
      <c r="C2" s="15">
        <v>1151</v>
      </c>
      <c r="D2" s="14">
        <v>42889</v>
      </c>
      <c r="E2" s="8">
        <v>1</v>
      </c>
      <c r="F2" s="16" t="s">
        <v>22</v>
      </c>
    </row>
    <row r="3" spans="1:6" x14ac:dyDescent="0.25">
      <c r="A3" s="8">
        <v>2</v>
      </c>
      <c r="B3" s="14">
        <v>42859</v>
      </c>
      <c r="C3" s="15">
        <v>1151</v>
      </c>
      <c r="D3" s="14">
        <v>42859</v>
      </c>
      <c r="E3" s="8">
        <v>0</v>
      </c>
      <c r="F3" s="16"/>
    </row>
    <row r="4" spans="1:6" x14ac:dyDescent="0.25">
      <c r="A4" s="8">
        <v>3</v>
      </c>
      <c r="B4" s="14">
        <v>42860</v>
      </c>
      <c r="C4" s="15">
        <v>1151</v>
      </c>
      <c r="D4" s="14">
        <v>42860</v>
      </c>
      <c r="E4" s="8">
        <v>0</v>
      </c>
      <c r="F4" s="16"/>
    </row>
    <row r="5" spans="1:6" x14ac:dyDescent="0.25">
      <c r="A5" s="8">
        <v>4</v>
      </c>
      <c r="B5" s="14">
        <v>42861</v>
      </c>
      <c r="C5" s="15">
        <v>1151</v>
      </c>
      <c r="D5" s="14">
        <v>42861</v>
      </c>
      <c r="E5" s="8">
        <v>0</v>
      </c>
      <c r="F5" s="16"/>
    </row>
    <row r="6" spans="1:6" x14ac:dyDescent="0.25">
      <c r="A6" s="8">
        <v>5</v>
      </c>
      <c r="B6" s="14">
        <v>42862</v>
      </c>
      <c r="C6" s="15">
        <v>1151</v>
      </c>
      <c r="D6" s="14">
        <v>42862</v>
      </c>
      <c r="E6" s="8">
        <v>0</v>
      </c>
      <c r="F6" s="16"/>
    </row>
    <row r="7" spans="1:6" x14ac:dyDescent="0.25">
      <c r="A7" s="8">
        <v>6</v>
      </c>
      <c r="B7" s="14">
        <v>42863</v>
      </c>
      <c r="C7" s="15">
        <v>1151</v>
      </c>
      <c r="D7" s="14">
        <v>42924</v>
      </c>
      <c r="E7" s="8">
        <v>2</v>
      </c>
      <c r="F7" s="16" t="s">
        <v>23</v>
      </c>
    </row>
    <row r="8" spans="1:6" x14ac:dyDescent="0.25">
      <c r="A8" s="8">
        <v>7</v>
      </c>
      <c r="B8" s="14">
        <v>42864</v>
      </c>
      <c r="C8" s="15">
        <v>1151</v>
      </c>
      <c r="D8" s="14">
        <v>42895</v>
      </c>
      <c r="E8" s="8">
        <v>1</v>
      </c>
      <c r="F8" s="16"/>
    </row>
    <row r="9" spans="1:6" x14ac:dyDescent="0.25">
      <c r="A9" s="8">
        <v>8</v>
      </c>
      <c r="B9" s="14">
        <v>42865</v>
      </c>
      <c r="C9" s="15">
        <v>1151</v>
      </c>
      <c r="D9" s="14">
        <v>42896</v>
      </c>
      <c r="E9" s="8">
        <v>1</v>
      </c>
      <c r="F9" s="16"/>
    </row>
    <row r="10" spans="1:6" x14ac:dyDescent="0.25">
      <c r="A10" s="8">
        <v>9</v>
      </c>
      <c r="B10" s="14">
        <v>42866</v>
      </c>
      <c r="C10" s="15">
        <v>1151</v>
      </c>
      <c r="D10" s="14">
        <v>42927</v>
      </c>
      <c r="E10" s="8">
        <v>2</v>
      </c>
      <c r="F10" s="16" t="s">
        <v>24</v>
      </c>
    </row>
    <row r="11" spans="1:6" x14ac:dyDescent="0.25">
      <c r="A11" s="8">
        <v>10</v>
      </c>
      <c r="B11" s="14">
        <v>42867</v>
      </c>
      <c r="C11" s="15">
        <v>1151</v>
      </c>
      <c r="D11" s="14">
        <v>42867</v>
      </c>
      <c r="E11" s="8">
        <v>0</v>
      </c>
      <c r="F11" s="16"/>
    </row>
    <row r="12" spans="1:6" x14ac:dyDescent="0.25">
      <c r="A12" s="8">
        <v>11</v>
      </c>
      <c r="B12" s="14">
        <v>42856</v>
      </c>
      <c r="C12" s="15">
        <v>1151</v>
      </c>
      <c r="D12" s="14">
        <v>42856</v>
      </c>
      <c r="E12" s="8">
        <v>0</v>
      </c>
      <c r="F12" s="16"/>
    </row>
    <row r="13" spans="1:6" x14ac:dyDescent="0.25">
      <c r="A13" s="8">
        <v>12</v>
      </c>
      <c r="B13" s="14">
        <v>42857</v>
      </c>
      <c r="C13" s="15">
        <v>1151</v>
      </c>
      <c r="D13" s="14">
        <v>42857</v>
      </c>
      <c r="E13" s="8">
        <v>0</v>
      </c>
      <c r="F13" s="16"/>
    </row>
    <row r="16" spans="1:6" x14ac:dyDescent="0.25">
      <c r="A16" s="13" t="s">
        <v>16</v>
      </c>
      <c r="B16" s="13" t="s">
        <v>17</v>
      </c>
      <c r="C16" s="13" t="s">
        <v>18</v>
      </c>
      <c r="D16" s="13" t="s">
        <v>19</v>
      </c>
      <c r="E16" s="13" t="s">
        <v>20</v>
      </c>
      <c r="F16" s="13" t="s">
        <v>21</v>
      </c>
    </row>
    <row r="17" spans="1:6" x14ac:dyDescent="0.25">
      <c r="A17" s="8">
        <v>1</v>
      </c>
      <c r="B17" s="14">
        <v>42919</v>
      </c>
      <c r="C17" s="15">
        <v>769</v>
      </c>
      <c r="D17" s="14">
        <v>43011</v>
      </c>
      <c r="E17" s="8">
        <v>3</v>
      </c>
      <c r="F17" s="16"/>
    </row>
    <row r="18" spans="1:6" x14ac:dyDescent="0.25">
      <c r="A18" s="8">
        <v>2</v>
      </c>
      <c r="B18" s="14">
        <v>42920</v>
      </c>
      <c r="C18" s="15">
        <v>769</v>
      </c>
      <c r="D18" s="14">
        <v>43043</v>
      </c>
      <c r="E18" s="8">
        <v>4</v>
      </c>
      <c r="F18" s="16"/>
    </row>
    <row r="19" spans="1:6" x14ac:dyDescent="0.25">
      <c r="A19" s="8">
        <v>3</v>
      </c>
      <c r="B19" s="14">
        <v>42921</v>
      </c>
      <c r="C19" s="15">
        <v>769</v>
      </c>
      <c r="D19" s="14">
        <v>42983</v>
      </c>
      <c r="E19" s="8">
        <v>2</v>
      </c>
      <c r="F19" s="16" t="s">
        <v>25</v>
      </c>
    </row>
    <row r="20" spans="1:6" x14ac:dyDescent="0.25">
      <c r="A20" s="8">
        <v>4</v>
      </c>
      <c r="B20" s="14">
        <v>42922</v>
      </c>
      <c r="C20" s="15">
        <v>769</v>
      </c>
      <c r="D20" s="14">
        <v>42922</v>
      </c>
      <c r="E20" s="8">
        <v>0</v>
      </c>
      <c r="F20" s="16"/>
    </row>
    <row r="21" spans="1:6" x14ac:dyDescent="0.25">
      <c r="A21" s="8">
        <v>5</v>
      </c>
      <c r="B21" s="14">
        <v>42923</v>
      </c>
      <c r="C21" s="15">
        <v>769</v>
      </c>
      <c r="D21" s="14">
        <v>42923</v>
      </c>
      <c r="E21" s="8">
        <v>0</v>
      </c>
      <c r="F21" s="16"/>
    </row>
    <row r="22" spans="1:6" x14ac:dyDescent="0.25">
      <c r="A22" s="8">
        <v>6</v>
      </c>
      <c r="B22" s="14">
        <v>42924</v>
      </c>
      <c r="C22" s="15">
        <v>769</v>
      </c>
      <c r="D22" s="14">
        <v>42924</v>
      </c>
      <c r="E22" s="8">
        <v>0</v>
      </c>
      <c r="F22" s="16"/>
    </row>
    <row r="23" spans="1:6" x14ac:dyDescent="0.25">
      <c r="A23" s="8">
        <v>7</v>
      </c>
      <c r="B23" s="14">
        <v>42925</v>
      </c>
      <c r="C23" s="15">
        <v>769</v>
      </c>
      <c r="D23" s="14">
        <v>43048</v>
      </c>
      <c r="E23" s="8">
        <v>4</v>
      </c>
      <c r="F23" s="16"/>
    </row>
    <row r="24" spans="1:6" x14ac:dyDescent="0.25">
      <c r="A24" s="8">
        <v>8</v>
      </c>
      <c r="B24" s="14">
        <v>42926</v>
      </c>
      <c r="C24" s="15">
        <v>769</v>
      </c>
      <c r="D24" s="14">
        <v>42988</v>
      </c>
      <c r="E24" s="8">
        <v>2</v>
      </c>
      <c r="F24" s="16" t="s">
        <v>26</v>
      </c>
    </row>
    <row r="25" spans="1:6" x14ac:dyDescent="0.25">
      <c r="A25" s="8">
        <v>9</v>
      </c>
      <c r="B25" s="14">
        <v>42927</v>
      </c>
      <c r="C25" s="15">
        <v>769</v>
      </c>
      <c r="D25" s="14">
        <v>42927</v>
      </c>
      <c r="E25" s="8">
        <v>2</v>
      </c>
      <c r="F25" s="16"/>
    </row>
    <row r="26" spans="1:6" x14ac:dyDescent="0.25">
      <c r="A26" s="8">
        <v>10</v>
      </c>
      <c r="B26" s="14">
        <v>42928</v>
      </c>
      <c r="C26" s="15">
        <v>769</v>
      </c>
      <c r="D26" s="14">
        <v>42928</v>
      </c>
      <c r="E26" s="8">
        <v>0</v>
      </c>
      <c r="F26" s="16"/>
    </row>
    <row r="27" spans="1:6" x14ac:dyDescent="0.25">
      <c r="A27" s="8">
        <v>11</v>
      </c>
      <c r="B27" s="14">
        <v>42917</v>
      </c>
      <c r="C27" s="15">
        <v>769</v>
      </c>
      <c r="D27" s="14">
        <v>42917</v>
      </c>
      <c r="E27" s="8">
        <v>0</v>
      </c>
      <c r="F27" s="16"/>
    </row>
    <row r="28" spans="1:6" x14ac:dyDescent="0.25">
      <c r="A28" s="8">
        <v>12</v>
      </c>
      <c r="B28" s="14">
        <v>42918</v>
      </c>
      <c r="C28" s="15">
        <v>769</v>
      </c>
      <c r="D28" s="14">
        <v>42918</v>
      </c>
      <c r="E28" s="8">
        <v>0</v>
      </c>
      <c r="F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opLeftCell="A21" zoomScale="178" zoomScaleNormal="178" workbookViewId="0">
      <selection activeCell="H30" sqref="H30"/>
    </sheetView>
  </sheetViews>
  <sheetFormatPr defaultRowHeight="15" x14ac:dyDescent="0.25"/>
  <cols>
    <col min="1" max="1" width="18.42578125" bestFit="1" customWidth="1"/>
    <col min="2" max="3" width="10.42578125" bestFit="1" customWidth="1"/>
    <col min="4" max="4" width="10.85546875" bestFit="1" customWidth="1"/>
    <col min="5" max="5" width="10.42578125" customWidth="1"/>
    <col min="6" max="7" width="8" bestFit="1" customWidth="1"/>
    <col min="8" max="8" width="13.42578125" bestFit="1" customWidth="1"/>
  </cols>
  <sheetData>
    <row r="2" spans="1:7" x14ac:dyDescent="0.25">
      <c r="A2" s="52" t="s">
        <v>29</v>
      </c>
      <c r="B2" s="30" t="s">
        <v>37</v>
      </c>
      <c r="C2" s="30" t="s">
        <v>50</v>
      </c>
      <c r="D2" s="30" t="s">
        <v>51</v>
      </c>
      <c r="E2" s="36"/>
    </row>
    <row r="3" spans="1:7" x14ac:dyDescent="0.25">
      <c r="A3" s="52"/>
      <c r="B3" s="30" t="s">
        <v>38</v>
      </c>
      <c r="C3" s="30" t="s">
        <v>38</v>
      </c>
      <c r="D3" s="30" t="s">
        <v>52</v>
      </c>
      <c r="E3" s="36"/>
    </row>
    <row r="4" spans="1:7" x14ac:dyDescent="0.25">
      <c r="A4" s="31" t="s">
        <v>39</v>
      </c>
      <c r="B4" s="32">
        <f>C4*0.95</f>
        <v>483863.41639999999</v>
      </c>
      <c r="C4" s="32">
        <f>G6*0.98</f>
        <v>509329.91200000001</v>
      </c>
      <c r="D4" s="32">
        <f>83390.71+19300.51+27239.88</f>
        <v>129931.1</v>
      </c>
      <c r="E4" s="37">
        <f>D4/3*12</f>
        <v>519724.4</v>
      </c>
      <c r="F4">
        <f>D4/3*12</f>
        <v>519724.4</v>
      </c>
      <c r="G4">
        <f>51801.68+171007.02+20962.78+55962.21</f>
        <v>299733.69</v>
      </c>
    </row>
    <row r="5" spans="1:7" x14ac:dyDescent="0.25">
      <c r="A5" s="31" t="s">
        <v>40</v>
      </c>
      <c r="B5" s="32">
        <f>B4*0.78</f>
        <v>377413.46479200001</v>
      </c>
      <c r="C5" s="32">
        <f t="shared" ref="C5:D5" si="0">C4*0.78</f>
        <v>397277.33136000001</v>
      </c>
      <c r="D5" s="32">
        <f t="shared" si="0"/>
        <v>101346.258</v>
      </c>
      <c r="E5" s="37">
        <f>E4*0.78</f>
        <v>405385.03200000001</v>
      </c>
      <c r="G5">
        <f>D4/3</f>
        <v>43310.366666666669</v>
      </c>
    </row>
    <row r="6" spans="1:7" x14ac:dyDescent="0.25">
      <c r="A6" s="31" t="s">
        <v>27</v>
      </c>
      <c r="B6" s="32">
        <f>B4-B5</f>
        <v>106449.95160799997</v>
      </c>
      <c r="C6" s="32">
        <f t="shared" ref="C6:D6" si="1">C4-C5</f>
        <v>112052.58064</v>
      </c>
      <c r="D6" s="32">
        <f t="shared" si="1"/>
        <v>28584.842000000004</v>
      </c>
      <c r="E6" s="37">
        <f>E4-E5</f>
        <v>114339.36800000002</v>
      </c>
      <c r="G6">
        <f>G5*12</f>
        <v>519724.4</v>
      </c>
    </row>
    <row r="7" spans="1:7" x14ac:dyDescent="0.25">
      <c r="A7" s="31" t="s">
        <v>41</v>
      </c>
      <c r="B7" s="31"/>
      <c r="C7" s="31"/>
      <c r="D7" s="31"/>
      <c r="E7" s="38"/>
    </row>
    <row r="8" spans="1:7" x14ac:dyDescent="0.25">
      <c r="A8" s="33" t="s">
        <v>53</v>
      </c>
      <c r="B8" s="32">
        <f>600*12</f>
        <v>7200</v>
      </c>
      <c r="C8" s="32">
        <f>600*12</f>
        <v>7200</v>
      </c>
      <c r="D8" s="32">
        <f>600*3</f>
        <v>1800</v>
      </c>
      <c r="E8" s="37">
        <f>C8+C8*0.02</f>
        <v>7344</v>
      </c>
    </row>
    <row r="9" spans="1:7" x14ac:dyDescent="0.25">
      <c r="A9" s="33" t="s">
        <v>42</v>
      </c>
      <c r="B9" s="32">
        <f>105*12</f>
        <v>1260</v>
      </c>
      <c r="C9" s="32">
        <f>115*12</f>
        <v>1380</v>
      </c>
      <c r="D9" s="32">
        <f>101+115+98.5</f>
        <v>314.5</v>
      </c>
      <c r="E9" s="37">
        <f t="shared" ref="E9:E11" si="2">C9+C9*0.02</f>
        <v>1407.6</v>
      </c>
    </row>
    <row r="10" spans="1:7" x14ac:dyDescent="0.25">
      <c r="A10" s="33" t="s">
        <v>43</v>
      </c>
      <c r="B10" s="32">
        <f>C10</f>
        <v>16080</v>
      </c>
      <c r="C10" s="32">
        <f>1340*12</f>
        <v>16080</v>
      </c>
      <c r="D10" s="32">
        <f>1340+1340+1340</f>
        <v>4020</v>
      </c>
      <c r="E10" s="37">
        <f t="shared" si="2"/>
        <v>16401.599999999999</v>
      </c>
    </row>
    <row r="11" spans="1:7" x14ac:dyDescent="0.25">
      <c r="A11" s="31" t="s">
        <v>54</v>
      </c>
      <c r="B11" s="32">
        <f>C11*0.98</f>
        <v>6556.5528000000004</v>
      </c>
      <c r="C11" s="32">
        <f>D11/3*12</f>
        <v>6690.3600000000006</v>
      </c>
      <c r="D11" s="32">
        <f>7807.09-D8-D9-D10</f>
        <v>1672.5900000000001</v>
      </c>
      <c r="E11" s="37">
        <f t="shared" si="2"/>
        <v>6824.1672000000008</v>
      </c>
    </row>
    <row r="12" spans="1:7" x14ac:dyDescent="0.25">
      <c r="A12" s="31" t="s">
        <v>41</v>
      </c>
      <c r="B12" s="32">
        <f>SUM(B8:B11)</f>
        <v>31096.552800000001</v>
      </c>
      <c r="C12" s="32">
        <f t="shared" ref="C12" si="3">SUM(C8:C11)</f>
        <v>31350.36</v>
      </c>
      <c r="D12" s="32">
        <f>SUM(D8:D11)</f>
        <v>7807.09</v>
      </c>
      <c r="E12" s="37">
        <f>SUM(E8:E11)</f>
        <v>31977.367199999997</v>
      </c>
    </row>
    <row r="13" spans="1:7" x14ac:dyDescent="0.25">
      <c r="A13" s="31" t="s">
        <v>28</v>
      </c>
      <c r="B13" s="32">
        <f>B6-B12</f>
        <v>75353.398807999969</v>
      </c>
      <c r="C13" s="32">
        <f t="shared" ref="C13" si="4">C6-C12</f>
        <v>80702.22064</v>
      </c>
      <c r="D13" s="32">
        <f>D6-D12</f>
        <v>20777.752000000004</v>
      </c>
      <c r="E13" s="37">
        <f>E6-E12</f>
        <v>82362.000800000023</v>
      </c>
    </row>
    <row r="14" spans="1:7" x14ac:dyDescent="0.25">
      <c r="A14" s="31" t="s">
        <v>44</v>
      </c>
      <c r="B14" s="32">
        <f>B13/12</f>
        <v>6279.4499006666638</v>
      </c>
      <c r="C14" s="32">
        <f>C13/12</f>
        <v>6725.1850533333336</v>
      </c>
      <c r="D14" s="32">
        <f>D13/3</f>
        <v>6925.9173333333347</v>
      </c>
      <c r="E14" s="37">
        <f>E13/12</f>
        <v>6863.5000666666683</v>
      </c>
      <c r="G14">
        <f>D14*0.4</f>
        <v>2770.3669333333341</v>
      </c>
    </row>
    <row r="15" spans="1:7" x14ac:dyDescent="0.25">
      <c r="A15" s="31" t="s">
        <v>45</v>
      </c>
      <c r="B15" s="34">
        <f>B6/B4</f>
        <v>0.21999999999999995</v>
      </c>
      <c r="C15" s="34">
        <f t="shared" ref="C15:D15" si="5">C6/C4</f>
        <v>0.22</v>
      </c>
      <c r="D15" s="34">
        <f t="shared" si="5"/>
        <v>0.22000000000000003</v>
      </c>
      <c r="E15" s="39">
        <f>E6/E4</f>
        <v>0.22000000000000003</v>
      </c>
      <c r="G15">
        <v>1255</v>
      </c>
    </row>
    <row r="16" spans="1:7" x14ac:dyDescent="0.25">
      <c r="A16" s="31" t="s">
        <v>46</v>
      </c>
      <c r="B16" s="34">
        <f>B13/B4</f>
        <v>0.15573278791903303</v>
      </c>
      <c r="C16" s="34">
        <f t="shared" ref="C16:D16" si="6">C13/C4</f>
        <v>0.15844783261031015</v>
      </c>
      <c r="D16" s="34">
        <f t="shared" si="6"/>
        <v>0.15991361575481161</v>
      </c>
      <c r="E16" s="39">
        <f>E13/E4</f>
        <v>0.15847245347726607</v>
      </c>
      <c r="G16">
        <f>G14/G15</f>
        <v>2.2074636918990711</v>
      </c>
    </row>
    <row r="17" spans="1:7" x14ac:dyDescent="0.25">
      <c r="A17" s="31" t="s">
        <v>47</v>
      </c>
      <c r="B17" s="35"/>
      <c r="C17" s="35">
        <f>C4/B4</f>
        <v>1.0526315789473684</v>
      </c>
      <c r="D17" s="35"/>
      <c r="E17" s="40"/>
    </row>
    <row r="18" spans="1:7" x14ac:dyDescent="0.25">
      <c r="A18" s="31" t="s">
        <v>48</v>
      </c>
      <c r="B18" s="35"/>
      <c r="C18" s="35"/>
      <c r="D18" s="35"/>
      <c r="E18" s="40"/>
      <c r="G18">
        <f>G14-G15</f>
        <v>1515.3669333333341</v>
      </c>
    </row>
    <row r="19" spans="1:7" x14ac:dyDescent="0.25">
      <c r="A19" s="31" t="s">
        <v>49</v>
      </c>
      <c r="B19" s="34"/>
      <c r="C19" s="34"/>
      <c r="D19" s="34"/>
      <c r="E19" s="39"/>
    </row>
    <row r="22" spans="1:7" x14ac:dyDescent="0.25">
      <c r="A22" s="52" t="s">
        <v>29</v>
      </c>
      <c r="B22" s="30" t="s">
        <v>55</v>
      </c>
      <c r="C22" s="30" t="s">
        <v>56</v>
      </c>
      <c r="D22" s="30" t="s">
        <v>57</v>
      </c>
      <c r="E22" s="36"/>
    </row>
    <row r="23" spans="1:7" x14ac:dyDescent="0.25">
      <c r="A23" s="52"/>
      <c r="B23" s="30" t="s">
        <v>38</v>
      </c>
      <c r="C23" s="30" t="s">
        <v>38</v>
      </c>
      <c r="D23" s="30" t="s">
        <v>38</v>
      </c>
      <c r="E23" s="36"/>
    </row>
    <row r="24" spans="1:7" x14ac:dyDescent="0.25">
      <c r="A24" s="31" t="s">
        <v>39</v>
      </c>
      <c r="B24" s="32">
        <f>E4+E4*0.05</f>
        <v>545710.62</v>
      </c>
      <c r="C24" s="32">
        <f>B24+B24*0.05</f>
        <v>572996.15099999995</v>
      </c>
      <c r="D24" s="32">
        <f>C24+C24*0.05</f>
        <v>601645.95854999998</v>
      </c>
      <c r="E24" s="37"/>
    </row>
    <row r="25" spans="1:7" x14ac:dyDescent="0.25">
      <c r="A25" s="31" t="s">
        <v>40</v>
      </c>
      <c r="B25" s="32">
        <f>B24*0.78</f>
        <v>425654.28360000002</v>
      </c>
      <c r="C25" s="32">
        <f t="shared" ref="C25:D25" si="7">C24*0.78</f>
        <v>446936.99777999998</v>
      </c>
      <c r="D25" s="32">
        <f t="shared" si="7"/>
        <v>469283.84766899998</v>
      </c>
      <c r="E25" s="37"/>
    </row>
    <row r="26" spans="1:7" x14ac:dyDescent="0.25">
      <c r="A26" s="31" t="s">
        <v>27</v>
      </c>
      <c r="B26" s="32">
        <f>B24-B25</f>
        <v>120056.33639999997</v>
      </c>
      <c r="C26" s="32">
        <f t="shared" ref="C26:D26" si="8">C24-C25</f>
        <v>126059.15321999998</v>
      </c>
      <c r="D26" s="32">
        <f t="shared" si="8"/>
        <v>132362.110881</v>
      </c>
      <c r="E26" s="37"/>
    </row>
    <row r="27" spans="1:7" x14ac:dyDescent="0.25">
      <c r="A27" s="31" t="s">
        <v>41</v>
      </c>
      <c r="B27" s="31"/>
      <c r="C27" s="31"/>
      <c r="D27" s="31"/>
      <c r="E27" s="38"/>
    </row>
    <row r="28" spans="1:7" x14ac:dyDescent="0.25">
      <c r="A28" s="33" t="s">
        <v>53</v>
      </c>
      <c r="B28" s="32">
        <f>C8</f>
        <v>7200</v>
      </c>
      <c r="C28" s="32">
        <f>600*12</f>
        <v>7200</v>
      </c>
      <c r="D28" s="32">
        <f>B28</f>
        <v>7200</v>
      </c>
      <c r="E28" s="37"/>
    </row>
    <row r="29" spans="1:7" x14ac:dyDescent="0.25">
      <c r="A29" s="33" t="s">
        <v>42</v>
      </c>
      <c r="B29" s="32">
        <f>E9+E9*0.03</f>
        <v>1449.828</v>
      </c>
      <c r="C29" s="32">
        <f>B29+B29*0.03</f>
        <v>1493.32284</v>
      </c>
      <c r="D29" s="32">
        <f>C29+C29*0.03</f>
        <v>1538.1225251999999</v>
      </c>
      <c r="E29" s="37"/>
    </row>
    <row r="30" spans="1:7" x14ac:dyDescent="0.25">
      <c r="A30" s="33" t="s">
        <v>43</v>
      </c>
      <c r="B30" s="32">
        <f t="shared" ref="B30:B32" si="9">E10+E10*0.03</f>
        <v>16893.647999999997</v>
      </c>
      <c r="C30" s="32">
        <f t="shared" ref="C30:D31" si="10">B30+B30*0.03</f>
        <v>17400.457439999998</v>
      </c>
      <c r="D30" s="32">
        <f t="shared" si="10"/>
        <v>17922.4711632</v>
      </c>
      <c r="E30" s="37"/>
    </row>
    <row r="31" spans="1:7" x14ac:dyDescent="0.25">
      <c r="A31" s="31" t="s">
        <v>54</v>
      </c>
      <c r="B31" s="32">
        <f t="shared" si="9"/>
        <v>7028.8922160000011</v>
      </c>
      <c r="C31" s="32">
        <f t="shared" si="10"/>
        <v>7239.7589824800016</v>
      </c>
      <c r="D31" s="32">
        <f t="shared" si="10"/>
        <v>7456.9517519544015</v>
      </c>
      <c r="E31" s="37"/>
    </row>
    <row r="32" spans="1:7" x14ac:dyDescent="0.25">
      <c r="A32" s="31" t="s">
        <v>41</v>
      </c>
      <c r="B32" s="32">
        <f t="shared" si="9"/>
        <v>32936.688215999995</v>
      </c>
      <c r="C32" s="32">
        <f t="shared" ref="C32" si="11">SUM(C28:C31)</f>
        <v>33333.539262480001</v>
      </c>
      <c r="D32" s="32">
        <f>SUM(D28:D31)</f>
        <v>34117.545440354399</v>
      </c>
      <c r="E32" s="37"/>
    </row>
    <row r="33" spans="1:5" x14ac:dyDescent="0.25">
      <c r="A33" s="31" t="s">
        <v>28</v>
      </c>
      <c r="B33" s="32">
        <f>B26-B32</f>
        <v>87119.648183999976</v>
      </c>
      <c r="C33" s="32">
        <f t="shared" ref="C33:D33" si="12">C26-C32</f>
        <v>92725.613957519978</v>
      </c>
      <c r="D33" s="32">
        <f t="shared" si="12"/>
        <v>98244.565440645601</v>
      </c>
      <c r="E33" s="37"/>
    </row>
    <row r="34" spans="1:5" x14ac:dyDescent="0.25">
      <c r="A34" s="31" t="s">
        <v>44</v>
      </c>
      <c r="B34" s="32">
        <f>B33/12</f>
        <v>7259.9706819999983</v>
      </c>
      <c r="C34" s="32">
        <f t="shared" ref="C34:D34" si="13">C33/12</f>
        <v>7727.1344964599984</v>
      </c>
      <c r="D34" s="32">
        <f t="shared" si="13"/>
        <v>8187.0471200538004</v>
      </c>
      <c r="E34" s="37"/>
    </row>
    <row r="35" spans="1:5" x14ac:dyDescent="0.25">
      <c r="A35" s="31" t="s">
        <v>45</v>
      </c>
      <c r="B35" s="34">
        <f>B26/B24</f>
        <v>0.21999999999999995</v>
      </c>
      <c r="C35" s="34">
        <f t="shared" ref="C35:D35" si="14">C26/C24</f>
        <v>0.21999999999999997</v>
      </c>
      <c r="D35" s="34">
        <f t="shared" si="14"/>
        <v>0.22</v>
      </c>
      <c r="E35" s="39"/>
    </row>
    <row r="36" spans="1:5" x14ac:dyDescent="0.25">
      <c r="A36" s="31" t="s">
        <v>46</v>
      </c>
      <c r="B36" s="34">
        <f>B33/B24</f>
        <v>0.15964440674436567</v>
      </c>
      <c r="C36" s="34">
        <f t="shared" ref="C36:D36" si="15">C33/C24</f>
        <v>0.1618258932380158</v>
      </c>
      <c r="D36" s="34">
        <f t="shared" si="15"/>
        <v>0.16329298658869151</v>
      </c>
      <c r="E36" s="39"/>
    </row>
  </sheetData>
  <mergeCells count="2">
    <mergeCell ref="A2:A3"/>
    <mergeCell ref="A22:A2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84" zoomScaleNormal="184" workbookViewId="0">
      <selection activeCell="A17" sqref="A17"/>
    </sheetView>
  </sheetViews>
  <sheetFormatPr defaultRowHeight="15" x14ac:dyDescent="0.25"/>
  <cols>
    <col min="1" max="1" width="33.85546875" bestFit="1" customWidth="1"/>
    <col min="2" max="2" width="7.85546875" bestFit="1" customWidth="1"/>
    <col min="3" max="5" width="9.85546875" bestFit="1" customWidth="1"/>
  </cols>
  <sheetData>
    <row r="1" spans="1:5" x14ac:dyDescent="0.25">
      <c r="A1" s="53" t="s">
        <v>29</v>
      </c>
      <c r="B1" s="17">
        <v>2018</v>
      </c>
      <c r="C1" s="18">
        <v>2019</v>
      </c>
      <c r="D1" s="18">
        <v>2020</v>
      </c>
      <c r="E1" s="18">
        <v>2021</v>
      </c>
    </row>
    <row r="2" spans="1:5" x14ac:dyDescent="0.25">
      <c r="A2" s="53"/>
      <c r="B2" s="17" t="s">
        <v>30</v>
      </c>
      <c r="C2" s="17" t="s">
        <v>31</v>
      </c>
      <c r="D2" s="17" t="s">
        <v>31</v>
      </c>
      <c r="E2" s="17" t="s">
        <v>31</v>
      </c>
    </row>
    <row r="3" spans="1:5" x14ac:dyDescent="0.25">
      <c r="A3" s="19" t="s">
        <v>58</v>
      </c>
      <c r="B3" s="20">
        <f>'P &amp; L'!D14</f>
        <v>6925.9173333333347</v>
      </c>
      <c r="C3" s="21">
        <f>'P &amp; L'!B34</f>
        <v>7259.9706819999983</v>
      </c>
      <c r="D3" s="21">
        <f>'P &amp; L'!C34</f>
        <v>7727.1344964599984</v>
      </c>
      <c r="E3" s="21">
        <f>'P &amp; L'!D34</f>
        <v>8187.0471200538004</v>
      </c>
    </row>
    <row r="4" spans="1:5" x14ac:dyDescent="0.25">
      <c r="A4" s="19" t="s">
        <v>60</v>
      </c>
      <c r="B4" s="20">
        <f>B3*0.4</f>
        <v>2770.3669333333341</v>
      </c>
      <c r="C4" s="20">
        <f t="shared" ref="C4:E4" si="0">C3*0.4</f>
        <v>2903.9882727999993</v>
      </c>
      <c r="D4" s="20">
        <f t="shared" si="0"/>
        <v>3090.8537985839994</v>
      </c>
      <c r="E4" s="20">
        <f t="shared" si="0"/>
        <v>3274.8188480215204</v>
      </c>
    </row>
    <row r="5" spans="1:5" x14ac:dyDescent="0.25">
      <c r="A5" s="26" t="s">
        <v>61</v>
      </c>
      <c r="B5" s="27">
        <f>B4</f>
        <v>2770.3669333333341</v>
      </c>
      <c r="C5" s="27">
        <f t="shared" ref="C5:E5" si="1">C4</f>
        <v>2903.9882727999993</v>
      </c>
      <c r="D5" s="27">
        <f t="shared" si="1"/>
        <v>3090.8537985839994</v>
      </c>
      <c r="E5" s="27">
        <f t="shared" si="1"/>
        <v>3274.8188480215204</v>
      </c>
    </row>
    <row r="6" spans="1:5" x14ac:dyDescent="0.25">
      <c r="A6" s="26" t="s">
        <v>62</v>
      </c>
      <c r="B6" s="27">
        <f>B5*0.7</f>
        <v>1939.2568533333338</v>
      </c>
      <c r="C6" s="27">
        <f t="shared" ref="C6:E6" si="2">C5*0.7</f>
        <v>2032.7917909599994</v>
      </c>
      <c r="D6" s="27">
        <f t="shared" si="2"/>
        <v>2163.5976590087994</v>
      </c>
      <c r="E6" s="27">
        <f t="shared" si="2"/>
        <v>2292.3731936150639</v>
      </c>
    </row>
    <row r="7" spans="1:5" x14ac:dyDescent="0.25">
      <c r="A7" s="22" t="s">
        <v>59</v>
      </c>
      <c r="B7" s="20">
        <v>1255</v>
      </c>
      <c r="C7" s="20">
        <f>B7</f>
        <v>1255</v>
      </c>
      <c r="D7" s="20">
        <f>B7</f>
        <v>1255</v>
      </c>
      <c r="E7" s="20">
        <f>B7</f>
        <v>1255</v>
      </c>
    </row>
    <row r="8" spans="1:5" x14ac:dyDescent="0.25">
      <c r="A8" s="28" t="s">
        <v>32</v>
      </c>
      <c r="B8" s="27">
        <f>SUM(B7:B7)</f>
        <v>1255</v>
      </c>
      <c r="C8" s="27">
        <f>SUM(C7:C7)</f>
        <v>1255</v>
      </c>
      <c r="D8" s="27">
        <f>SUM(D7:D7)</f>
        <v>1255</v>
      </c>
      <c r="E8" s="27">
        <f>SUM(E7:E7)</f>
        <v>1255</v>
      </c>
    </row>
    <row r="9" spans="1:5" x14ac:dyDescent="0.25">
      <c r="A9" s="23" t="s">
        <v>33</v>
      </c>
      <c r="B9" s="27">
        <f>B5/B8</f>
        <v>2.2074636918990711</v>
      </c>
      <c r="C9" s="27">
        <f t="shared" ref="C9:E9" si="3">C5/C8</f>
        <v>2.3139348787250991</v>
      </c>
      <c r="D9" s="27">
        <f t="shared" si="3"/>
        <v>2.4628317120191232</v>
      </c>
      <c r="E9" s="27">
        <f t="shared" si="3"/>
        <v>2.6094174087820878</v>
      </c>
    </row>
    <row r="10" spans="1:5" x14ac:dyDescent="0.25">
      <c r="A10" s="23" t="s">
        <v>34</v>
      </c>
      <c r="B10" s="29">
        <f>B6/B8</f>
        <v>1.5452245843293495</v>
      </c>
      <c r="C10" s="29">
        <f t="shared" ref="C10:E10" si="4">C6/C8</f>
        <v>1.6197544151075693</v>
      </c>
      <c r="D10" s="29">
        <f t="shared" si="4"/>
        <v>1.7239821984133861</v>
      </c>
      <c r="E10" s="29">
        <f t="shared" si="4"/>
        <v>1.8265921861474612</v>
      </c>
    </row>
    <row r="14" spans="1:5" x14ac:dyDescent="0.25">
      <c r="B14" s="24"/>
    </row>
    <row r="15" spans="1:5" x14ac:dyDescent="0.25">
      <c r="B15" s="24"/>
    </row>
    <row r="16" spans="1:5" x14ac:dyDescent="0.25">
      <c r="B16" s="25"/>
    </row>
  </sheetData>
  <mergeCells count="1">
    <mergeCell ref="A1:A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zoomScale="160" zoomScaleNormal="160" workbookViewId="0">
      <selection activeCell="E14" sqref="E14"/>
    </sheetView>
  </sheetViews>
  <sheetFormatPr defaultRowHeight="15" x14ac:dyDescent="0.25"/>
  <cols>
    <col min="1" max="1" width="15" bestFit="1" customWidth="1"/>
    <col min="2" max="2" width="13" bestFit="1" customWidth="1"/>
    <col min="3" max="3" width="10.85546875" bestFit="1" customWidth="1"/>
    <col min="4" max="4" width="22.85546875" bestFit="1" customWidth="1"/>
  </cols>
  <sheetData>
    <row r="3" spans="1:2" x14ac:dyDescent="0.25">
      <c r="A3" s="41" t="s">
        <v>63</v>
      </c>
      <c r="B3" s="41" t="s">
        <v>18</v>
      </c>
    </row>
    <row r="4" spans="1:2" x14ac:dyDescent="0.25">
      <c r="A4" s="44">
        <v>43160</v>
      </c>
      <c r="B4" s="43">
        <v>83390.710000000006</v>
      </c>
    </row>
    <row r="5" spans="1:2" x14ac:dyDescent="0.25">
      <c r="A5" s="44">
        <v>43132</v>
      </c>
      <c r="B5" s="43">
        <v>19300.509999999998</v>
      </c>
    </row>
    <row r="6" spans="1:2" x14ac:dyDescent="0.25">
      <c r="A6" s="44">
        <v>43101</v>
      </c>
      <c r="B6" s="43">
        <v>27239.88</v>
      </c>
    </row>
    <row r="7" spans="1:2" x14ac:dyDescent="0.25">
      <c r="A7" s="44">
        <v>43070</v>
      </c>
      <c r="B7" s="42">
        <v>51801.68</v>
      </c>
    </row>
    <row r="8" spans="1:2" x14ac:dyDescent="0.25">
      <c r="A8" s="44">
        <v>43040</v>
      </c>
      <c r="B8" s="42">
        <v>171007.02</v>
      </c>
    </row>
    <row r="9" spans="1:2" x14ac:dyDescent="0.25">
      <c r="A9" s="44">
        <v>43009</v>
      </c>
      <c r="B9" s="42">
        <v>20962.78</v>
      </c>
    </row>
    <row r="10" spans="1:2" x14ac:dyDescent="0.25">
      <c r="A10" s="44">
        <v>43360</v>
      </c>
      <c r="B10" s="42">
        <v>55962.21</v>
      </c>
    </row>
    <row r="11" spans="1:2" x14ac:dyDescent="0.25">
      <c r="A11" s="44" t="s">
        <v>0</v>
      </c>
      <c r="B11" s="43">
        <f>SUM(B4:B10)</f>
        <v>429664.79</v>
      </c>
    </row>
    <row r="12" spans="1:2" x14ac:dyDescent="0.25">
      <c r="A12" s="41" t="s">
        <v>64</v>
      </c>
      <c r="B12" s="43">
        <f>B11/7</f>
        <v>61380.684285714284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Conduct account</vt:lpstr>
      <vt:lpstr>P &amp; L</vt:lpstr>
      <vt:lpstr>Sensitize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</dc:creator>
  <cp:lastModifiedBy>Ngan Phallen</cp:lastModifiedBy>
  <cp:lastPrinted>2015-09-08T04:03:29Z</cp:lastPrinted>
  <dcterms:created xsi:type="dcterms:W3CDTF">2013-01-24T08:06:21Z</dcterms:created>
  <dcterms:modified xsi:type="dcterms:W3CDTF">2018-06-12T04:06:31Z</dcterms:modified>
</cp:coreProperties>
</file>