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1"/>
  </bookViews>
  <sheets>
    <sheet name="2015" sheetId="1" r:id="rId1"/>
    <sheet name="2016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118" i="4" l="1"/>
  <c r="D118" i="4"/>
  <c r="B118" i="4"/>
  <c r="C117" i="4"/>
  <c r="D117" i="4"/>
  <c r="B117" i="4"/>
  <c r="B116" i="4"/>
  <c r="C116" i="4"/>
  <c r="C115" i="4"/>
  <c r="B115" i="4"/>
  <c r="B114" i="4"/>
  <c r="B113" i="4"/>
  <c r="C113" i="4"/>
  <c r="B112" i="4"/>
  <c r="B111" i="4"/>
  <c r="C111" i="4"/>
  <c r="B110" i="4"/>
  <c r="C110" i="4"/>
  <c r="C109" i="4"/>
  <c r="B109" i="4"/>
  <c r="C108" i="4"/>
  <c r="B108" i="4"/>
  <c r="C107" i="4"/>
  <c r="D107" i="4" s="1"/>
  <c r="D108" i="4" s="1"/>
  <c r="D109" i="4" s="1"/>
  <c r="D110" i="4" s="1"/>
  <c r="D111" i="4" s="1"/>
  <c r="D112" i="4" s="1"/>
  <c r="D113" i="4" s="1"/>
  <c r="D114" i="4" s="1"/>
  <c r="D115" i="4" s="1"/>
  <c r="B107" i="4"/>
  <c r="B106" i="4"/>
  <c r="C106" i="4"/>
  <c r="D106" i="4" s="1"/>
  <c r="D116" i="4" l="1"/>
  <c r="B95" i="4" l="1"/>
  <c r="C94" i="4"/>
  <c r="B90" i="4"/>
  <c r="C90" i="4"/>
  <c r="B88" i="4"/>
  <c r="B89" i="4"/>
  <c r="C89" i="4"/>
  <c r="B87" i="4"/>
  <c r="C87" i="4"/>
  <c r="C86" i="4"/>
  <c r="B86" i="4"/>
  <c r="C85" i="4"/>
  <c r="B85" i="4"/>
  <c r="C73" i="4"/>
  <c r="B73" i="4"/>
  <c r="C72" i="4"/>
  <c r="B72" i="4"/>
  <c r="C71" i="4"/>
  <c r="C74" i="4" s="1"/>
  <c r="C75" i="4" s="1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B49" i="4"/>
  <c r="C49" i="4"/>
  <c r="C48" i="4"/>
  <c r="B48" i="4"/>
  <c r="B47" i="4"/>
  <c r="C47" i="4"/>
  <c r="C46" i="4"/>
  <c r="B46" i="4"/>
  <c r="C45" i="4"/>
  <c r="B45" i="4"/>
  <c r="C34" i="4"/>
  <c r="B34" i="4"/>
  <c r="B33" i="4"/>
  <c r="C33" i="4"/>
  <c r="B32" i="4"/>
  <c r="C32" i="4"/>
  <c r="B31" i="4"/>
  <c r="C31" i="4"/>
  <c r="C30" i="4"/>
  <c r="B30" i="4"/>
  <c r="C18" i="4"/>
  <c r="B18" i="4"/>
  <c r="B17" i="4"/>
  <c r="C17" i="4"/>
  <c r="B16" i="4"/>
  <c r="C16" i="4"/>
  <c r="C15" i="4"/>
  <c r="B15" i="4"/>
  <c r="C14" i="4"/>
  <c r="B14" i="4"/>
  <c r="B13" i="4"/>
  <c r="C13" i="4"/>
  <c r="C12" i="4"/>
  <c r="B12" i="4"/>
  <c r="B11" i="4"/>
  <c r="C11" i="4"/>
  <c r="C10" i="4"/>
  <c r="B10" i="4"/>
  <c r="B9" i="4"/>
  <c r="C9" i="4"/>
  <c r="B8" i="4"/>
  <c r="C8" i="4"/>
  <c r="B7" i="4"/>
  <c r="C7" i="4"/>
  <c r="C19" i="4" s="1"/>
  <c r="C20" i="4" s="1"/>
  <c r="B96" i="4"/>
  <c r="B97" i="4" s="1"/>
  <c r="C64" i="4"/>
  <c r="B64" i="4"/>
  <c r="B63" i="4"/>
  <c r="C62" i="4"/>
  <c r="B62" i="4"/>
  <c r="C50" i="4"/>
  <c r="C51" i="4" s="1"/>
  <c r="C35" i="4"/>
  <c r="C36" i="4" s="1"/>
  <c r="B35" i="4"/>
  <c r="B36" i="4" s="1"/>
  <c r="D62" i="4" l="1"/>
  <c r="D85" i="4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B19" i="4"/>
  <c r="B20" i="4" s="1"/>
  <c r="D63" i="4"/>
  <c r="D64" i="4" s="1"/>
  <c r="D65" i="4" s="1"/>
  <c r="D66" i="4" s="1"/>
  <c r="D67" i="4" s="1"/>
  <c r="D68" i="4" s="1"/>
  <c r="D69" i="4" s="1"/>
  <c r="D70" i="4" s="1"/>
  <c r="D71" i="4" s="1"/>
  <c r="D72" i="4" s="1"/>
  <c r="B74" i="4"/>
  <c r="B75" i="4" s="1"/>
  <c r="B50" i="4"/>
  <c r="B51" i="4" s="1"/>
  <c r="C96" i="4"/>
  <c r="C97" i="4" s="1"/>
  <c r="D7" i="4"/>
  <c r="D45" i="4"/>
  <c r="D30" i="4"/>
  <c r="C92" i="1"/>
  <c r="B92" i="1"/>
  <c r="C91" i="1"/>
  <c r="B91" i="1"/>
  <c r="D73" i="4" l="1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31" i="4"/>
  <c r="D32" i="4" s="1"/>
  <c r="D33" i="4" s="1"/>
  <c r="D34" i="4" s="1"/>
  <c r="D96" i="4"/>
  <c r="D46" i="4"/>
  <c r="D47" i="4" s="1"/>
  <c r="D48" i="4" s="1"/>
  <c r="D49" i="4" s="1"/>
  <c r="D97" i="4"/>
  <c r="B90" i="1"/>
  <c r="C90" i="1"/>
  <c r="C93" i="1"/>
  <c r="C94" i="1" s="1"/>
  <c r="B93" i="1"/>
  <c r="B94" i="1" s="1"/>
  <c r="D74" i="4" l="1"/>
  <c r="D75" i="4" s="1"/>
  <c r="D19" i="4"/>
  <c r="D20" i="4" s="1"/>
  <c r="D35" i="4"/>
  <c r="D36" i="4" s="1"/>
  <c r="D50" i="4"/>
  <c r="D51" i="4"/>
  <c r="D88" i="1"/>
  <c r="C75" i="1"/>
  <c r="B75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B65" i="1"/>
  <c r="C64" i="1"/>
  <c r="B64" i="1"/>
  <c r="C76" i="1"/>
  <c r="C77" i="1" s="1"/>
  <c r="B76" i="1"/>
  <c r="B77" i="1" s="1"/>
  <c r="B51" i="1"/>
  <c r="C50" i="1"/>
  <c r="B50" i="1"/>
  <c r="B49" i="1"/>
  <c r="C48" i="1"/>
  <c r="B48" i="1"/>
  <c r="B47" i="1"/>
  <c r="B46" i="1"/>
  <c r="D46" i="1" s="1"/>
  <c r="C52" i="1"/>
  <c r="C53" i="1" s="1"/>
  <c r="B52" i="1"/>
  <c r="B53" i="1" s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B26" i="1"/>
  <c r="C26" i="1"/>
  <c r="C25" i="1"/>
  <c r="B25" i="1"/>
  <c r="C24" i="1"/>
  <c r="B24" i="1"/>
  <c r="B12" i="1"/>
  <c r="C12" i="1"/>
  <c r="C11" i="1"/>
  <c r="B11" i="1"/>
  <c r="B10" i="1"/>
  <c r="C10" i="1"/>
  <c r="D89" i="1" l="1"/>
  <c r="D90" i="1" s="1"/>
  <c r="D91" i="1" s="1"/>
  <c r="D92" i="1" s="1"/>
  <c r="D64" i="1"/>
  <c r="C36" i="1"/>
  <c r="C37" i="1" s="1"/>
  <c r="B36" i="1"/>
  <c r="B37" i="1" s="1"/>
  <c r="D24" i="1"/>
  <c r="B9" i="1"/>
  <c r="C9" i="1"/>
  <c r="B8" i="1"/>
  <c r="C8" i="1"/>
  <c r="C7" i="1"/>
  <c r="B7" i="1"/>
  <c r="D93" i="1" l="1"/>
  <c r="D94" i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47" i="1"/>
  <c r="D48" i="1" s="1"/>
  <c r="D49" i="1" s="1"/>
  <c r="D50" i="1" s="1"/>
  <c r="D51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7" i="1"/>
  <c r="C13" i="1"/>
  <c r="C14" i="1" s="1"/>
  <c r="B13" i="1"/>
  <c r="B14" i="1" s="1"/>
  <c r="D76" i="1" l="1"/>
  <c r="D77" i="1"/>
  <c r="D8" i="1"/>
  <c r="D9" i="1" s="1"/>
  <c r="D10" i="1" s="1"/>
  <c r="D11" i="1" s="1"/>
  <c r="D12" i="1" s="1"/>
  <c r="D37" i="1"/>
  <c r="D52" i="1"/>
  <c r="D53" i="1"/>
  <c r="D36" i="1"/>
  <c r="D13" i="1" l="1"/>
  <c r="D14" i="1"/>
</calcChain>
</file>

<file path=xl/sharedStrings.xml><?xml version="1.0" encoding="utf-8"?>
<sst xmlns="http://schemas.openxmlformats.org/spreadsheetml/2006/main" count="141" uniqueCount="25">
  <si>
    <t>Month</t>
  </si>
  <si>
    <t>Debit (USD)</t>
  </si>
  <si>
    <t>Credit (USD)</t>
  </si>
  <si>
    <t>Balance (USD)</t>
  </si>
  <si>
    <t>Balance Forward</t>
  </si>
  <si>
    <t>Total</t>
  </si>
  <si>
    <t>Average</t>
  </si>
  <si>
    <t>Customer</t>
  </si>
  <si>
    <t>Mr. Hoeung Kongkea Sambath</t>
  </si>
  <si>
    <t>Account Number</t>
  </si>
  <si>
    <t>Bank</t>
  </si>
  <si>
    <t>ANZ Royal</t>
  </si>
  <si>
    <t>Orient Media &amp; Technology Co., Ltd</t>
  </si>
  <si>
    <t>34180052622512</t>
  </si>
  <si>
    <t>ACLEDA</t>
  </si>
  <si>
    <t>Phillip</t>
  </si>
  <si>
    <t>2014-2015</t>
  </si>
  <si>
    <t>Houeng Kongkea Samabth</t>
  </si>
  <si>
    <t>RHB</t>
  </si>
  <si>
    <t>2015-2016</t>
  </si>
  <si>
    <t>3855-00-526225-1-8</t>
  </si>
  <si>
    <t>02031003</t>
  </si>
  <si>
    <t>1010002000007172</t>
  </si>
  <si>
    <t>Houeng Kongkea Sambath</t>
  </si>
  <si>
    <t>1010010000002220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</si>
</sst>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7" fontId="0" fillId="0" borderId="0" xfId="0" applyNumberFormat="1"/>
    <xf numFmtId="0" fontId="2" fillId="0" borderId="1" xfId="0" applyFont="1" applyBorder="1" applyAlignment="1">
      <alignment horizontal="center"/>
    </xf>
    <xf numFmtId="43" fontId="0" fillId="0" borderId="1" xfId="1" applyFont="1" applyBorder="1"/>
    <xf numFmtId="17" fontId="0" fillId="0" borderId="1" xfId="0" applyNumberFormat="1" applyBorder="1" applyAlignment="1">
      <alignment horizontal="center"/>
    </xf>
    <xf numFmtId="43" fontId="0" fillId="0" borderId="1" xfId="0" applyNumberFormat="1" applyBorder="1"/>
    <xf numFmtId="17" fontId="2" fillId="0" borderId="1" xfId="0" applyNumberFormat="1" applyFont="1" applyBorder="1" applyAlignment="1">
      <alignment horizontal="center"/>
    </xf>
    <xf numFmtId="43" fontId="2" fillId="0" borderId="1" xfId="0" applyNumberFormat="1" applyFont="1" applyBorder="1"/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2" applyNumberFormat="1" applyFont="1" applyBorder="1"/>
    <xf numFmtId="49" fontId="0" fillId="0" borderId="0" xfId="0" applyNumberFormat="1"/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right"/>
    </xf>
    <xf numFmtId="43" fontId="1" fillId="0" borderId="1" xfId="1" applyFont="1" applyBorder="1"/>
    <xf numFmtId="43" fontId="1" fillId="0" borderId="1" xfId="1" applyFont="1" applyBorder="1" applyAlignment="1">
      <alignment horizontal="left"/>
    </xf>
    <xf numFmtId="0" fontId="0" fillId="0" borderId="0" xfId="0" quotePrefix="1"/>
    <xf numFmtId="17" fontId="2" fillId="0" borderId="0" xfId="0" applyNumberFormat="1" applyFont="1" applyBorder="1" applyAlignment="1">
      <alignment horizontal="center"/>
    </xf>
    <xf numFmtId="43" fontId="2" fillId="0" borderId="0" xfId="1" applyFont="1" applyBorder="1"/>
    <xf numFmtId="43" fontId="2" fillId="0" borderId="0" xfId="0" applyNumberFormat="1" applyFont="1" applyBorder="1"/>
    <xf numFmtId="43" fontId="2" fillId="0" borderId="0" xfId="2" applyNumberFormat="1" applyFont="1" applyBorder="1"/>
    <xf numFmtId="17" fontId="0" fillId="0" borderId="1" xfId="0" applyNumberFormat="1" applyFont="1" applyBorder="1" applyAlignment="1">
      <alignment horizontal="center"/>
    </xf>
    <xf numFmtId="43" fontId="0" fillId="0" borderId="1" xfId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61" workbookViewId="0">
      <selection sqref="A1:D29"/>
    </sheetView>
  </sheetViews>
  <sheetFormatPr defaultRowHeight="15" x14ac:dyDescent="0.25"/>
  <cols>
    <col min="1" max="1" width="15.7109375" bestFit="1" customWidth="1"/>
    <col min="2" max="2" width="15.7109375" customWidth="1"/>
    <col min="3" max="3" width="15.42578125" customWidth="1"/>
    <col min="4" max="4" width="16.5703125" customWidth="1"/>
  </cols>
  <sheetData>
    <row r="1" spans="1:4" x14ac:dyDescent="0.25">
      <c r="A1" t="s">
        <v>7</v>
      </c>
      <c r="B1" t="s">
        <v>12</v>
      </c>
    </row>
    <row r="2" spans="1:4" x14ac:dyDescent="0.25">
      <c r="A2" t="s">
        <v>9</v>
      </c>
      <c r="B2">
        <v>3134442</v>
      </c>
    </row>
    <row r="3" spans="1:4" x14ac:dyDescent="0.25">
      <c r="A3" t="s">
        <v>10</v>
      </c>
      <c r="B3" t="s">
        <v>11</v>
      </c>
    </row>
    <row r="4" spans="1:4" x14ac:dyDescent="0.25">
      <c r="A4" s="26">
        <v>2015</v>
      </c>
      <c r="B4" s="26"/>
      <c r="C4" s="26"/>
      <c r="D4" s="26"/>
    </row>
    <row r="5" spans="1:4" x14ac:dyDescent="0.25">
      <c r="A5" s="2" t="s">
        <v>0</v>
      </c>
      <c r="B5" s="9" t="s">
        <v>1</v>
      </c>
      <c r="C5" s="9" t="s">
        <v>2</v>
      </c>
      <c r="D5" s="9" t="s">
        <v>3</v>
      </c>
    </row>
    <row r="6" spans="1:4" x14ac:dyDescent="0.25">
      <c r="A6" s="25" t="s">
        <v>4</v>
      </c>
      <c r="B6" s="25"/>
      <c r="C6" s="25"/>
      <c r="D6" s="3">
        <v>119523.43</v>
      </c>
    </row>
    <row r="7" spans="1:4" x14ac:dyDescent="0.25">
      <c r="A7" s="4">
        <v>42005</v>
      </c>
      <c r="B7" s="3">
        <f>60+124.12+1718.83+3045.03+1000+1500+37800+660+2700+5000+8142.34+6613+3049.22+403.88+3172.15+759.54+341.7+500+1</f>
        <v>76590.809999999983</v>
      </c>
      <c r="C7" s="3">
        <f>50605.16+57400+92.44</f>
        <v>108097.60000000001</v>
      </c>
      <c r="D7" s="5">
        <f>D6-B7+C7</f>
        <v>151030.22000000003</v>
      </c>
    </row>
    <row r="8" spans="1:4" x14ac:dyDescent="0.25">
      <c r="A8" s="4">
        <v>42036</v>
      </c>
      <c r="B8" s="3">
        <f>8200+11.99+49000+15+34881+735+1020+1500+8387+327.29+2913.59+4000+660+1053.22+250+30075+30+2700+3910+940.89+1909+960+283.9+1</f>
        <v>153763.87999999998</v>
      </c>
      <c r="C8" s="3">
        <f>49167.88+45.41</f>
        <v>49213.29</v>
      </c>
      <c r="D8" s="5">
        <f t="shared" ref="D8:D12" si="0">D7-B8+C8</f>
        <v>46479.630000000056</v>
      </c>
    </row>
    <row r="9" spans="1:4" x14ac:dyDescent="0.25">
      <c r="A9" s="4">
        <v>42064</v>
      </c>
      <c r="B9" s="3">
        <f>1500+36643+1020+704+500+500+3500+12000+261.26+2700+10+8129.77+2178.45+115.27+1</f>
        <v>69762.75</v>
      </c>
      <c r="C9" s="3">
        <f>48563.73+572.59+38.48+20949.26</f>
        <v>70124.06</v>
      </c>
      <c r="D9" s="5">
        <f t="shared" si="0"/>
        <v>46840.940000000053</v>
      </c>
    </row>
    <row r="10" spans="1:4" x14ac:dyDescent="0.25">
      <c r="A10" s="4">
        <v>42095</v>
      </c>
      <c r="B10" s="3">
        <f>33455+1500+1000+704+6514.68+500+490+1905.12+500+3500+2517.88+2015.19+110+2700+231.2+279.65+227.57+1570</f>
        <v>59720.29</v>
      </c>
      <c r="C10" s="3">
        <f>42.79+1738+49961.62+7701.5+659.01</f>
        <v>60102.920000000006</v>
      </c>
      <c r="D10" s="5">
        <f t="shared" si="0"/>
        <v>47223.570000000058</v>
      </c>
    </row>
    <row r="11" spans="1:4" x14ac:dyDescent="0.25">
      <c r="A11" s="4">
        <v>42125</v>
      </c>
      <c r="B11" s="3">
        <f>409.37+505.43+1020+1500+6575.41+31100+704+2700+1559.38+1640+500</f>
        <v>48213.59</v>
      </c>
      <c r="C11" s="3">
        <f>25.97+500+500+672.73</f>
        <v>1698.7</v>
      </c>
      <c r="D11" s="5">
        <f t="shared" si="0"/>
        <v>708.68000000006145</v>
      </c>
    </row>
    <row r="12" spans="1:4" x14ac:dyDescent="0.25">
      <c r="A12" s="4">
        <v>42156</v>
      </c>
      <c r="B12" s="3">
        <f>34540+1020+3500+1500+5881.35+2700+704+3500+1897.1+1646.76+238.5+110+224.51+233.75+218.75+1545.51+201.76+500</f>
        <v>60161.990000000005</v>
      </c>
      <c r="C12" s="3">
        <f>7325.91+330+266.13+43945.18+1606.45+6103.69+330+23.12</f>
        <v>59930.48</v>
      </c>
      <c r="D12" s="5">
        <f t="shared" si="0"/>
        <v>477.17000000005646</v>
      </c>
    </row>
    <row r="13" spans="1:4" x14ac:dyDescent="0.25">
      <c r="A13" s="6" t="s">
        <v>5</v>
      </c>
      <c r="B13" s="7">
        <f>SUM(B7:B12)</f>
        <v>468213.30999999994</v>
      </c>
      <c r="C13" s="7">
        <f>SUM(C7:C12)</f>
        <v>349167.05</v>
      </c>
      <c r="D13" s="7">
        <f>SUM(D7:D12)</f>
        <v>292760.21000000031</v>
      </c>
    </row>
    <row r="14" spans="1:4" x14ac:dyDescent="0.25">
      <c r="A14" s="6" t="s">
        <v>6</v>
      </c>
      <c r="B14" s="8">
        <f>AVERAGE(B13/12)</f>
        <v>39017.775833333326</v>
      </c>
      <c r="C14" s="7">
        <f>AVERAGE(C13/12)</f>
        <v>29097.254166666666</v>
      </c>
      <c r="D14" s="12">
        <f>AVERAGE(D6:D12)</f>
        <v>58897.662857142903</v>
      </c>
    </row>
    <row r="15" spans="1:4" x14ac:dyDescent="0.25">
      <c r="A15" s="1"/>
    </row>
    <row r="16" spans="1:4" x14ac:dyDescent="0.25">
      <c r="A16" s="1"/>
    </row>
    <row r="17" spans="1:4" x14ac:dyDescent="0.25">
      <c r="A17" s="1"/>
    </row>
    <row r="18" spans="1:4" x14ac:dyDescent="0.25">
      <c r="A18" t="s">
        <v>7</v>
      </c>
      <c r="B18" t="s">
        <v>8</v>
      </c>
    </row>
    <row r="19" spans="1:4" x14ac:dyDescent="0.25">
      <c r="A19" t="s">
        <v>9</v>
      </c>
      <c r="B19">
        <v>1002031</v>
      </c>
    </row>
    <row r="20" spans="1:4" x14ac:dyDescent="0.25">
      <c r="A20" t="s">
        <v>10</v>
      </c>
      <c r="B20" t="s">
        <v>11</v>
      </c>
    </row>
    <row r="21" spans="1:4" x14ac:dyDescent="0.25">
      <c r="A21" s="26">
        <v>2014</v>
      </c>
      <c r="B21" s="26"/>
      <c r="C21" s="26"/>
      <c r="D21" s="26"/>
    </row>
    <row r="22" spans="1:4" x14ac:dyDescent="0.25">
      <c r="A22" s="10" t="s">
        <v>0</v>
      </c>
      <c r="B22" s="10" t="s">
        <v>1</v>
      </c>
      <c r="C22" s="10" t="s">
        <v>2</v>
      </c>
      <c r="D22" s="10" t="s">
        <v>3</v>
      </c>
    </row>
    <row r="23" spans="1:4" x14ac:dyDescent="0.25">
      <c r="A23" s="25" t="s">
        <v>4</v>
      </c>
      <c r="B23" s="25"/>
      <c r="C23" s="25"/>
      <c r="D23" s="3">
        <v>3157.94</v>
      </c>
    </row>
    <row r="24" spans="1:4" x14ac:dyDescent="0.25">
      <c r="A24" s="4">
        <v>41640</v>
      </c>
      <c r="B24" s="3">
        <f>900+650+59200+500+400+9000+150000+315+25+50+50+200+336+100+1164+1530+6000+10000+7000+10+8000</f>
        <v>255430</v>
      </c>
      <c r="C24" s="3">
        <f>59200+2000+150315+11109.16+17900+12700</f>
        <v>253224.16</v>
      </c>
      <c r="D24" s="5">
        <f>D23-B24+C24</f>
        <v>952.10000000000582</v>
      </c>
    </row>
    <row r="25" spans="1:4" x14ac:dyDescent="0.25">
      <c r="A25" s="4">
        <v>41671</v>
      </c>
      <c r="B25" s="3">
        <f>50000+115+50000+115+166+64000+466.5+300+765+3500+1</f>
        <v>169428.5</v>
      </c>
      <c r="C25" s="3">
        <f>50115+50115+64000+2240.64+4000</f>
        <v>170470.64</v>
      </c>
      <c r="D25" s="5">
        <f t="shared" ref="D25:D35" si="1">D24-B25+C25</f>
        <v>1994.2400000000198</v>
      </c>
    </row>
    <row r="26" spans="1:4" x14ac:dyDescent="0.25">
      <c r="A26" s="4">
        <v>41699</v>
      </c>
      <c r="B26" s="3">
        <f>300+490+1088+57800+200+34.55+1500+10000+470+301+1</f>
        <v>72184.55</v>
      </c>
      <c r="C26" s="3">
        <f>1303.07+57800+6000+1500+3635.4</f>
        <v>70238.47</v>
      </c>
      <c r="D26" s="5">
        <f t="shared" si="1"/>
        <v>48.160000000018044</v>
      </c>
    </row>
    <row r="27" spans="1:4" x14ac:dyDescent="0.25">
      <c r="A27" s="4">
        <v>41730</v>
      </c>
      <c r="B27" s="3">
        <f>40095+662+62200+350+154+600+60+1000+8000+100+500+1</f>
        <v>113722</v>
      </c>
      <c r="C27" s="3">
        <f>40095+852.22+62200+1500+6500+3402.74</f>
        <v>114549.96</v>
      </c>
      <c r="D27" s="5">
        <f t="shared" si="1"/>
        <v>876.12000000002445</v>
      </c>
    </row>
    <row r="28" spans="1:4" x14ac:dyDescent="0.25">
      <c r="A28" s="4">
        <v>41760</v>
      </c>
      <c r="B28" s="3">
        <f>100+200+62000+500+19000+3500+100+110235+500+250515</f>
        <v>446650</v>
      </c>
      <c r="C28" s="3">
        <f>62000+1500+64500+21641.65+45236+250515+400</f>
        <v>445792.65</v>
      </c>
      <c r="D28" s="5">
        <f t="shared" si="1"/>
        <v>18.770000000018626</v>
      </c>
    </row>
    <row r="29" spans="1:4" x14ac:dyDescent="0.25">
      <c r="A29" s="4">
        <v>41791</v>
      </c>
      <c r="B29" s="3">
        <f>66700+2+2000+27.7+420+600+5600+300+2000+500+1</f>
        <v>78150.7</v>
      </c>
      <c r="C29" s="3">
        <f>66700+12035.02</f>
        <v>78735.02</v>
      </c>
      <c r="D29" s="5">
        <f t="shared" si="1"/>
        <v>603.09000000002561</v>
      </c>
    </row>
    <row r="30" spans="1:4" x14ac:dyDescent="0.25">
      <c r="A30" s="4">
        <v>41821</v>
      </c>
      <c r="B30" s="3">
        <f>100+63000+2000+765+1650+285.81+3120.85+35+2013.18+730+5100+150+300+1000+6200+530+200+500+765+1086.8+550+10000+800+500</f>
        <v>101381.64</v>
      </c>
      <c r="C30" s="3">
        <f>65800+1000+3050+5770.6+3295.29+25000</f>
        <v>103915.89</v>
      </c>
      <c r="D30" s="5">
        <f t="shared" si="1"/>
        <v>3137.3400000000256</v>
      </c>
    </row>
    <row r="31" spans="1:4" x14ac:dyDescent="0.25">
      <c r="A31" s="4">
        <v>41852</v>
      </c>
      <c r="B31" s="3">
        <f>536.1+199.39+59000+306.5+550+230+100+490+1136.8+200+130.5+100+45+500+1500+1150+600+300+304+50+1530+750+300+200+2000+3500+50+40000+95+235+1</f>
        <v>116089.29000000001</v>
      </c>
      <c r="C31" s="3">
        <f>59000+1500+3300+11117.51+40095</f>
        <v>115012.51</v>
      </c>
      <c r="D31" s="5">
        <f t="shared" si="1"/>
        <v>2060.5600000000122</v>
      </c>
    </row>
    <row r="32" spans="1:4" x14ac:dyDescent="0.25">
      <c r="A32" s="4">
        <v>41883</v>
      </c>
      <c r="B32" s="3">
        <f>100+1500+515+200+61000+151.5+788+22+2748+10+705+2000+100000+215+675+490.47+500+885+1250+1000+500+1</f>
        <v>175255.97</v>
      </c>
      <c r="C32" s="3">
        <f>1000+1500+61000+150+10004.53+100215</f>
        <v>173869.53</v>
      </c>
      <c r="D32" s="5">
        <f t="shared" si="1"/>
        <v>674.12000000002445</v>
      </c>
    </row>
    <row r="33" spans="1:4" x14ac:dyDescent="0.25">
      <c r="A33" s="4">
        <v>41913</v>
      </c>
      <c r="B33" s="3">
        <f>50000+3000+310.72+7000+10000+35+380+48+600+200+590.4+1500+1</f>
        <v>73665.119999999995</v>
      </c>
      <c r="C33" s="3">
        <f>2000+1585+1500+48000+10000+10614.48</f>
        <v>73699.48</v>
      </c>
      <c r="D33" s="5">
        <f t="shared" si="1"/>
        <v>708.48000000002503</v>
      </c>
    </row>
    <row r="34" spans="1:4" x14ac:dyDescent="0.25">
      <c r="A34" s="4">
        <v>41944</v>
      </c>
      <c r="B34" s="3">
        <f>41000+1000+100+1500+228+300+48000+40000+95+500+200+3</f>
        <v>132926</v>
      </c>
      <c r="C34" s="3">
        <f>41000+1000+1500+49977.63+39300</f>
        <v>132777.63</v>
      </c>
      <c r="D34" s="5">
        <f t="shared" si="1"/>
        <v>560.11000000004424</v>
      </c>
    </row>
    <row r="35" spans="1:4" x14ac:dyDescent="0.25">
      <c r="A35" s="4">
        <v>41974</v>
      </c>
      <c r="B35" s="3">
        <f>2+40+48500+1</f>
        <v>48543</v>
      </c>
      <c r="C35" s="3">
        <f>48500</f>
        <v>48500</v>
      </c>
      <c r="D35" s="5">
        <f t="shared" si="1"/>
        <v>517.11000000004424</v>
      </c>
    </row>
    <row r="36" spans="1:4" x14ac:dyDescent="0.25">
      <c r="A36" s="6" t="s">
        <v>5</v>
      </c>
      <c r="B36" s="7">
        <f>SUM(B24:B29)</f>
        <v>1135565.75</v>
      </c>
      <c r="C36" s="7">
        <f>SUM(C24:C29)</f>
        <v>1133010.8999999999</v>
      </c>
      <c r="D36" s="7">
        <f>SUM(D24:D29)</f>
        <v>4492.4800000001123</v>
      </c>
    </row>
    <row r="37" spans="1:4" x14ac:dyDescent="0.25">
      <c r="A37" s="6" t="s">
        <v>6</v>
      </c>
      <c r="B37" s="8">
        <f>AVERAGE(B36/12)</f>
        <v>94630.479166666672</v>
      </c>
      <c r="C37" s="7">
        <f>AVERAGE(C36/12)</f>
        <v>94417.574999999997</v>
      </c>
      <c r="D37" s="12">
        <f>AVERAGE(D23:D35)</f>
        <v>1177.549230769253</v>
      </c>
    </row>
    <row r="40" spans="1:4" x14ac:dyDescent="0.25">
      <c r="A40" t="s">
        <v>7</v>
      </c>
      <c r="B40" t="s">
        <v>8</v>
      </c>
    </row>
    <row r="41" spans="1:4" x14ac:dyDescent="0.25">
      <c r="A41" t="s">
        <v>9</v>
      </c>
      <c r="B41" s="13" t="s">
        <v>13</v>
      </c>
    </row>
    <row r="42" spans="1:4" x14ac:dyDescent="0.25">
      <c r="A42" t="s">
        <v>10</v>
      </c>
      <c r="B42" t="s">
        <v>14</v>
      </c>
    </row>
    <row r="43" spans="1:4" x14ac:dyDescent="0.25">
      <c r="A43" s="26">
        <v>2015</v>
      </c>
      <c r="B43" s="26"/>
      <c r="C43" s="26"/>
      <c r="D43" s="26"/>
    </row>
    <row r="44" spans="1:4" x14ac:dyDescent="0.25">
      <c r="A44" s="10" t="s">
        <v>0</v>
      </c>
      <c r="B44" s="10" t="s">
        <v>1</v>
      </c>
      <c r="C44" s="10" t="s">
        <v>2</v>
      </c>
      <c r="D44" s="10" t="s">
        <v>3</v>
      </c>
    </row>
    <row r="45" spans="1:4" x14ac:dyDescent="0.25">
      <c r="A45" s="25" t="s">
        <v>4</v>
      </c>
      <c r="B45" s="25"/>
      <c r="C45" s="25"/>
      <c r="D45" s="3">
        <v>0</v>
      </c>
    </row>
    <row r="46" spans="1:4" x14ac:dyDescent="0.25">
      <c r="A46" s="4">
        <v>42036</v>
      </c>
      <c r="B46" s="3">
        <f>3.68+350+34646</f>
        <v>34999.68</v>
      </c>
      <c r="C46" s="3">
        <v>35000</v>
      </c>
      <c r="D46" s="5">
        <f>D45-B46+C46</f>
        <v>0.31999999999970896</v>
      </c>
    </row>
    <row r="47" spans="1:4" x14ac:dyDescent="0.25">
      <c r="A47" s="4">
        <v>42064</v>
      </c>
      <c r="B47" s="3">
        <f>487.67+2916.67</f>
        <v>3404.34</v>
      </c>
      <c r="C47" s="3">
        <v>3405</v>
      </c>
      <c r="D47" s="5">
        <f>D46-B47+C47</f>
        <v>0.97999999999956344</v>
      </c>
    </row>
    <row r="48" spans="1:4" x14ac:dyDescent="0.25">
      <c r="A48" s="4">
        <v>42095</v>
      </c>
      <c r="B48" s="3">
        <f>376.44+2916.67</f>
        <v>3293.11</v>
      </c>
      <c r="C48" s="3">
        <f>3294+0.18</f>
        <v>3294.18</v>
      </c>
      <c r="D48" s="5">
        <f t="shared" ref="D48:D51" si="2">D47-B48+C48</f>
        <v>2.0499999999992724</v>
      </c>
    </row>
    <row r="49" spans="1:4" x14ac:dyDescent="0.25">
      <c r="A49" s="4">
        <v>42125</v>
      </c>
      <c r="B49" s="3">
        <f>331.53+2916.67</f>
        <v>3248.2</v>
      </c>
      <c r="C49" s="3">
        <v>3248.2</v>
      </c>
      <c r="D49" s="5">
        <f t="shared" si="2"/>
        <v>2.0499999999992724</v>
      </c>
    </row>
    <row r="50" spans="1:4" x14ac:dyDescent="0.25">
      <c r="A50" s="4">
        <v>42156</v>
      </c>
      <c r="B50" s="3">
        <f>279.12+2916.67</f>
        <v>3195.79</v>
      </c>
      <c r="C50" s="3">
        <f>3196+0.04</f>
        <v>3196.04</v>
      </c>
      <c r="D50" s="5">
        <f t="shared" si="2"/>
        <v>2.2999999999992724</v>
      </c>
    </row>
    <row r="51" spans="1:4" x14ac:dyDescent="0.25">
      <c r="A51" s="4">
        <v>42186</v>
      </c>
      <c r="B51" s="3">
        <f>256.67+2916.67</f>
        <v>3173.34</v>
      </c>
      <c r="C51" s="3">
        <v>3174</v>
      </c>
      <c r="D51" s="5">
        <f t="shared" si="2"/>
        <v>2.9599999999991269</v>
      </c>
    </row>
    <row r="52" spans="1:4" x14ac:dyDescent="0.25">
      <c r="A52" s="6" t="s">
        <v>5</v>
      </c>
      <c r="B52" s="7">
        <f>SUM(B46:B51)</f>
        <v>51314.460000000006</v>
      </c>
      <c r="C52" s="7">
        <f>SUM(C46:C51)</f>
        <v>51317.42</v>
      </c>
      <c r="D52" s="7">
        <f>SUM(D46:D51)</f>
        <v>10.659999999996217</v>
      </c>
    </row>
    <row r="53" spans="1:4" x14ac:dyDescent="0.25">
      <c r="A53" s="6" t="s">
        <v>6</v>
      </c>
      <c r="B53" s="8">
        <f>AVERAGE(B52/12)</f>
        <v>4276.2050000000008</v>
      </c>
      <c r="C53" s="7">
        <f>AVERAGE(C52/12)</f>
        <v>4276.4516666666668</v>
      </c>
      <c r="D53" s="12">
        <f>AVERAGE(D45:D51)</f>
        <v>1.5228571428566025</v>
      </c>
    </row>
    <row r="58" spans="1:4" x14ac:dyDescent="0.25">
      <c r="A58" t="s">
        <v>7</v>
      </c>
      <c r="B58" t="s">
        <v>8</v>
      </c>
    </row>
    <row r="59" spans="1:4" x14ac:dyDescent="0.25">
      <c r="A59" t="s">
        <v>9</v>
      </c>
    </row>
    <row r="60" spans="1:4" x14ac:dyDescent="0.25">
      <c r="A60" t="s">
        <v>10</v>
      </c>
      <c r="B60" t="s">
        <v>15</v>
      </c>
    </row>
    <row r="61" spans="1:4" x14ac:dyDescent="0.25">
      <c r="A61" s="26" t="s">
        <v>16</v>
      </c>
      <c r="B61" s="26"/>
      <c r="C61" s="26"/>
      <c r="D61" s="26"/>
    </row>
    <row r="62" spans="1:4" x14ac:dyDescent="0.25">
      <c r="A62" s="10" t="s">
        <v>0</v>
      </c>
      <c r="B62" s="10" t="s">
        <v>1</v>
      </c>
      <c r="C62" s="10" t="s">
        <v>2</v>
      </c>
      <c r="D62" s="10" t="s">
        <v>3</v>
      </c>
    </row>
    <row r="63" spans="1:4" x14ac:dyDescent="0.25">
      <c r="A63" s="25" t="s">
        <v>4</v>
      </c>
      <c r="B63" s="25"/>
      <c r="C63" s="25"/>
      <c r="D63" s="3">
        <v>796.05</v>
      </c>
    </row>
    <row r="64" spans="1:4" x14ac:dyDescent="0.25">
      <c r="A64" s="4">
        <v>41821</v>
      </c>
      <c r="B64" s="3">
        <f>719.61+740+340+30000+56.19</f>
        <v>31855.8</v>
      </c>
      <c r="C64" s="3">
        <f>1000+340+34000</f>
        <v>35340</v>
      </c>
      <c r="D64" s="5">
        <f>D63-B64+C64</f>
        <v>4280.25</v>
      </c>
    </row>
    <row r="65" spans="1:4" x14ac:dyDescent="0.25">
      <c r="A65" s="4">
        <v>41852</v>
      </c>
      <c r="B65" s="3">
        <f>719.61+5000</f>
        <v>5719.61</v>
      </c>
      <c r="C65" s="3">
        <v>3500</v>
      </c>
      <c r="D65" s="5">
        <f t="shared" ref="D65:D75" si="3">D64-B65+C65</f>
        <v>2060.6400000000003</v>
      </c>
    </row>
    <row r="66" spans="1:4" x14ac:dyDescent="0.25">
      <c r="A66" s="4">
        <v>41883</v>
      </c>
      <c r="B66" s="3">
        <f>719.61+697.56+0.35</f>
        <v>1417.52</v>
      </c>
      <c r="C66" s="3">
        <f>1500+8.8</f>
        <v>1508.8</v>
      </c>
      <c r="D66" s="5">
        <f t="shared" si="3"/>
        <v>2151.92</v>
      </c>
    </row>
    <row r="67" spans="1:4" x14ac:dyDescent="0.25">
      <c r="A67" s="4">
        <v>41913</v>
      </c>
      <c r="B67" s="3">
        <f>697.56+719.61+0.06</f>
        <v>1417.23</v>
      </c>
      <c r="C67" s="3">
        <f>1500+1.62</f>
        <v>1501.62</v>
      </c>
      <c r="D67" s="5">
        <f t="shared" si="3"/>
        <v>2236.31</v>
      </c>
    </row>
    <row r="68" spans="1:4" x14ac:dyDescent="0.25">
      <c r="A68" s="4">
        <v>41944</v>
      </c>
      <c r="B68" s="3">
        <f>719.61+697.56+0.03</f>
        <v>1417.2</v>
      </c>
      <c r="C68" s="3">
        <f>1000+0.75</f>
        <v>1000.75</v>
      </c>
      <c r="D68" s="5">
        <f t="shared" si="3"/>
        <v>1819.86</v>
      </c>
    </row>
    <row r="69" spans="1:4" x14ac:dyDescent="0.25">
      <c r="A69" s="4">
        <v>41974</v>
      </c>
      <c r="B69" s="3">
        <f>697.56+719.61+0.03</f>
        <v>1417.2</v>
      </c>
      <c r="C69" s="3">
        <f>1500+0.71</f>
        <v>1500.71</v>
      </c>
      <c r="D69" s="5">
        <f t="shared" si="3"/>
        <v>1903.37</v>
      </c>
    </row>
    <row r="70" spans="1:4" x14ac:dyDescent="0.25">
      <c r="A70" s="4">
        <v>42005</v>
      </c>
      <c r="B70" s="3">
        <f>697.56+719.61+0.03</f>
        <v>1417.2</v>
      </c>
      <c r="C70" s="3">
        <f>1500+0.86</f>
        <v>1500.86</v>
      </c>
      <c r="D70" s="5">
        <f t="shared" si="3"/>
        <v>1987.0299999999997</v>
      </c>
    </row>
    <row r="71" spans="1:4" x14ac:dyDescent="0.25">
      <c r="A71" s="4">
        <v>42036</v>
      </c>
      <c r="B71" s="3">
        <f>719.61+697.56+500+0.04</f>
        <v>1917.21</v>
      </c>
      <c r="C71" s="3">
        <f>1500+0.96</f>
        <v>1500.96</v>
      </c>
      <c r="D71" s="5">
        <f t="shared" si="3"/>
        <v>1570.7799999999997</v>
      </c>
    </row>
    <row r="72" spans="1:4" x14ac:dyDescent="0.25">
      <c r="A72" s="4">
        <v>42064</v>
      </c>
      <c r="B72" s="3">
        <f>719.61+697.56+120.07+870+87000+74.38+110.5+0.16</f>
        <v>89592.280000000013</v>
      </c>
      <c r="C72" s="3">
        <f>150+870+87000+3000+3.9</f>
        <v>91023.9</v>
      </c>
      <c r="D72" s="5">
        <f t="shared" si="3"/>
        <v>3002.3999999999796</v>
      </c>
    </row>
    <row r="73" spans="1:4" x14ac:dyDescent="0.25">
      <c r="A73" s="4">
        <v>42095</v>
      </c>
      <c r="B73" s="3">
        <f>697.56+719.61+128.87+0.18</f>
        <v>1546.22</v>
      </c>
      <c r="C73" s="3">
        <f>4000+1550+4.55</f>
        <v>5554.55</v>
      </c>
      <c r="D73" s="5">
        <f t="shared" si="3"/>
        <v>7010.7299999999796</v>
      </c>
    </row>
    <row r="74" spans="1:4" x14ac:dyDescent="0.25">
      <c r="A74" s="4">
        <v>42125</v>
      </c>
      <c r="B74" s="3">
        <f>718.08+697.56+577.23+719.61+0.15</f>
        <v>2712.63</v>
      </c>
      <c r="C74" s="3">
        <v>3.72</v>
      </c>
      <c r="D74" s="5">
        <f t="shared" si="3"/>
        <v>4301.8199999999797</v>
      </c>
    </row>
    <row r="75" spans="1:4" x14ac:dyDescent="0.25">
      <c r="A75" s="4">
        <v>42156</v>
      </c>
      <c r="B75" s="3">
        <f>577.23+718.08+719.61+697.56+300+200+500+0.14</f>
        <v>3712.62</v>
      </c>
      <c r="C75" s="3">
        <f>1900+2000+3.55</f>
        <v>3903.55</v>
      </c>
      <c r="D75" s="5">
        <f t="shared" si="3"/>
        <v>4492.74999999998</v>
      </c>
    </row>
    <row r="76" spans="1:4" x14ac:dyDescent="0.25">
      <c r="A76" s="6" t="s">
        <v>5</v>
      </c>
      <c r="B76" s="7">
        <f>SUM(B64:B69)</f>
        <v>43244.55999999999</v>
      </c>
      <c r="C76" s="7">
        <f>SUM(C64:C69)</f>
        <v>44351.880000000005</v>
      </c>
      <c r="D76" s="7">
        <f>SUM(D64:D69)</f>
        <v>14452.350000000002</v>
      </c>
    </row>
    <row r="77" spans="1:4" x14ac:dyDescent="0.25">
      <c r="A77" s="6" t="s">
        <v>6</v>
      </c>
      <c r="B77" s="8">
        <f>AVERAGE(B76/12)</f>
        <v>3603.7133333333327</v>
      </c>
      <c r="C77" s="7">
        <f>AVERAGE(C76/12)</f>
        <v>3695.9900000000002</v>
      </c>
      <c r="D77" s="12">
        <f>AVERAGE(D63:D75)</f>
        <v>2893.3776923076857</v>
      </c>
    </row>
    <row r="82" spans="1:4" x14ac:dyDescent="0.25">
      <c r="A82" t="s">
        <v>7</v>
      </c>
      <c r="B82" t="s">
        <v>17</v>
      </c>
    </row>
    <row r="83" spans="1:4" x14ac:dyDescent="0.25">
      <c r="A83" t="s">
        <v>9</v>
      </c>
    </row>
    <row r="84" spans="1:4" x14ac:dyDescent="0.25">
      <c r="A84" t="s">
        <v>10</v>
      </c>
      <c r="B84" t="s">
        <v>18</v>
      </c>
    </row>
    <row r="85" spans="1:4" x14ac:dyDescent="0.25">
      <c r="A85" s="26">
        <v>2015</v>
      </c>
      <c r="B85" s="26"/>
      <c r="C85" s="26"/>
      <c r="D85" s="26"/>
    </row>
    <row r="86" spans="1:4" x14ac:dyDescent="0.25">
      <c r="A86" s="11" t="s">
        <v>0</v>
      </c>
      <c r="B86" s="11" t="s">
        <v>1</v>
      </c>
      <c r="C86" s="11" t="s">
        <v>2</v>
      </c>
      <c r="D86" s="11" t="s">
        <v>3</v>
      </c>
    </row>
    <row r="87" spans="1:4" x14ac:dyDescent="0.25">
      <c r="A87" s="25" t="s">
        <v>4</v>
      </c>
      <c r="B87" s="25"/>
      <c r="C87" s="25"/>
      <c r="D87" s="3">
        <v>0</v>
      </c>
    </row>
    <row r="88" spans="1:4" x14ac:dyDescent="0.25">
      <c r="A88" s="4">
        <v>42005</v>
      </c>
      <c r="B88" s="3">
        <v>5010</v>
      </c>
      <c r="C88" s="3">
        <v>5100</v>
      </c>
      <c r="D88" s="5">
        <f>D87-B88+C88</f>
        <v>90</v>
      </c>
    </row>
    <row r="89" spans="1:4" x14ac:dyDescent="0.25">
      <c r="A89" s="4">
        <v>42036</v>
      </c>
      <c r="B89" s="3">
        <v>30000</v>
      </c>
      <c r="C89" s="3">
        <v>30000</v>
      </c>
      <c r="D89" s="5">
        <f t="shared" ref="D89:D92" si="4">D88-B89+C89</f>
        <v>90</v>
      </c>
    </row>
    <row r="90" spans="1:4" x14ac:dyDescent="0.25">
      <c r="A90" s="4">
        <v>42064</v>
      </c>
      <c r="B90" s="3">
        <f>20000+1500+644+1500+15000+13440+170+1000+140+10000</f>
        <v>63394</v>
      </c>
      <c r="C90" s="3">
        <f>21500+8000+3500+5600+15000+10000+50000+4200</f>
        <v>117800</v>
      </c>
      <c r="D90" s="5">
        <f t="shared" si="4"/>
        <v>54496</v>
      </c>
    </row>
    <row r="91" spans="1:4" x14ac:dyDescent="0.25">
      <c r="A91" s="4">
        <v>42095</v>
      </c>
      <c r="B91" s="3">
        <f>500+485+40000+10000+120+3294+490+1000+1000+3600+50+50</f>
        <v>60589</v>
      </c>
      <c r="C91" s="3">
        <f>6500+3500+500+1905.12+490+5000</f>
        <v>17895.12</v>
      </c>
      <c r="D91" s="5">
        <f t="shared" si="4"/>
        <v>11802.119999999999</v>
      </c>
    </row>
    <row r="92" spans="1:4" x14ac:dyDescent="0.25">
      <c r="A92" s="4">
        <v>42125</v>
      </c>
      <c r="B92" s="3">
        <f>1000+7505+7505+3248.2+4000+1500+1500+7505+7505+1000+3</f>
        <v>42271.199999999997</v>
      </c>
      <c r="C92" s="3">
        <f>12500+3050+2000+13000</f>
        <v>30550</v>
      </c>
      <c r="D92" s="5">
        <f t="shared" si="4"/>
        <v>80.920000000001892</v>
      </c>
    </row>
    <row r="93" spans="1:4" x14ac:dyDescent="0.25">
      <c r="A93" s="6" t="s">
        <v>5</v>
      </c>
      <c r="B93" s="7">
        <f>SUM(B88:B92)</f>
        <v>201264.2</v>
      </c>
      <c r="C93" s="7">
        <f>SUM(C88:C92)</f>
        <v>201345.12</v>
      </c>
      <c r="D93" s="7">
        <f>SUM(D88:D92)</f>
        <v>66559.039999999994</v>
      </c>
    </row>
    <row r="94" spans="1:4" x14ac:dyDescent="0.25">
      <c r="A94" s="6" t="s">
        <v>6</v>
      </c>
      <c r="B94" s="8">
        <f>AVERAGE(B93/12)</f>
        <v>16772.016666666666</v>
      </c>
      <c r="C94" s="7">
        <f>AVERAGE(C93/12)</f>
        <v>16778.759999999998</v>
      </c>
      <c r="D94" s="12">
        <f>AVERAGE(D87:D92)</f>
        <v>11093.173333333332</v>
      </c>
    </row>
  </sheetData>
  <mergeCells count="10">
    <mergeCell ref="A85:D85"/>
    <mergeCell ref="A87:C87"/>
    <mergeCell ref="A45:C45"/>
    <mergeCell ref="A61:D61"/>
    <mergeCell ref="A63:C63"/>
    <mergeCell ref="A6:C6"/>
    <mergeCell ref="A4:D4"/>
    <mergeCell ref="A21:D21"/>
    <mergeCell ref="A23:C23"/>
    <mergeCell ref="A43:D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topLeftCell="A34" workbookViewId="0">
      <selection activeCell="A43" sqref="A43"/>
    </sheetView>
  </sheetViews>
  <sheetFormatPr defaultRowHeight="15" x14ac:dyDescent="0.25"/>
  <cols>
    <col min="1" max="1" width="15.7109375" bestFit="1" customWidth="1"/>
    <col min="2" max="2" width="15.7109375" customWidth="1"/>
    <col min="3" max="3" width="15.42578125" customWidth="1"/>
    <col min="4" max="4" width="16.5703125" customWidth="1"/>
  </cols>
  <sheetData>
    <row r="1" spans="1:4" x14ac:dyDescent="0.25">
      <c r="A1" t="s">
        <v>7</v>
      </c>
      <c r="B1" t="s">
        <v>12</v>
      </c>
    </row>
    <row r="2" spans="1:4" x14ac:dyDescent="0.25">
      <c r="A2" t="s">
        <v>9</v>
      </c>
      <c r="B2">
        <v>3134442</v>
      </c>
    </row>
    <row r="3" spans="1:4" x14ac:dyDescent="0.25">
      <c r="A3" t="s">
        <v>10</v>
      </c>
      <c r="B3" t="s">
        <v>11</v>
      </c>
    </row>
    <row r="4" spans="1:4" x14ac:dyDescent="0.25">
      <c r="A4" s="26" t="s">
        <v>19</v>
      </c>
      <c r="B4" s="26"/>
      <c r="C4" s="26"/>
      <c r="D4" s="26"/>
    </row>
    <row r="5" spans="1:4" x14ac:dyDescent="0.25">
      <c r="A5" s="14" t="s">
        <v>0</v>
      </c>
      <c r="B5" s="14" t="s">
        <v>1</v>
      </c>
      <c r="C5" s="14" t="s">
        <v>2</v>
      </c>
      <c r="D5" s="14" t="s">
        <v>3</v>
      </c>
    </row>
    <row r="6" spans="1:4" x14ac:dyDescent="0.25">
      <c r="A6" s="25" t="s">
        <v>4</v>
      </c>
      <c r="B6" s="25"/>
      <c r="C6" s="25"/>
      <c r="D6" s="3">
        <v>708.68</v>
      </c>
    </row>
    <row r="7" spans="1:4" x14ac:dyDescent="0.25">
      <c r="A7" s="15">
        <v>42156</v>
      </c>
      <c r="B7" s="17">
        <f>34540+1020+3500+1500+5881.35+2700+704+3500+1897.1+1646.76+238.5</f>
        <v>57127.71</v>
      </c>
      <c r="C7" s="17">
        <f>7325.91+330+266.13+43945.18+1606.45+6103.69</f>
        <v>59577.36</v>
      </c>
      <c r="D7" s="5">
        <f>D6+C7-B7</f>
        <v>3158.3300000000017</v>
      </c>
    </row>
    <row r="8" spans="1:4" x14ac:dyDescent="0.25">
      <c r="A8" s="15">
        <v>42186</v>
      </c>
      <c r="B8" s="17">
        <f>110+224.51+233.75+218.75+1545.51+201.76+500+366.56+249.22+1</f>
        <v>3651.0599999999995</v>
      </c>
      <c r="C8" s="17">
        <f>330+23.12+330+1191.41</f>
        <v>1874.5300000000002</v>
      </c>
      <c r="D8" s="5">
        <f t="shared" ref="D8:D18" si="0">D7+C8-B8</f>
        <v>1381.8000000000029</v>
      </c>
    </row>
    <row r="9" spans="1:4" x14ac:dyDescent="0.25">
      <c r="A9" s="15">
        <v>42217</v>
      </c>
      <c r="B9" s="17">
        <f>2700+1500+22500+704+350+1884.95+3500+1386.68+164.41+222.7</f>
        <v>34912.74</v>
      </c>
      <c r="C9" s="17">
        <f>51827.21+951.29+6892.17+330</f>
        <v>60000.67</v>
      </c>
      <c r="D9" s="5">
        <f t="shared" si="0"/>
        <v>26469.730000000003</v>
      </c>
    </row>
    <row r="10" spans="1:4" x14ac:dyDescent="0.25">
      <c r="A10" s="15">
        <v>42248</v>
      </c>
      <c r="B10" s="17">
        <f>10+24000+500+704+285.5</f>
        <v>25499.5</v>
      </c>
      <c r="C10" s="17">
        <f>330</f>
        <v>330</v>
      </c>
      <c r="D10" s="5">
        <f t="shared" si="0"/>
        <v>1300.2300000000032</v>
      </c>
    </row>
    <row r="11" spans="1:4" x14ac:dyDescent="0.25">
      <c r="A11" s="15">
        <v>42278</v>
      </c>
      <c r="B11" s="17">
        <f>826.23+500+420+27600+1500+1135.7+3500+2700+1306.55+704+140.56+2700+166.6+1770.23+3500+20+1500+35.53+202.19+23896.49+89.34</f>
        <v>74213.42</v>
      </c>
      <c r="C11" s="17">
        <f>836.47+27600+76502.21+1013.86+330</f>
        <v>106282.54000000001</v>
      </c>
      <c r="D11" s="5">
        <f t="shared" si="0"/>
        <v>33369.35000000002</v>
      </c>
    </row>
    <row r="12" spans="1:4" x14ac:dyDescent="0.25">
      <c r="A12" s="15">
        <v>42309</v>
      </c>
      <c r="B12" s="17">
        <f>500+32200+16028.82+2700+704+1500+166.6+3500+2700</f>
        <v>59999.42</v>
      </c>
      <c r="C12" s="17">
        <f>36352.52</f>
        <v>36352.519999999997</v>
      </c>
      <c r="D12" s="5">
        <f t="shared" si="0"/>
        <v>9722.4500000000262</v>
      </c>
    </row>
    <row r="13" spans="1:4" x14ac:dyDescent="0.25">
      <c r="A13" s="15">
        <v>42339</v>
      </c>
      <c r="B13" s="16">
        <f>875+3500+669.52+38.25+2700+704+1500+32200+234.15+9644</f>
        <v>52064.920000000006</v>
      </c>
      <c r="C13" s="16">
        <f>330+1319.42+330+38557.49+40464.67</f>
        <v>81001.579999999987</v>
      </c>
      <c r="D13" s="5">
        <f t="shared" si="0"/>
        <v>38659.110000000008</v>
      </c>
    </row>
    <row r="14" spans="1:4" x14ac:dyDescent="0.25">
      <c r="A14" s="15">
        <v>42370</v>
      </c>
      <c r="B14" s="16">
        <f>500+500+3500+28100+2700+1260.3+704+170.85+120</f>
        <v>37555.15</v>
      </c>
      <c r="C14" s="16">
        <f>330+1054.92+6485.53+45773</f>
        <v>53643.45</v>
      </c>
      <c r="D14" s="5">
        <f t="shared" si="0"/>
        <v>54747.409999999996</v>
      </c>
    </row>
    <row r="15" spans="1:4" x14ac:dyDescent="0.25">
      <c r="A15" s="15">
        <v>42401</v>
      </c>
      <c r="B15" s="16">
        <f>6112.92+1500+3500+1005+1137.58+2500+332+370+325+93+27900+500+5571+2700+1500+5559+500+704+3500</f>
        <v>65309.5</v>
      </c>
      <c r="C15" s="16">
        <f>46766.2+330</f>
        <v>47096.2</v>
      </c>
      <c r="D15" s="5">
        <f t="shared" si="0"/>
        <v>36534.109999999986</v>
      </c>
    </row>
    <row r="16" spans="1:4" x14ac:dyDescent="0.25">
      <c r="A16" s="15">
        <v>42430</v>
      </c>
      <c r="B16" s="16">
        <f>1514.85+3500+25065+1500+363+1487.36+147.05+184.45+2700+5369+704+5900</f>
        <v>48434.71</v>
      </c>
      <c r="C16" s="16">
        <f>330+45857.93</f>
        <v>46187.93</v>
      </c>
      <c r="D16" s="5">
        <f t="shared" si="0"/>
        <v>34287.32999999998</v>
      </c>
    </row>
    <row r="17" spans="1:4" x14ac:dyDescent="0.25">
      <c r="A17" s="15">
        <v>42461</v>
      </c>
      <c r="B17" s="16">
        <f>144.5+30400+419+704+5200+2700+500+500+3500+2710.3</f>
        <v>46777.8</v>
      </c>
      <c r="C17" s="16">
        <f>37835.13+330</f>
        <v>38165.129999999997</v>
      </c>
      <c r="D17" s="5">
        <f t="shared" si="0"/>
        <v>25674.659999999974</v>
      </c>
    </row>
    <row r="18" spans="1:4" x14ac:dyDescent="0.25">
      <c r="A18" s="15">
        <v>42491</v>
      </c>
      <c r="B18" s="16">
        <f>1500+1787.73+587.99+1287+94.89+300+31500+1500+2000+704+2700+6017+20+3500+160.65+500+140+2710.3+674.4</f>
        <v>57683.960000000006</v>
      </c>
      <c r="C18" s="16">
        <f>45360.99+330+48774.86</f>
        <v>94465.85</v>
      </c>
      <c r="D18" s="5">
        <f t="shared" si="0"/>
        <v>62456.549999999974</v>
      </c>
    </row>
    <row r="19" spans="1:4" x14ac:dyDescent="0.25">
      <c r="A19" s="6" t="s">
        <v>5</v>
      </c>
      <c r="B19" s="7">
        <f>SUM(B7:B18)</f>
        <v>563229.89</v>
      </c>
      <c r="C19" s="7">
        <f t="shared" ref="C19:D19" si="1">SUM(C7:C18)</f>
        <v>624977.75999999989</v>
      </c>
      <c r="D19" s="7">
        <f t="shared" si="1"/>
        <v>327761.06</v>
      </c>
    </row>
    <row r="20" spans="1:4" x14ac:dyDescent="0.25">
      <c r="A20" s="6" t="s">
        <v>6</v>
      </c>
      <c r="B20" s="8">
        <f>AVERAGE(B19/12)</f>
        <v>46935.824166666665</v>
      </c>
      <c r="C20" s="7">
        <f>AVERAGE(C19/12)</f>
        <v>52081.479999999989</v>
      </c>
      <c r="D20" s="12">
        <f>D19/12</f>
        <v>27313.421666666665</v>
      </c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t="s">
        <v>7</v>
      </c>
      <c r="B24" t="s">
        <v>8</v>
      </c>
    </row>
    <row r="25" spans="1:4" x14ac:dyDescent="0.25">
      <c r="A25" t="s">
        <v>9</v>
      </c>
      <c r="B25">
        <v>1002031</v>
      </c>
    </row>
    <row r="26" spans="1:4" x14ac:dyDescent="0.25">
      <c r="A26" t="s">
        <v>10</v>
      </c>
      <c r="B26" t="s">
        <v>11</v>
      </c>
    </row>
    <row r="27" spans="1:4" x14ac:dyDescent="0.25">
      <c r="A27" s="26">
        <v>2016</v>
      </c>
      <c r="B27" s="26"/>
      <c r="C27" s="26"/>
      <c r="D27" s="26"/>
    </row>
    <row r="28" spans="1:4" x14ac:dyDescent="0.25">
      <c r="A28" s="14" t="s">
        <v>0</v>
      </c>
      <c r="B28" s="14" t="s">
        <v>1</v>
      </c>
      <c r="C28" s="14" t="s">
        <v>2</v>
      </c>
      <c r="D28" s="14" t="s">
        <v>3</v>
      </c>
    </row>
    <row r="29" spans="1:4" x14ac:dyDescent="0.25">
      <c r="A29" s="25" t="s">
        <v>4</v>
      </c>
      <c r="B29" s="25"/>
      <c r="C29" s="25"/>
      <c r="D29" s="3">
        <v>1060.9100000000001</v>
      </c>
    </row>
    <row r="30" spans="1:4" x14ac:dyDescent="0.25">
      <c r="A30" s="6">
        <v>42370</v>
      </c>
      <c r="B30" s="3">
        <f>500+1500+740+1937+500+200+60+1</f>
        <v>5438</v>
      </c>
      <c r="C30" s="3">
        <f>3500+120+1260.3</f>
        <v>4880.3</v>
      </c>
      <c r="D30" s="5">
        <f>D29-B30+C30</f>
        <v>503.21000000000004</v>
      </c>
    </row>
    <row r="31" spans="1:4" x14ac:dyDescent="0.25">
      <c r="A31" s="6">
        <v>42401</v>
      </c>
      <c r="B31" s="3">
        <f>180+436+1937+3400+803+2000+3000+5000+315+1500+1</f>
        <v>18572</v>
      </c>
      <c r="C31" s="3">
        <f>1112.92+1500+3500+1005+1137.58+2500+332+370+325+1500+5559</f>
        <v>18841.5</v>
      </c>
      <c r="D31" s="5">
        <f t="shared" ref="D31:D34" si="2">D30-B31+C31</f>
        <v>772.70999999999913</v>
      </c>
    </row>
    <row r="32" spans="1:4" x14ac:dyDescent="0.25">
      <c r="A32" s="6">
        <v>42430</v>
      </c>
      <c r="B32" s="3">
        <f>1035+500+200+363+200+1000+1937+1900+200+1251+340+704+3500+5000+300+10+345+5156+200+8+1</f>
        <v>24150</v>
      </c>
      <c r="C32" s="3">
        <f>1514.85+3500+1863+1487.36+4000+500+5369+5900</f>
        <v>24134.21</v>
      </c>
      <c r="D32" s="5">
        <f t="shared" si="2"/>
        <v>756.91999999999825</v>
      </c>
    </row>
    <row r="33" spans="1:4" x14ac:dyDescent="0.25">
      <c r="A33" s="6">
        <v>42461</v>
      </c>
      <c r="B33" s="3">
        <f>200+500+500+1000+8000+2000+1250+500+2710.3</f>
        <v>16660.3</v>
      </c>
      <c r="C33" s="3">
        <f>30400+5200</f>
        <v>35600</v>
      </c>
      <c r="D33" s="5">
        <f t="shared" si="2"/>
        <v>19696.62</v>
      </c>
    </row>
    <row r="34" spans="1:4" x14ac:dyDescent="0.25">
      <c r="A34" s="6">
        <v>42491</v>
      </c>
      <c r="B34" s="3">
        <f>2000+361+3000+8000+33000+2200+972+6017+1878+3700+2</f>
        <v>61130</v>
      </c>
      <c r="C34" s="3">
        <f>31500+1500+6017+2500+700</f>
        <v>42217</v>
      </c>
      <c r="D34" s="5">
        <f t="shared" si="2"/>
        <v>783.61999999999534</v>
      </c>
    </row>
    <row r="35" spans="1:4" x14ac:dyDescent="0.25">
      <c r="A35" s="6" t="s">
        <v>5</v>
      </c>
      <c r="B35" s="7">
        <f>SUM(B30:B34)</f>
        <v>125950.3</v>
      </c>
      <c r="C35" s="7">
        <f>SUM(C30:C34)</f>
        <v>125673.01</v>
      </c>
      <c r="D35" s="7">
        <f>SUM(D30:D34)</f>
        <v>22513.079999999991</v>
      </c>
    </row>
    <row r="36" spans="1:4" x14ac:dyDescent="0.25">
      <c r="A36" s="6" t="s">
        <v>6</v>
      </c>
      <c r="B36" s="8">
        <f>B35/5</f>
        <v>25190.06</v>
      </c>
      <c r="C36" s="8">
        <f t="shared" ref="C36:D36" si="3">C35/5</f>
        <v>25134.601999999999</v>
      </c>
      <c r="D36" s="8">
        <f t="shared" si="3"/>
        <v>4502.6159999999982</v>
      </c>
    </row>
    <row r="39" spans="1:4" x14ac:dyDescent="0.25">
      <c r="A39" t="s">
        <v>7</v>
      </c>
      <c r="B39" t="s">
        <v>8</v>
      </c>
    </row>
    <row r="40" spans="1:4" x14ac:dyDescent="0.25">
      <c r="A40" t="s">
        <v>9</v>
      </c>
      <c r="B40" s="13" t="s">
        <v>20</v>
      </c>
    </row>
    <row r="41" spans="1:4" x14ac:dyDescent="0.25">
      <c r="A41" t="s">
        <v>10</v>
      </c>
      <c r="B41" t="s">
        <v>14</v>
      </c>
    </row>
    <row r="42" spans="1:4" x14ac:dyDescent="0.25">
      <c r="A42" s="26">
        <v>2016</v>
      </c>
      <c r="B42" s="26"/>
      <c r="C42" s="26"/>
      <c r="D42" s="26"/>
    </row>
    <row r="43" spans="1:4" x14ac:dyDescent="0.25">
      <c r="A43" s="14" t="s">
        <v>0</v>
      </c>
      <c r="B43" s="14" t="s">
        <v>1</v>
      </c>
      <c r="C43" s="14" t="s">
        <v>2</v>
      </c>
      <c r="D43" s="14" t="s">
        <v>3</v>
      </c>
    </row>
    <row r="44" spans="1:4" x14ac:dyDescent="0.25">
      <c r="A44" s="25" t="s">
        <v>4</v>
      </c>
      <c r="B44" s="25"/>
      <c r="C44" s="25"/>
      <c r="D44" s="3">
        <v>3183.49</v>
      </c>
    </row>
    <row r="45" spans="1:4" x14ac:dyDescent="0.25">
      <c r="A45" s="4">
        <v>42370</v>
      </c>
      <c r="B45" s="3">
        <f>504+1111.11+0.04</f>
        <v>1615.1499999999999</v>
      </c>
      <c r="C45" s="3">
        <f>500+1.07</f>
        <v>501.07</v>
      </c>
      <c r="D45" s="5">
        <f>D44-B45+C45</f>
        <v>2069.41</v>
      </c>
    </row>
    <row r="46" spans="1:4" x14ac:dyDescent="0.25">
      <c r="A46" s="4">
        <v>42401</v>
      </c>
      <c r="B46" s="3">
        <f>855.94+1111.11+0.02</f>
        <v>1967.07</v>
      </c>
      <c r="C46" s="3">
        <f>0.42</f>
        <v>0.42</v>
      </c>
      <c r="D46" s="5">
        <f>D45-B46+C46</f>
        <v>102.75999999999992</v>
      </c>
    </row>
    <row r="47" spans="1:4" x14ac:dyDescent="0.25">
      <c r="A47" s="4">
        <v>42430</v>
      </c>
      <c r="B47" s="3">
        <f>789.44+1111.11</f>
        <v>1900.55</v>
      </c>
      <c r="C47" s="3">
        <f>1900+0.07</f>
        <v>1900.07</v>
      </c>
      <c r="D47" s="5">
        <f t="shared" ref="D47:D49" si="4">D46-B47+C47</f>
        <v>102.27999999999997</v>
      </c>
    </row>
    <row r="48" spans="1:4" x14ac:dyDescent="0.25">
      <c r="A48" s="4">
        <v>42461</v>
      </c>
      <c r="B48" s="3">
        <f>912.33+1111.11</f>
        <v>2023.44</v>
      </c>
      <c r="C48" s="3">
        <f>2024+0.04</f>
        <v>2024.04</v>
      </c>
      <c r="D48" s="5">
        <f t="shared" si="4"/>
        <v>102.87999999999988</v>
      </c>
    </row>
    <row r="49" spans="1:4" x14ac:dyDescent="0.25">
      <c r="A49" s="4">
        <v>42491</v>
      </c>
      <c r="B49" s="3">
        <f>766.89+1111.11</f>
        <v>1878</v>
      </c>
      <c r="C49" s="3">
        <f>1878+0.18</f>
        <v>1878.18</v>
      </c>
      <c r="D49" s="5">
        <f t="shared" si="4"/>
        <v>103.05999999999995</v>
      </c>
    </row>
    <row r="50" spans="1:4" x14ac:dyDescent="0.25">
      <c r="A50" s="6" t="s">
        <v>5</v>
      </c>
      <c r="B50" s="7">
        <f>SUM(B45:B49)</f>
        <v>9384.2099999999991</v>
      </c>
      <c r="C50" s="7">
        <f>SUM(C45:C49)</f>
        <v>6303.7800000000007</v>
      </c>
      <c r="D50" s="7">
        <f>SUM(D45:D49)</f>
        <v>2480.39</v>
      </c>
    </row>
    <row r="51" spans="1:4" x14ac:dyDescent="0.25">
      <c r="A51" s="6" t="s">
        <v>6</v>
      </c>
      <c r="B51" s="8">
        <f>AVERAGE(B50/5)</f>
        <v>1876.8419999999999</v>
      </c>
      <c r="C51" s="7">
        <f>AVERAGE(C50/5)</f>
        <v>1260.7560000000001</v>
      </c>
      <c r="D51" s="12">
        <f>AVERAGE(D44:D49)</f>
        <v>943.9799999999999</v>
      </c>
    </row>
    <row r="56" spans="1:4" x14ac:dyDescent="0.25">
      <c r="A56" t="s">
        <v>7</v>
      </c>
      <c r="B56" t="s">
        <v>8</v>
      </c>
    </row>
    <row r="57" spans="1:4" x14ac:dyDescent="0.25">
      <c r="A57" t="s">
        <v>9</v>
      </c>
      <c r="B57" s="18" t="s">
        <v>21</v>
      </c>
    </row>
    <row r="58" spans="1:4" x14ac:dyDescent="0.25">
      <c r="A58" t="s">
        <v>10</v>
      </c>
      <c r="B58" t="s">
        <v>15</v>
      </c>
    </row>
    <row r="59" spans="1:4" x14ac:dyDescent="0.25">
      <c r="A59" s="26">
        <v>2015</v>
      </c>
      <c r="B59" s="26"/>
      <c r="C59" s="26"/>
      <c r="D59" s="26"/>
    </row>
    <row r="60" spans="1:4" x14ac:dyDescent="0.25">
      <c r="A60" s="14" t="s">
        <v>0</v>
      </c>
      <c r="B60" s="14" t="s">
        <v>1</v>
      </c>
      <c r="C60" s="14" t="s">
        <v>2</v>
      </c>
      <c r="D60" s="14" t="s">
        <v>3</v>
      </c>
    </row>
    <row r="61" spans="1:4" x14ac:dyDescent="0.25">
      <c r="A61" s="25" t="s">
        <v>4</v>
      </c>
      <c r="B61" s="25"/>
      <c r="C61" s="25"/>
      <c r="D61" s="3">
        <v>3002.3999999999796</v>
      </c>
    </row>
    <row r="62" spans="1:4" x14ac:dyDescent="0.25">
      <c r="A62" s="4">
        <v>42095</v>
      </c>
      <c r="B62" s="3">
        <f>697.56+719.61+128.87+0.18</f>
        <v>1546.22</v>
      </c>
      <c r="C62" s="3">
        <f>4000+1550+4.55</f>
        <v>5554.55</v>
      </c>
      <c r="D62" s="5">
        <f>D61+C62-B62</f>
        <v>7010.7299999999786</v>
      </c>
    </row>
    <row r="63" spans="1:4" x14ac:dyDescent="0.25">
      <c r="A63" s="4">
        <v>42125</v>
      </c>
      <c r="B63" s="3">
        <f>718.08+697.56+577.23+719.61+0.15</f>
        <v>2712.63</v>
      </c>
      <c r="C63" s="3">
        <v>3.72</v>
      </c>
      <c r="D63" s="5">
        <f t="shared" ref="D63:D70" si="5">D62+C63-B63</f>
        <v>4301.8199999999788</v>
      </c>
    </row>
    <row r="64" spans="1:4" x14ac:dyDescent="0.25">
      <c r="A64" s="4">
        <v>42156</v>
      </c>
      <c r="B64" s="3">
        <f>577.23+718.08+719.61+697.56+300+200+500+0.14</f>
        <v>3712.62</v>
      </c>
      <c r="C64" s="3">
        <f>1900+2000+3.55</f>
        <v>3903.55</v>
      </c>
      <c r="D64" s="5">
        <f t="shared" si="5"/>
        <v>4492.7499999999791</v>
      </c>
    </row>
    <row r="65" spans="1:4" x14ac:dyDescent="0.25">
      <c r="A65" s="4">
        <v>42186</v>
      </c>
      <c r="B65" s="3">
        <f>718.08+577.23+697.56+719.61+200+0.09</f>
        <v>2912.57</v>
      </c>
      <c r="C65" s="3">
        <f>1300+1000+2.17</f>
        <v>2302.17</v>
      </c>
      <c r="D65" s="5">
        <f t="shared" si="5"/>
        <v>3882.349999999979</v>
      </c>
    </row>
    <row r="66" spans="1:4" x14ac:dyDescent="0.25">
      <c r="A66" s="4">
        <v>42217</v>
      </c>
      <c r="B66" s="3">
        <f>697.56+719.61+718.08+577.23+0.07</f>
        <v>2712.55</v>
      </c>
      <c r="C66" s="3">
        <f>3000+1.65</f>
        <v>3001.65</v>
      </c>
      <c r="D66" s="5">
        <f t="shared" si="5"/>
        <v>4171.4499999999789</v>
      </c>
    </row>
    <row r="67" spans="1:4" x14ac:dyDescent="0.25">
      <c r="A67" s="4">
        <v>42248</v>
      </c>
      <c r="B67" s="3">
        <f>719.61+577.23+697.56+718.08+500+280+0.05</f>
        <v>3492.53</v>
      </c>
      <c r="C67" s="3">
        <f>2500+1.2</f>
        <v>2501.1999999999998</v>
      </c>
      <c r="D67" s="5">
        <f t="shared" si="5"/>
        <v>3180.1199999999785</v>
      </c>
    </row>
    <row r="68" spans="1:4" x14ac:dyDescent="0.25">
      <c r="A68" s="4">
        <v>42278</v>
      </c>
      <c r="B68" s="3">
        <f>577.23+718.08+719.61+697.56+1000+0.07</f>
        <v>3712.55</v>
      </c>
      <c r="C68" s="3">
        <f>3000+500+1.82</f>
        <v>3501.82</v>
      </c>
      <c r="D68" s="5">
        <f t="shared" si="5"/>
        <v>2969.3899999999785</v>
      </c>
    </row>
    <row r="69" spans="1:4" x14ac:dyDescent="0.25">
      <c r="A69" s="4">
        <v>42309</v>
      </c>
      <c r="B69" s="3">
        <f>577.23+718.08+719.61+697.56+100+0.01</f>
        <v>2812.4900000000002</v>
      </c>
      <c r="C69" s="3">
        <f>2712.48+0.37</f>
        <v>2712.85</v>
      </c>
      <c r="D69" s="5">
        <f t="shared" si="5"/>
        <v>2869.7499999999777</v>
      </c>
    </row>
    <row r="70" spans="1:4" x14ac:dyDescent="0.25">
      <c r="A70" s="4">
        <v>42339</v>
      </c>
      <c r="B70" s="3">
        <f>719.61+577.23+718.08+697.56+150+0.01</f>
        <v>2862.4900000000002</v>
      </c>
      <c r="C70" s="3">
        <f>2700+0.16</f>
        <v>2700.16</v>
      </c>
      <c r="D70" s="5">
        <f t="shared" si="5"/>
        <v>2707.4199999999778</v>
      </c>
    </row>
    <row r="71" spans="1:4" x14ac:dyDescent="0.25">
      <c r="A71" s="4">
        <v>42370</v>
      </c>
      <c r="B71" s="3">
        <f>718.08+577.23+697.56+713.55+6.06+0.02</f>
        <v>2712.5</v>
      </c>
      <c r="C71" s="3">
        <f>10+2750+0.56+0.3</f>
        <v>2760.86</v>
      </c>
      <c r="D71" s="5">
        <f>D70+C71-B71</f>
        <v>2755.7799999999779</v>
      </c>
    </row>
    <row r="72" spans="1:4" x14ac:dyDescent="0.25">
      <c r="A72" s="4">
        <v>42401</v>
      </c>
      <c r="B72" s="3">
        <f>577.23+719.63+697.56+718.08+200+0.06</f>
        <v>2912.56</v>
      </c>
      <c r="C72" s="3">
        <f>3000+1.52</f>
        <v>3001.52</v>
      </c>
      <c r="D72" s="5">
        <f t="shared" ref="D72" si="6">D71+C72-B72</f>
        <v>2844.7399999999775</v>
      </c>
    </row>
    <row r="73" spans="1:4" x14ac:dyDescent="0.25">
      <c r="A73" s="4">
        <v>42430</v>
      </c>
      <c r="B73" s="3">
        <f>719.61+718.08+577.23+697.56+500+0.02</f>
        <v>3212.5</v>
      </c>
      <c r="C73" s="3">
        <f>2720+500+0.51</f>
        <v>3220.51</v>
      </c>
      <c r="D73" s="5">
        <f>D72+C73-B73</f>
        <v>2852.7499999999782</v>
      </c>
    </row>
    <row r="74" spans="1:4" x14ac:dyDescent="0.25">
      <c r="A74" s="6" t="s">
        <v>5</v>
      </c>
      <c r="B74" s="7">
        <f>SUM(B71:B73)</f>
        <v>8837.56</v>
      </c>
      <c r="C74" s="7">
        <f>SUM(C71:C73)</f>
        <v>8982.89</v>
      </c>
      <c r="D74" s="7">
        <f>SUM(D71:D73)</f>
        <v>8453.2699999999331</v>
      </c>
    </row>
    <row r="75" spans="1:4" x14ac:dyDescent="0.25">
      <c r="A75" s="6" t="s">
        <v>6</v>
      </c>
      <c r="B75" s="8">
        <f>B74/5</f>
        <v>1767.5119999999999</v>
      </c>
      <c r="C75" s="8">
        <f>C74/5</f>
        <v>1796.578</v>
      </c>
      <c r="D75" s="12">
        <f>D74/5</f>
        <v>1690.6539999999866</v>
      </c>
    </row>
    <row r="76" spans="1:4" x14ac:dyDescent="0.25">
      <c r="A76" s="19"/>
      <c r="B76" s="20"/>
      <c r="C76" s="21"/>
      <c r="D76" s="22"/>
    </row>
    <row r="79" spans="1:4" x14ac:dyDescent="0.25">
      <c r="A79" t="s">
        <v>7</v>
      </c>
      <c r="B79" t="s">
        <v>23</v>
      </c>
    </row>
    <row r="80" spans="1:4" x14ac:dyDescent="0.25">
      <c r="A80" t="s">
        <v>9</v>
      </c>
      <c r="B80" s="18" t="s">
        <v>22</v>
      </c>
    </row>
    <row r="81" spans="1:4" x14ac:dyDescent="0.25">
      <c r="A81" t="s">
        <v>10</v>
      </c>
      <c r="B81" t="s">
        <v>18</v>
      </c>
    </row>
    <row r="82" spans="1:4" x14ac:dyDescent="0.25">
      <c r="A82" s="26" t="s">
        <v>19</v>
      </c>
      <c r="B82" s="26"/>
      <c r="C82" s="26"/>
      <c r="D82" s="26"/>
    </row>
    <row r="83" spans="1:4" x14ac:dyDescent="0.25">
      <c r="A83" s="14" t="s">
        <v>0</v>
      </c>
      <c r="B83" s="14" t="s">
        <v>1</v>
      </c>
      <c r="C83" s="14" t="s">
        <v>2</v>
      </c>
      <c r="D83" s="14" t="s">
        <v>3</v>
      </c>
    </row>
    <row r="84" spans="1:4" x14ac:dyDescent="0.25">
      <c r="A84" s="25" t="s">
        <v>4</v>
      </c>
      <c r="B84" s="25"/>
      <c r="C84" s="25"/>
      <c r="D84" s="3">
        <v>0</v>
      </c>
    </row>
    <row r="85" spans="1:4" x14ac:dyDescent="0.25">
      <c r="A85" s="23">
        <v>42217</v>
      </c>
      <c r="B85" s="24">
        <f>10+5000+600+60000+53000</f>
        <v>118610</v>
      </c>
      <c r="C85" s="24">
        <f>1000+5000+60000+1500+60000</f>
        <v>127500</v>
      </c>
      <c r="D85" s="16">
        <f>D84+C85-B85</f>
        <v>8890</v>
      </c>
    </row>
    <row r="86" spans="1:4" x14ac:dyDescent="0.25">
      <c r="A86" s="23">
        <v>42248</v>
      </c>
      <c r="B86" s="24">
        <f>724+311+7500+1245.5</f>
        <v>9780.5</v>
      </c>
      <c r="C86" s="24">
        <f>1600+2000</f>
        <v>3600</v>
      </c>
      <c r="D86" s="16">
        <f t="shared" ref="D86:D95" si="7">D85+C86-B86</f>
        <v>2709.5</v>
      </c>
    </row>
    <row r="87" spans="1:4" x14ac:dyDescent="0.25">
      <c r="A87" s="23">
        <v>42278</v>
      </c>
      <c r="B87" s="24">
        <f>1245.5+1738</f>
        <v>2983.5</v>
      </c>
      <c r="C87" s="24">
        <f>400</f>
        <v>400</v>
      </c>
      <c r="D87" s="16">
        <f t="shared" si="7"/>
        <v>126</v>
      </c>
    </row>
    <row r="88" spans="1:4" x14ac:dyDescent="0.25">
      <c r="A88" s="23">
        <v>42309</v>
      </c>
      <c r="B88" s="24">
        <f>1245.5</f>
        <v>1245.5</v>
      </c>
      <c r="C88" s="24">
        <v>1246</v>
      </c>
      <c r="D88" s="16">
        <f t="shared" si="7"/>
        <v>126.5</v>
      </c>
    </row>
    <row r="89" spans="1:4" x14ac:dyDescent="0.25">
      <c r="A89" s="23">
        <v>42339</v>
      </c>
      <c r="B89" s="24">
        <f>1245.5+3</f>
        <v>1248.5</v>
      </c>
      <c r="C89" s="24">
        <f>1300</f>
        <v>1300</v>
      </c>
      <c r="D89" s="16">
        <f t="shared" si="7"/>
        <v>178</v>
      </c>
    </row>
    <row r="90" spans="1:4" x14ac:dyDescent="0.25">
      <c r="A90" s="23">
        <v>42370</v>
      </c>
      <c r="B90" s="16">
        <f>1245.5+20000+20000</f>
        <v>41245.5</v>
      </c>
      <c r="C90" s="16">
        <f>1250+20000+20000</f>
        <v>41250</v>
      </c>
      <c r="D90" s="16">
        <f t="shared" si="7"/>
        <v>182.5</v>
      </c>
    </row>
    <row r="91" spans="1:4" x14ac:dyDescent="0.25">
      <c r="A91" s="23">
        <v>42401</v>
      </c>
      <c r="B91" s="16">
        <v>1245.5</v>
      </c>
      <c r="C91" s="16">
        <v>1300</v>
      </c>
      <c r="D91" s="16">
        <f t="shared" si="7"/>
        <v>237</v>
      </c>
    </row>
    <row r="92" spans="1:4" x14ac:dyDescent="0.25">
      <c r="A92" s="23">
        <v>42430</v>
      </c>
      <c r="B92" s="16">
        <v>1245.5</v>
      </c>
      <c r="C92" s="16">
        <v>1250</v>
      </c>
      <c r="D92" s="16">
        <f t="shared" si="7"/>
        <v>241.5</v>
      </c>
    </row>
    <row r="93" spans="1:4" x14ac:dyDescent="0.25">
      <c r="A93" s="23">
        <v>42461</v>
      </c>
      <c r="B93" s="16">
        <v>1245.5</v>
      </c>
      <c r="C93" s="16">
        <v>1250</v>
      </c>
      <c r="D93" s="16">
        <f t="shared" si="7"/>
        <v>246</v>
      </c>
    </row>
    <row r="94" spans="1:4" x14ac:dyDescent="0.25">
      <c r="A94" s="23">
        <v>42491</v>
      </c>
      <c r="B94" s="16">
        <v>1245.5</v>
      </c>
      <c r="C94" s="16">
        <f>200+900</f>
        <v>1100</v>
      </c>
      <c r="D94" s="16">
        <f t="shared" si="7"/>
        <v>100.5</v>
      </c>
    </row>
    <row r="95" spans="1:4" x14ac:dyDescent="0.25">
      <c r="A95" s="23">
        <v>42522</v>
      </c>
      <c r="B95" s="16">
        <f>1245.5+3.5</f>
        <v>1249</v>
      </c>
      <c r="C95" s="16">
        <v>1245</v>
      </c>
      <c r="D95" s="16">
        <f t="shared" si="7"/>
        <v>96.5</v>
      </c>
    </row>
    <row r="96" spans="1:4" x14ac:dyDescent="0.25">
      <c r="A96" s="6" t="s">
        <v>5</v>
      </c>
      <c r="B96" s="7">
        <f>SUM(B90:B95)</f>
        <v>47476.5</v>
      </c>
      <c r="C96" s="7">
        <f>SUM(C90:C95)</f>
        <v>47395</v>
      </c>
      <c r="D96" s="7">
        <f>SUM(D90:D95)</f>
        <v>1104</v>
      </c>
    </row>
    <row r="97" spans="1:4" x14ac:dyDescent="0.25">
      <c r="A97" s="6" t="s">
        <v>6</v>
      </c>
      <c r="B97" s="8">
        <f>AVERAGE(B96/12)</f>
        <v>3956.375</v>
      </c>
      <c r="C97" s="7">
        <f>AVERAGE(C96/12)</f>
        <v>3949.5833333333335</v>
      </c>
      <c r="D97" s="12">
        <f>AVERAGE(D84:D95)</f>
        <v>1094.5</v>
      </c>
    </row>
    <row r="100" spans="1:4" x14ac:dyDescent="0.25">
      <c r="A100" t="s">
        <v>7</v>
      </c>
      <c r="B100" t="s">
        <v>23</v>
      </c>
    </row>
    <row r="101" spans="1:4" x14ac:dyDescent="0.25">
      <c r="A101" t="s">
        <v>9</v>
      </c>
      <c r="B101" s="18" t="s">
        <v>24</v>
      </c>
    </row>
    <row r="102" spans="1:4" x14ac:dyDescent="0.25">
      <c r="A102" t="s">
        <v>10</v>
      </c>
      <c r="B102" t="s">
        <v>18</v>
      </c>
    </row>
    <row r="103" spans="1:4" x14ac:dyDescent="0.25">
      <c r="A103" s="26" t="s">
        <v>19</v>
      </c>
      <c r="B103" s="26"/>
      <c r="C103" s="26"/>
      <c r="D103" s="26"/>
    </row>
    <row r="104" spans="1:4" x14ac:dyDescent="0.25">
      <c r="A104" s="14" t="s">
        <v>0</v>
      </c>
      <c r="B104" s="14" t="s">
        <v>1</v>
      </c>
      <c r="C104" s="14" t="s">
        <v>2</v>
      </c>
      <c r="D104" s="14" t="s">
        <v>3</v>
      </c>
    </row>
    <row r="105" spans="1:4" x14ac:dyDescent="0.25">
      <c r="A105" s="25" t="s">
        <v>4</v>
      </c>
      <c r="B105" s="25"/>
      <c r="C105" s="25"/>
      <c r="D105" s="3">
        <v>80.92</v>
      </c>
    </row>
    <row r="106" spans="1:4" x14ac:dyDescent="0.25">
      <c r="A106" s="23">
        <v>42217</v>
      </c>
      <c r="B106" s="17">
        <f>780+10+5515+5000+500+560+141.2+3158.23+1200+7505+7505+4000+30000+1000+30592+19200+838+10000</f>
        <v>127504.43</v>
      </c>
      <c r="C106" s="17">
        <f>5000+10000+5000+4180+79200+4100+10000+10000+400+9000</f>
        <v>136880</v>
      </c>
      <c r="D106" s="16">
        <f>D105+C106-B106</f>
        <v>9456.4900000000198</v>
      </c>
    </row>
    <row r="107" spans="1:4" x14ac:dyDescent="0.25">
      <c r="A107" s="23">
        <v>42248</v>
      </c>
      <c r="B107" s="17">
        <f>7505+10000+18000+4379.51+7500+18080+4600+23000+8500+24000+7505</f>
        <v>133069.51</v>
      </c>
      <c r="C107" s="24">
        <f>12400+24000+24000+7500+23000+23000+10000+18500</f>
        <v>142400</v>
      </c>
      <c r="D107" s="16">
        <f t="shared" ref="D107:D116" si="8">D106+C107-B107</f>
        <v>18786.98000000001</v>
      </c>
    </row>
    <row r="108" spans="1:4" x14ac:dyDescent="0.25">
      <c r="A108" s="23">
        <v>42278</v>
      </c>
      <c r="B108" s="17">
        <f>200+5000+5000+20000+2000+3000+3000+10000+500</f>
        <v>48700</v>
      </c>
      <c r="C108" s="17">
        <f>5000+5000+20000</f>
        <v>30000</v>
      </c>
      <c r="D108" s="16">
        <f t="shared" si="8"/>
        <v>86.980000000010477</v>
      </c>
    </row>
    <row r="109" spans="1:4" x14ac:dyDescent="0.25">
      <c r="A109" s="23">
        <v>42309</v>
      </c>
      <c r="B109" s="17">
        <f>300+7000</f>
        <v>7300</v>
      </c>
      <c r="C109" s="17">
        <f>300+7000</f>
        <v>7300</v>
      </c>
      <c r="D109" s="16">
        <f t="shared" si="8"/>
        <v>86.980000000010477</v>
      </c>
    </row>
    <row r="110" spans="1:4" x14ac:dyDescent="0.25">
      <c r="A110" s="23">
        <v>42339</v>
      </c>
      <c r="B110" s="17">
        <f>3+30000+3800+600+1000+4650+25000+598</f>
        <v>65651</v>
      </c>
      <c r="C110" s="17">
        <f>1550+41500+20000+3000+10000</f>
        <v>76050</v>
      </c>
      <c r="D110" s="16">
        <f t="shared" si="8"/>
        <v>10485.98000000001</v>
      </c>
    </row>
    <row r="111" spans="1:4" x14ac:dyDescent="0.25">
      <c r="A111" s="23">
        <v>42370</v>
      </c>
      <c r="B111" s="17">
        <f>51600</f>
        <v>51600</v>
      </c>
      <c r="C111" s="17">
        <f>39800+1400</f>
        <v>41200</v>
      </c>
      <c r="D111" s="16">
        <f t="shared" si="8"/>
        <v>85.980000000010477</v>
      </c>
    </row>
    <row r="112" spans="1:4" x14ac:dyDescent="0.25">
      <c r="A112" s="23">
        <v>42401</v>
      </c>
      <c r="B112" s="17">
        <f>2979+49.85+200+1300+1000</f>
        <v>5528.85</v>
      </c>
      <c r="C112" s="17">
        <v>5500</v>
      </c>
      <c r="D112" s="16">
        <f t="shared" si="8"/>
        <v>57.130000000010114</v>
      </c>
    </row>
    <row r="113" spans="1:4" x14ac:dyDescent="0.25">
      <c r="A113" s="23">
        <v>42430</v>
      </c>
      <c r="B113" s="16">
        <f>340+340+340</f>
        <v>1020</v>
      </c>
      <c r="C113" s="16">
        <f>350+340+340+340</f>
        <v>1370</v>
      </c>
      <c r="D113" s="16">
        <f t="shared" si="8"/>
        <v>407.13000000001011</v>
      </c>
    </row>
    <row r="114" spans="1:4" x14ac:dyDescent="0.25">
      <c r="A114" s="23">
        <v>42461</v>
      </c>
      <c r="B114" s="16">
        <f>340+200+200</f>
        <v>740</v>
      </c>
      <c r="C114" s="16">
        <v>500</v>
      </c>
      <c r="D114" s="16">
        <f t="shared" si="8"/>
        <v>167.13000000001011</v>
      </c>
    </row>
    <row r="115" spans="1:4" x14ac:dyDescent="0.25">
      <c r="A115" s="23">
        <v>42491</v>
      </c>
      <c r="B115" s="16">
        <f>900+210+340+340+340</f>
        <v>2130</v>
      </c>
      <c r="C115" s="16">
        <f>340+340+340+340+340+340</f>
        <v>2040</v>
      </c>
      <c r="D115" s="16">
        <f t="shared" si="8"/>
        <v>77.130000000010114</v>
      </c>
    </row>
    <row r="116" spans="1:4" x14ac:dyDescent="0.25">
      <c r="A116" s="23">
        <v>42522</v>
      </c>
      <c r="B116" s="16">
        <f>4500+285+1000+2637.52+4935.46+2965.54+3500+7500+858.68</f>
        <v>28182.2</v>
      </c>
      <c r="C116" s="16">
        <f>1500+20000+300+8105</f>
        <v>29905</v>
      </c>
      <c r="D116" s="16">
        <f t="shared" si="8"/>
        <v>1799.9300000000112</v>
      </c>
    </row>
    <row r="117" spans="1:4" x14ac:dyDescent="0.25">
      <c r="A117" s="6" t="s">
        <v>5</v>
      </c>
      <c r="B117" s="7">
        <f>SUM(B106:B116)</f>
        <v>471425.99</v>
      </c>
      <c r="C117" s="7">
        <f t="shared" ref="C117:D117" si="9">SUM(C106:C116)</f>
        <v>473145</v>
      </c>
      <c r="D117" s="7">
        <f t="shared" si="9"/>
        <v>41497.840000000127</v>
      </c>
    </row>
    <row r="118" spans="1:4" x14ac:dyDescent="0.25">
      <c r="A118" s="6" t="s">
        <v>6</v>
      </c>
      <c r="B118" s="8">
        <f>B117/11</f>
        <v>42856.90818181818</v>
      </c>
      <c r="C118" s="8">
        <f t="shared" ref="C118:D118" si="10">C117/11</f>
        <v>43013.181818181816</v>
      </c>
      <c r="D118" s="8">
        <f t="shared" si="10"/>
        <v>3772.5309090909209</v>
      </c>
    </row>
  </sheetData>
  <mergeCells count="12">
    <mergeCell ref="A103:D103"/>
    <mergeCell ref="A105:C105"/>
    <mergeCell ref="A59:D59"/>
    <mergeCell ref="A61:C61"/>
    <mergeCell ref="A82:D82"/>
    <mergeCell ref="A84:C84"/>
    <mergeCell ref="A44:C44"/>
    <mergeCell ref="A4:D4"/>
    <mergeCell ref="A6:C6"/>
    <mergeCell ref="A27:D27"/>
    <mergeCell ref="A29:C29"/>
    <mergeCell ref="A42:D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Sonly</dc:creator>
  <cp:lastModifiedBy>Chiv Hak</cp:lastModifiedBy>
  <dcterms:created xsi:type="dcterms:W3CDTF">2015-04-07T08:53:22Z</dcterms:created>
  <dcterms:modified xsi:type="dcterms:W3CDTF">2016-06-30T09:17:52Z</dcterms:modified>
</cp:coreProperties>
</file>