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440" windowHeight="9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4" i="1" l="1"/>
  <c r="G44" i="1"/>
  <c r="I31" i="1"/>
  <c r="H31" i="1"/>
  <c r="G31" i="1"/>
  <c r="F42" i="1" l="1"/>
  <c r="F29" i="1"/>
  <c r="F27" i="1"/>
  <c r="F28" i="1"/>
  <c r="F33" i="1"/>
  <c r="F34" i="1" s="1"/>
  <c r="F26" i="1"/>
  <c r="F30" i="1"/>
  <c r="G42" i="1"/>
  <c r="H42" i="1"/>
  <c r="I42" i="1"/>
  <c r="G41" i="1"/>
  <c r="H41" i="1"/>
  <c r="I41" i="1"/>
  <c r="G37" i="1"/>
  <c r="H37" i="1"/>
  <c r="I37" i="1"/>
  <c r="G38" i="1"/>
  <c r="H38" i="1"/>
  <c r="I38" i="1"/>
  <c r="G39" i="1"/>
  <c r="H39" i="1"/>
  <c r="I39" i="1"/>
  <c r="G40" i="1"/>
  <c r="H40" i="1"/>
  <c r="I40" i="1"/>
  <c r="G35" i="1"/>
  <c r="H35" i="1"/>
  <c r="I35" i="1"/>
  <c r="F32" i="1"/>
  <c r="G32" i="1"/>
  <c r="H32" i="1"/>
  <c r="I32" i="1"/>
  <c r="G33" i="1"/>
  <c r="H33" i="1"/>
  <c r="I33" i="1"/>
  <c r="G34" i="1"/>
  <c r="H34" i="1"/>
  <c r="I34" i="1"/>
  <c r="G30" i="1"/>
  <c r="H30" i="1"/>
  <c r="I30" i="1"/>
  <c r="I29" i="1"/>
  <c r="H29" i="1"/>
  <c r="G29" i="1"/>
  <c r="I27" i="1"/>
  <c r="H27" i="1"/>
  <c r="I26" i="1"/>
  <c r="H26" i="1"/>
  <c r="I28" i="1"/>
  <c r="H28" i="1"/>
  <c r="G28" i="1"/>
  <c r="G27" i="1"/>
  <c r="G26" i="1"/>
  <c r="E45" i="1"/>
  <c r="D39" i="1"/>
  <c r="E39" i="1"/>
  <c r="C39" i="1"/>
  <c r="C38" i="1"/>
  <c r="D38" i="1"/>
  <c r="E38" i="1"/>
  <c r="E40" i="1"/>
  <c r="D40" i="1"/>
  <c r="C40" i="1"/>
  <c r="D34" i="1"/>
  <c r="D35" i="1" s="1"/>
  <c r="E34" i="1"/>
  <c r="E35" i="1"/>
  <c r="D32" i="1"/>
  <c r="E32" i="1"/>
  <c r="D33" i="1"/>
  <c r="E33" i="1"/>
  <c r="C35" i="1"/>
  <c r="C34" i="1"/>
  <c r="C33" i="1"/>
  <c r="C32" i="1"/>
  <c r="C27" i="1"/>
  <c r="C30" i="1" s="1"/>
  <c r="D27" i="1"/>
  <c r="D30" i="1" s="1"/>
  <c r="C26" i="1"/>
  <c r="D26" i="1"/>
  <c r="E30" i="1"/>
  <c r="F35" i="1" l="1"/>
  <c r="F40" i="1" s="1"/>
  <c r="C37" i="1"/>
  <c r="F41" i="1" l="1"/>
  <c r="F38" i="1"/>
  <c r="F39" i="1"/>
  <c r="F37" i="1" l="1"/>
  <c r="E27" i="1"/>
  <c r="E26" i="1"/>
  <c r="C11" i="2" l="1"/>
  <c r="G9" i="1" l="1"/>
  <c r="I7" i="1"/>
  <c r="H7" i="1"/>
  <c r="E29" i="1"/>
  <c r="E28" i="1"/>
  <c r="D29" i="1" l="1"/>
  <c r="C7" i="2"/>
  <c r="C12" i="2" s="1"/>
  <c r="C14" i="2" s="1"/>
  <c r="D28" i="1"/>
  <c r="C16" i="1"/>
  <c r="C9" i="1"/>
  <c r="C11" i="1" s="1"/>
  <c r="C17" i="1" s="1"/>
  <c r="D16" i="1"/>
  <c r="D11" i="1"/>
  <c r="D17" i="1" s="1"/>
  <c r="D9" i="1"/>
  <c r="E13" i="1"/>
  <c r="I13" i="1" s="1"/>
  <c r="E16" i="1"/>
  <c r="E11" i="1"/>
  <c r="E17" i="1" s="1"/>
  <c r="E9" i="1"/>
  <c r="C18" i="1" l="1"/>
  <c r="C20" i="1"/>
  <c r="C29" i="1"/>
  <c r="I14" i="1"/>
  <c r="I15" i="1"/>
  <c r="H15" i="1"/>
  <c r="D13" i="1"/>
  <c r="H13" i="1" s="1"/>
  <c r="H14" i="1"/>
  <c r="G14" i="1"/>
  <c r="G15" i="1"/>
  <c r="C13" i="1"/>
  <c r="G13" i="1" s="1"/>
  <c r="C28" i="1"/>
  <c r="E41" i="1"/>
  <c r="E42" i="1" s="1"/>
  <c r="E18" i="1"/>
  <c r="E20" i="1"/>
  <c r="D18" i="1"/>
  <c r="D20" i="1"/>
  <c r="D37" i="1" l="1"/>
  <c r="D41" i="1"/>
  <c r="D42" i="1" s="1"/>
  <c r="E37" i="1"/>
  <c r="D45" i="1" l="1"/>
  <c r="C41" i="1" l="1"/>
  <c r="C45" i="1" l="1"/>
  <c r="C42" i="1"/>
</calcChain>
</file>

<file path=xl/sharedStrings.xml><?xml version="1.0" encoding="utf-8"?>
<sst xmlns="http://schemas.openxmlformats.org/spreadsheetml/2006/main" count="60" uniqueCount="40">
  <si>
    <t>Phsar Big A Co., Ltd</t>
  </si>
  <si>
    <t>Financial Statement</t>
  </si>
  <si>
    <t>Revenue</t>
  </si>
  <si>
    <t>Rental</t>
  </si>
  <si>
    <t>Total revenue</t>
  </si>
  <si>
    <t>COGS</t>
  </si>
  <si>
    <t>Gross Profit</t>
  </si>
  <si>
    <t>Expenes</t>
  </si>
  <si>
    <t>Salary exp.</t>
  </si>
  <si>
    <t>Operting exp.</t>
  </si>
  <si>
    <t>Other exp.</t>
  </si>
  <si>
    <t>Total exp.</t>
  </si>
  <si>
    <t>EBIT</t>
  </si>
  <si>
    <t>Average EBIT</t>
  </si>
  <si>
    <t>12-Month</t>
  </si>
  <si>
    <t>Sale (Sugar)</t>
  </si>
  <si>
    <t>Sugar</t>
  </si>
  <si>
    <t>Monosodium Glutamate</t>
  </si>
  <si>
    <t>Total COGS</t>
  </si>
  <si>
    <t>Items</t>
  </si>
  <si>
    <t>Historical
Jan-Apr/2017
(Monthly)</t>
  </si>
  <si>
    <t>Projected
2018
(Monthly)</t>
  </si>
  <si>
    <t>Remarks</t>
  </si>
  <si>
    <t>Z) Monthly sales (USD)</t>
  </si>
  <si>
    <t>A)        Debtor turnover (days)</t>
  </si>
  <si>
    <t>B)        Stockholding turnover (days)</t>
  </si>
  <si>
    <t>C)       Creditor turnover (days)</t>
  </si>
  <si>
    <t>D)       Asset Conversion Cycle = (A + B) – C/30</t>
  </si>
  <si>
    <t>E)        Monthly WC need = (D x Z)</t>
  </si>
  <si>
    <t>Existing + proposed WC lines
Maybank : USD9M
RHBIBL: USD7M</t>
  </si>
  <si>
    <t>(Shortfall)/Excess in WC lines</t>
  </si>
  <si>
    <t>Net profit margin</t>
  </si>
  <si>
    <t>Sale (MSG)</t>
  </si>
  <si>
    <t>Daily consumer products</t>
  </si>
  <si>
    <t>Income Statement</t>
  </si>
  <si>
    <t>Income Projection</t>
  </si>
  <si>
    <t>First 5-Month</t>
  </si>
  <si>
    <t>Expense</t>
  </si>
  <si>
    <t>Stall rental fee -Paragon Market</t>
  </si>
  <si>
    <t>Operating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</si>
</sst>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9"/>
      <color rgb="FF0000FF"/>
      <name val="Arial"/>
      <family val="2"/>
    </font>
    <font>
      <sz val="11"/>
      <color rgb="FF0033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1" xfId="0" applyBorder="1"/>
    <xf numFmtId="43" fontId="0" fillId="0" borderId="1" xfId="1" applyFont="1" applyBorder="1"/>
    <xf numFmtId="0" fontId="3" fillId="0" borderId="1" xfId="0" applyFont="1" applyBorder="1"/>
    <xf numFmtId="43" fontId="3" fillId="0" borderId="1" xfId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43" fontId="2" fillId="0" borderId="1" xfId="1" applyFont="1" applyBorder="1"/>
    <xf numFmtId="0" fontId="4" fillId="0" borderId="1" xfId="0" applyFont="1" applyBorder="1"/>
    <xf numFmtId="43" fontId="4" fillId="0" borderId="1" xfId="1" applyFont="1" applyBorder="1"/>
    <xf numFmtId="43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4" fontId="5" fillId="0" borderId="2" xfId="0" applyNumberFormat="1" applyFont="1" applyBorder="1" applyAlignment="1">
      <alignment horizontal="center" vertical="center" wrapText="1"/>
    </xf>
    <xf numFmtId="43" fontId="5" fillId="0" borderId="2" xfId="1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horizontal="center" vertical="center" wrapText="1"/>
    </xf>
    <xf numFmtId="43" fontId="7" fillId="0" borderId="1" xfId="1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3" fontId="0" fillId="0" borderId="1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abSelected="1" topLeftCell="B26" zoomScale="130" zoomScaleNormal="130" workbookViewId="0">
      <selection activeCell="H45" sqref="H45"/>
    </sheetView>
  </sheetViews>
  <sheetFormatPr defaultRowHeight="15" x14ac:dyDescent="0.25"/>
  <cols>
    <col min="1" max="1" width="4" customWidth="1"/>
    <col min="2" max="2" width="32" customWidth="1"/>
    <col min="3" max="9" width="16.42578125" customWidth="1"/>
  </cols>
  <sheetData>
    <row r="2" spans="1:9" x14ac:dyDescent="0.25">
      <c r="A2" s="1" t="s">
        <v>1</v>
      </c>
    </row>
    <row r="4" spans="1:9" x14ac:dyDescent="0.25">
      <c r="A4" s="21" t="s">
        <v>0</v>
      </c>
      <c r="B4" s="21"/>
      <c r="C4" s="7">
        <v>2014</v>
      </c>
      <c r="D4" s="7">
        <v>2015</v>
      </c>
      <c r="E4" s="7">
        <v>2016</v>
      </c>
    </row>
    <row r="5" spans="1:9" x14ac:dyDescent="0.25">
      <c r="A5" s="21"/>
      <c r="B5" s="21"/>
      <c r="C5" s="7" t="s">
        <v>14</v>
      </c>
      <c r="D5" s="7" t="s">
        <v>14</v>
      </c>
      <c r="E5" s="7" t="s">
        <v>14</v>
      </c>
    </row>
    <row r="6" spans="1:9" x14ac:dyDescent="0.25">
      <c r="A6" s="8" t="s">
        <v>2</v>
      </c>
      <c r="B6" s="8"/>
      <c r="C6" s="9"/>
      <c r="D6" s="9"/>
      <c r="E6" s="9"/>
    </row>
    <row r="7" spans="1:9" x14ac:dyDescent="0.25">
      <c r="A7" s="8"/>
      <c r="B7" s="8" t="s">
        <v>15</v>
      </c>
      <c r="C7" s="9">
        <v>8823707.7899999991</v>
      </c>
      <c r="D7" s="9">
        <v>8888842.1400000006</v>
      </c>
      <c r="E7" s="9">
        <v>9895557.6899999995</v>
      </c>
      <c r="H7" s="13">
        <f>(D7-C7)/C7</f>
        <v>7.3817437691917828E-3</v>
      </c>
      <c r="I7" s="13">
        <f>(E7-D7)/D7</f>
        <v>0.11325609501711759</v>
      </c>
    </row>
    <row r="8" spans="1:9" x14ac:dyDescent="0.25">
      <c r="A8" s="8"/>
      <c r="B8" s="8" t="s">
        <v>3</v>
      </c>
      <c r="C8" s="9">
        <v>916083.9</v>
      </c>
      <c r="D8" s="9">
        <v>903623.5</v>
      </c>
      <c r="E8" s="9">
        <v>760061.98</v>
      </c>
    </row>
    <row r="9" spans="1:9" x14ac:dyDescent="0.25">
      <c r="A9" s="8"/>
      <c r="B9" s="10" t="s">
        <v>4</v>
      </c>
      <c r="C9" s="11">
        <f>SUM(C7:C8)</f>
        <v>9739791.6899999995</v>
      </c>
      <c r="D9" s="11">
        <f>SUM(D7:D8)</f>
        <v>9792465.6400000006</v>
      </c>
      <c r="E9" s="11">
        <f>SUM(E7:E8)</f>
        <v>10655619.67</v>
      </c>
      <c r="G9">
        <f>C10/C7</f>
        <v>0.59999999954667593</v>
      </c>
    </row>
    <row r="10" spans="1:9" x14ac:dyDescent="0.25">
      <c r="A10" s="8" t="s">
        <v>5</v>
      </c>
      <c r="B10" s="8"/>
      <c r="C10" s="9">
        <v>5294224.67</v>
      </c>
      <c r="D10" s="9">
        <v>5333305.29</v>
      </c>
      <c r="E10" s="9">
        <v>5937334.6100000003</v>
      </c>
    </row>
    <row r="11" spans="1:9" x14ac:dyDescent="0.25">
      <c r="A11" s="10" t="s">
        <v>6</v>
      </c>
      <c r="B11" s="10"/>
      <c r="C11" s="11">
        <f>C9-C10</f>
        <v>4445567.0199999996</v>
      </c>
      <c r="D11" s="11">
        <f>D9-D10</f>
        <v>4459160.3500000006</v>
      </c>
      <c r="E11" s="11">
        <f>E9-E10</f>
        <v>4718285.0599999996</v>
      </c>
    </row>
    <row r="12" spans="1:9" x14ac:dyDescent="0.25">
      <c r="A12" s="8" t="s">
        <v>7</v>
      </c>
      <c r="B12" s="8"/>
      <c r="C12" s="9"/>
      <c r="D12" s="9"/>
      <c r="E12" s="9"/>
    </row>
    <row r="13" spans="1:9" x14ac:dyDescent="0.25">
      <c r="A13" s="8"/>
      <c r="B13" s="8" t="s">
        <v>9</v>
      </c>
      <c r="C13" s="9">
        <f>C16-C15-C14</f>
        <v>2352489.5500000003</v>
      </c>
      <c r="D13" s="9">
        <f>D16-D15-D14</f>
        <v>2366936.1599999997</v>
      </c>
      <c r="E13" s="9">
        <f>E16-E15-E14</f>
        <v>2512799.8099999996</v>
      </c>
      <c r="G13" s="14">
        <f>C13/C16</f>
        <v>0.89143152139658499</v>
      </c>
      <c r="H13" s="14">
        <f>D13/D16</f>
        <v>0.89340721634096498</v>
      </c>
      <c r="I13" s="14">
        <f>E13/E16</f>
        <v>0.87795207739730918</v>
      </c>
    </row>
    <row r="14" spans="1:9" x14ac:dyDescent="0.25">
      <c r="A14" s="8"/>
      <c r="B14" s="8" t="s">
        <v>8</v>
      </c>
      <c r="C14" s="9">
        <v>271253.15000000002</v>
      </c>
      <c r="D14" s="9">
        <v>272396.90999999997</v>
      </c>
      <c r="E14" s="9">
        <v>336941.7</v>
      </c>
      <c r="G14" s="14">
        <f>C14/C16</f>
        <v>0.10278626240363792</v>
      </c>
      <c r="H14" s="14">
        <f>D14/D16</f>
        <v>0.10281703799860001</v>
      </c>
      <c r="I14" s="14">
        <f>E14/E16</f>
        <v>0.11772472454810516</v>
      </c>
    </row>
    <row r="15" spans="1:9" x14ac:dyDescent="0.25">
      <c r="A15" s="8"/>
      <c r="B15" s="8" t="s">
        <v>10</v>
      </c>
      <c r="C15" s="9">
        <v>15259.28</v>
      </c>
      <c r="D15" s="9">
        <v>10003.219999999999</v>
      </c>
      <c r="E15" s="9">
        <v>12373.49</v>
      </c>
      <c r="G15" s="14">
        <f>C15/C16</f>
        <v>5.7822161997771598E-3</v>
      </c>
      <c r="H15" s="14">
        <f>D15/D16</f>
        <v>3.7757456604348249E-3</v>
      </c>
      <c r="I15" s="14">
        <f>E15/E16</f>
        <v>4.3231980545855074E-3</v>
      </c>
    </row>
    <row r="16" spans="1:9" x14ac:dyDescent="0.25">
      <c r="A16" s="8"/>
      <c r="B16" s="8" t="s">
        <v>11</v>
      </c>
      <c r="C16" s="9">
        <f>2902443.06-263441.08</f>
        <v>2639001.98</v>
      </c>
      <c r="D16" s="9">
        <f>2914853.32-265517.03</f>
        <v>2649336.29</v>
      </c>
      <c r="E16" s="9">
        <f>3190546.64-328431.64</f>
        <v>2862115</v>
      </c>
      <c r="G16" s="13"/>
    </row>
    <row r="17" spans="1:9" x14ac:dyDescent="0.25">
      <c r="A17" s="10" t="s">
        <v>12</v>
      </c>
      <c r="B17" s="10"/>
      <c r="C17" s="11">
        <f>C11-C16</f>
        <v>1806565.0399999996</v>
      </c>
      <c r="D17" s="11">
        <f>D11-D16</f>
        <v>1809824.0600000005</v>
      </c>
      <c r="E17" s="11">
        <f>E11-E16</f>
        <v>1856170.0599999996</v>
      </c>
      <c r="G17" s="13"/>
    </row>
    <row r="18" spans="1:9" x14ac:dyDescent="0.25">
      <c r="A18" s="10" t="s">
        <v>13</v>
      </c>
      <c r="B18" s="10"/>
      <c r="C18" s="11">
        <f>C17/12</f>
        <v>150547.08666666664</v>
      </c>
      <c r="D18" s="11">
        <f>D17/12</f>
        <v>150818.67166666672</v>
      </c>
      <c r="E18" s="11">
        <f>E17/12</f>
        <v>154680.83833333329</v>
      </c>
      <c r="G18" s="13"/>
    </row>
    <row r="20" spans="1:9" x14ac:dyDescent="0.25">
      <c r="B20" t="s">
        <v>31</v>
      </c>
      <c r="C20" s="13">
        <f>C17/C9</f>
        <v>0.1854829238139486</v>
      </c>
      <c r="D20" s="13">
        <f>D17/D9</f>
        <v>0.18481801484268476</v>
      </c>
      <c r="E20" s="13">
        <f t="shared" ref="E20" si="0">E17/E9</f>
        <v>0.17419635060979982</v>
      </c>
    </row>
    <row r="22" spans="1:9" x14ac:dyDescent="0.25">
      <c r="A22" s="22" t="s">
        <v>0</v>
      </c>
      <c r="B22" s="22"/>
      <c r="C22" s="23" t="s">
        <v>34</v>
      </c>
      <c r="D22" s="23"/>
      <c r="E22" s="23"/>
      <c r="F22" s="4"/>
      <c r="G22" s="23" t="s">
        <v>35</v>
      </c>
      <c r="H22" s="23"/>
      <c r="I22" s="23"/>
    </row>
    <row r="23" spans="1:9" x14ac:dyDescent="0.25">
      <c r="A23" s="22"/>
      <c r="B23" s="22"/>
      <c r="C23" s="6">
        <v>2014</v>
      </c>
      <c r="D23" s="6">
        <v>2015</v>
      </c>
      <c r="E23" s="6">
        <v>2016</v>
      </c>
      <c r="F23" s="24">
        <v>2017</v>
      </c>
      <c r="G23" s="24">
        <v>2017</v>
      </c>
      <c r="H23" s="24">
        <v>2018</v>
      </c>
      <c r="I23" s="24">
        <v>2019</v>
      </c>
    </row>
    <row r="24" spans="1:9" x14ac:dyDescent="0.25">
      <c r="A24" s="22"/>
      <c r="B24" s="22"/>
      <c r="C24" s="6" t="s">
        <v>14</v>
      </c>
      <c r="D24" s="6" t="s">
        <v>14</v>
      </c>
      <c r="E24" s="6" t="s">
        <v>14</v>
      </c>
      <c r="F24" s="6" t="s">
        <v>36</v>
      </c>
      <c r="G24" s="6" t="s">
        <v>14</v>
      </c>
      <c r="H24" s="6" t="s">
        <v>14</v>
      </c>
      <c r="I24" s="6" t="s">
        <v>14</v>
      </c>
    </row>
    <row r="25" spans="1:9" x14ac:dyDescent="0.25">
      <c r="A25" s="2" t="s">
        <v>2</v>
      </c>
      <c r="B25" s="2"/>
      <c r="C25" s="3"/>
      <c r="D25" s="3"/>
      <c r="E25" s="3"/>
      <c r="F25" s="2"/>
      <c r="G25" s="2"/>
      <c r="H25" s="2"/>
      <c r="I25" s="2"/>
    </row>
    <row r="26" spans="1:9" x14ac:dyDescent="0.25">
      <c r="A26" s="2"/>
      <c r="B26" s="2" t="s">
        <v>38</v>
      </c>
      <c r="C26" s="3">
        <f>D26*0.9</f>
        <v>233280</v>
      </c>
      <c r="D26" s="3">
        <f>E26*1.2</f>
        <v>259200</v>
      </c>
      <c r="E26" s="20">
        <f>18000*12</f>
        <v>216000</v>
      </c>
      <c r="F26" s="25">
        <f>G26/12*5</f>
        <v>90000</v>
      </c>
      <c r="G26" s="25">
        <f>E26</f>
        <v>216000</v>
      </c>
      <c r="H26" s="25">
        <f>G26*1.05</f>
        <v>226800</v>
      </c>
      <c r="I26" s="25">
        <f>H26*1.05</f>
        <v>238140</v>
      </c>
    </row>
    <row r="27" spans="1:9" x14ac:dyDescent="0.25">
      <c r="A27" s="2"/>
      <c r="B27" s="2" t="s">
        <v>33</v>
      </c>
      <c r="C27" s="3">
        <f>D27*0.85</f>
        <v>255765</v>
      </c>
      <c r="D27" s="3">
        <f>E27*0.85</f>
        <v>300900</v>
      </c>
      <c r="E27" s="20">
        <f>29500*12</f>
        <v>354000</v>
      </c>
      <c r="F27" s="25">
        <f t="shared" ref="F27:F28" si="1">G27/12*5</f>
        <v>162250.00000000003</v>
      </c>
      <c r="G27" s="25">
        <f>E27*1.1</f>
        <v>389400.00000000006</v>
      </c>
      <c r="H27" s="25">
        <f>G27*1.1</f>
        <v>428340.00000000012</v>
      </c>
      <c r="I27" s="25">
        <f>H27*1.1</f>
        <v>471174.00000000017</v>
      </c>
    </row>
    <row r="28" spans="1:9" x14ac:dyDescent="0.25">
      <c r="A28" s="2"/>
      <c r="B28" s="2" t="s">
        <v>15</v>
      </c>
      <c r="C28" s="3">
        <f>D28*0.8975</f>
        <v>31631490</v>
      </c>
      <c r="D28" s="3">
        <f>E28*0.89</f>
        <v>35244000</v>
      </c>
      <c r="E28" s="3">
        <f>6000*12*550</f>
        <v>39600000</v>
      </c>
      <c r="F28" s="25">
        <f t="shared" si="1"/>
        <v>19800000</v>
      </c>
      <c r="G28" s="25">
        <f>E28*1.2</f>
        <v>47520000</v>
      </c>
      <c r="H28" s="25">
        <f>G28*1.12</f>
        <v>53222400.000000007</v>
      </c>
      <c r="I28" s="25">
        <f>H28*1.12</f>
        <v>59609088.000000015</v>
      </c>
    </row>
    <row r="29" spans="1:9" x14ac:dyDescent="0.25">
      <c r="A29" s="2"/>
      <c r="B29" s="2" t="s">
        <v>32</v>
      </c>
      <c r="C29" s="3">
        <f>D29*0.9</f>
        <v>43934400</v>
      </c>
      <c r="D29" s="3">
        <f>E29*0.9</f>
        <v>48816000</v>
      </c>
      <c r="E29" s="3">
        <f>2000*12*2260</f>
        <v>54240000</v>
      </c>
      <c r="F29" s="25">
        <f>G29/12*5</f>
        <v>27120000</v>
      </c>
      <c r="G29" s="25">
        <f>E29*1.2</f>
        <v>65088000</v>
      </c>
      <c r="H29" s="25">
        <f>G29*1.12</f>
        <v>72898560</v>
      </c>
      <c r="I29" s="25">
        <f>H29*1.12</f>
        <v>81646387.200000003</v>
      </c>
    </row>
    <row r="30" spans="1:9" x14ac:dyDescent="0.25">
      <c r="A30" s="2"/>
      <c r="B30" s="4" t="s">
        <v>4</v>
      </c>
      <c r="C30" s="5">
        <f>C26++C27+C28+C29</f>
        <v>76054935</v>
      </c>
      <c r="D30" s="5">
        <f t="shared" ref="D30:E30" si="2">D26++D27+D28+D29</f>
        <v>84620100</v>
      </c>
      <c r="E30" s="5">
        <f t="shared" si="2"/>
        <v>94410000</v>
      </c>
      <c r="F30" s="5">
        <f t="shared" ref="F30" si="3">F26++F27+F28+F29</f>
        <v>47172250</v>
      </c>
      <c r="G30" s="5">
        <f t="shared" ref="G30" si="4">G26++G27+G28+G29</f>
        <v>113213400</v>
      </c>
      <c r="H30" s="5">
        <f t="shared" ref="H30" si="5">H26++H27+H28+H29</f>
        <v>126776100</v>
      </c>
      <c r="I30" s="5">
        <f t="shared" ref="I30" si="6">I26++I27+I28+I29</f>
        <v>141964789.20000002</v>
      </c>
    </row>
    <row r="31" spans="1:9" x14ac:dyDescent="0.25">
      <c r="A31" s="2" t="s">
        <v>5</v>
      </c>
      <c r="B31" s="2"/>
      <c r="C31" s="2"/>
      <c r="D31" s="2"/>
      <c r="E31" s="2"/>
      <c r="F31" s="2"/>
      <c r="G31" s="25">
        <f>(G30-E30)/E30</f>
        <v>0.19916746107403877</v>
      </c>
      <c r="H31" s="25">
        <f>(H30-G30)/G30</f>
        <v>0.11979765646116096</v>
      </c>
      <c r="I31" s="25">
        <f>(I30-H30)/H30</f>
        <v>0.11980719709787585</v>
      </c>
    </row>
    <row r="32" spans="1:9" x14ac:dyDescent="0.25">
      <c r="A32" s="2"/>
      <c r="B32" s="2" t="s">
        <v>16</v>
      </c>
      <c r="C32" s="3">
        <f>C28*92%</f>
        <v>29100970.800000001</v>
      </c>
      <c r="D32" s="3">
        <f t="shared" ref="D32:E32" si="7">D28*92%</f>
        <v>32424480</v>
      </c>
      <c r="E32" s="3">
        <f t="shared" si="7"/>
        <v>36432000</v>
      </c>
      <c r="F32" s="3">
        <f t="shared" ref="F32:I32" si="8">F28*92%</f>
        <v>18216000</v>
      </c>
      <c r="G32" s="3">
        <f t="shared" si="8"/>
        <v>43718400</v>
      </c>
      <c r="H32" s="3">
        <f t="shared" si="8"/>
        <v>48964608.000000007</v>
      </c>
      <c r="I32" s="3">
        <f t="shared" si="8"/>
        <v>54840360.960000016</v>
      </c>
    </row>
    <row r="33" spans="1:9" x14ac:dyDescent="0.25">
      <c r="A33" s="2"/>
      <c r="B33" s="2" t="s">
        <v>17</v>
      </c>
      <c r="C33" s="3">
        <f>C29*87%</f>
        <v>38222928</v>
      </c>
      <c r="D33" s="3">
        <f t="shared" ref="D33:E33" si="9">D29*87%</f>
        <v>42469920</v>
      </c>
      <c r="E33" s="3">
        <f t="shared" si="9"/>
        <v>47188800</v>
      </c>
      <c r="F33" s="3">
        <f t="shared" ref="F33:I33" si="10">F29*87%</f>
        <v>23594400</v>
      </c>
      <c r="G33" s="3">
        <f t="shared" si="10"/>
        <v>56626560</v>
      </c>
      <c r="H33" s="3">
        <f t="shared" si="10"/>
        <v>63421747.200000003</v>
      </c>
      <c r="I33" s="3">
        <f t="shared" si="10"/>
        <v>71032356.864000008</v>
      </c>
    </row>
    <row r="34" spans="1:9" x14ac:dyDescent="0.25">
      <c r="A34" s="2"/>
      <c r="B34" s="2" t="s">
        <v>18</v>
      </c>
      <c r="C34" s="3">
        <f>C32+C33</f>
        <v>67323898.799999997</v>
      </c>
      <c r="D34" s="3">
        <f t="shared" ref="D34:E34" si="11">D32+D33</f>
        <v>74894400</v>
      </c>
      <c r="E34" s="3">
        <f t="shared" si="11"/>
        <v>83620800</v>
      </c>
      <c r="F34" s="3">
        <f t="shared" ref="F34" si="12">F32+F33</f>
        <v>41810400</v>
      </c>
      <c r="G34" s="3">
        <f t="shared" ref="G34" si="13">G32+G33</f>
        <v>100344960</v>
      </c>
      <c r="H34" s="3">
        <f t="shared" ref="H34" si="14">H32+H33</f>
        <v>112386355.20000002</v>
      </c>
      <c r="I34" s="3">
        <f t="shared" ref="I34" si="15">I32+I33</f>
        <v>125872717.82400003</v>
      </c>
    </row>
    <row r="35" spans="1:9" x14ac:dyDescent="0.25">
      <c r="A35" s="4" t="s">
        <v>6</v>
      </c>
      <c r="B35" s="4"/>
      <c r="C35" s="5">
        <f>C30-C34</f>
        <v>8731036.200000003</v>
      </c>
      <c r="D35" s="5">
        <f t="shared" ref="D35:E35" si="16">D30-D34</f>
        <v>9725700</v>
      </c>
      <c r="E35" s="5">
        <f t="shared" si="16"/>
        <v>10789200</v>
      </c>
      <c r="F35" s="5">
        <f t="shared" ref="F35" si="17">F30-F34</f>
        <v>5361850</v>
      </c>
      <c r="G35" s="5">
        <f t="shared" ref="G35" si="18">G30-G34</f>
        <v>12868440</v>
      </c>
      <c r="H35" s="5">
        <f t="shared" ref="H35" si="19">H30-H34</f>
        <v>14389744.799999982</v>
      </c>
      <c r="I35" s="5">
        <f t="shared" ref="I35" si="20">I30-I34</f>
        <v>16092071.375999987</v>
      </c>
    </row>
    <row r="36" spans="1:9" x14ac:dyDescent="0.25">
      <c r="A36" s="2" t="s">
        <v>37</v>
      </c>
      <c r="B36" s="2"/>
      <c r="C36" s="3"/>
      <c r="D36" s="3"/>
      <c r="E36" s="3"/>
      <c r="F36" s="2"/>
      <c r="G36" s="2"/>
      <c r="H36" s="2"/>
      <c r="I36" s="2"/>
    </row>
    <row r="37" spans="1:9" x14ac:dyDescent="0.25">
      <c r="A37" s="2"/>
      <c r="B37" s="2" t="s">
        <v>39</v>
      </c>
      <c r="C37" s="3">
        <f>C40-C39-C38</f>
        <v>4557600.8964000009</v>
      </c>
      <c r="D37" s="3">
        <f>D40-D39-D38</f>
        <v>4992201.8099999996</v>
      </c>
      <c r="E37" s="3">
        <f>E40-E39-E38</f>
        <v>5538096.3599999994</v>
      </c>
      <c r="F37" s="3">
        <f t="shared" ref="F37:I37" si="21">F40-F39-F38</f>
        <v>2752237.605</v>
      </c>
      <c r="G37" s="3">
        <f t="shared" si="21"/>
        <v>6605370.2519999994</v>
      </c>
      <c r="H37" s="3">
        <f t="shared" si="21"/>
        <v>7386256.0058399895</v>
      </c>
      <c r="I37" s="3">
        <f t="shared" si="21"/>
        <v>8260060.2373007927</v>
      </c>
    </row>
    <row r="38" spans="1:9" x14ac:dyDescent="0.25">
      <c r="A38" s="2"/>
      <c r="B38" s="2" t="s">
        <v>8</v>
      </c>
      <c r="C38" s="3">
        <f>C40*8%</f>
        <v>419089.73760000011</v>
      </c>
      <c r="D38" s="3">
        <f>D40*8%</f>
        <v>459053.04000000004</v>
      </c>
      <c r="E38" s="3">
        <f>E40*8%</f>
        <v>509250.24</v>
      </c>
      <c r="F38" s="3">
        <f t="shared" ref="F38:I38" si="22">F40*8%</f>
        <v>253079.32</v>
      </c>
      <c r="G38" s="3">
        <f t="shared" si="22"/>
        <v>607390.36800000002</v>
      </c>
      <c r="H38" s="3">
        <f t="shared" si="22"/>
        <v>679195.95455999917</v>
      </c>
      <c r="I38" s="3">
        <f t="shared" si="22"/>
        <v>759545.76894719934</v>
      </c>
    </row>
    <row r="39" spans="1:9" x14ac:dyDescent="0.25">
      <c r="A39" s="2"/>
      <c r="B39" s="2" t="s">
        <v>10</v>
      </c>
      <c r="C39" s="3">
        <f>C40*5%</f>
        <v>261931.0860000001</v>
      </c>
      <c r="D39" s="3">
        <f t="shared" ref="D39:E39" si="23">D40*5%</f>
        <v>286908.15000000002</v>
      </c>
      <c r="E39" s="3">
        <f t="shared" si="23"/>
        <v>318281.40000000002</v>
      </c>
      <c r="F39" s="3">
        <f t="shared" ref="F39" si="24">F40*5%</f>
        <v>158174.57500000001</v>
      </c>
      <c r="G39" s="3">
        <f t="shared" ref="G39" si="25">G40*5%</f>
        <v>379618.98</v>
      </c>
      <c r="H39" s="3">
        <f t="shared" ref="H39" si="26">H40*5%</f>
        <v>424497.47159999947</v>
      </c>
      <c r="I39" s="3">
        <f t="shared" ref="I39" si="27">I40*5%</f>
        <v>474716.1055919996</v>
      </c>
    </row>
    <row r="40" spans="1:9" x14ac:dyDescent="0.25">
      <c r="A40" s="2"/>
      <c r="B40" s="2" t="s">
        <v>11</v>
      </c>
      <c r="C40" s="3">
        <f>C35*60%</f>
        <v>5238621.7200000016</v>
      </c>
      <c r="D40" s="3">
        <f>D35*59%</f>
        <v>5738163</v>
      </c>
      <c r="E40" s="3">
        <f>E35*59%</f>
        <v>6365628</v>
      </c>
      <c r="F40" s="3">
        <f t="shared" ref="F40:I40" si="28">F35*59%</f>
        <v>3163491.5</v>
      </c>
      <c r="G40" s="3">
        <f t="shared" si="28"/>
        <v>7592379.5999999996</v>
      </c>
      <c r="H40" s="3">
        <f t="shared" si="28"/>
        <v>8489949.4319999889</v>
      </c>
      <c r="I40" s="3">
        <f t="shared" si="28"/>
        <v>9494322.1118399911</v>
      </c>
    </row>
    <row r="41" spans="1:9" x14ac:dyDescent="0.25">
      <c r="A41" s="4" t="s">
        <v>12</v>
      </c>
      <c r="B41" s="4"/>
      <c r="C41" s="5">
        <f>C35-C40</f>
        <v>3492414.4800000014</v>
      </c>
      <c r="D41" s="5">
        <f>D35-D40</f>
        <v>3987537</v>
      </c>
      <c r="E41" s="5">
        <f>E35-E40</f>
        <v>4423572</v>
      </c>
      <c r="F41" s="5">
        <f t="shared" ref="F41:I41" si="29">F35-F40</f>
        <v>2198358.5</v>
      </c>
      <c r="G41" s="5">
        <f t="shared" si="29"/>
        <v>5276060.4000000004</v>
      </c>
      <c r="H41" s="5">
        <f t="shared" si="29"/>
        <v>5899795.3679999933</v>
      </c>
      <c r="I41" s="5">
        <f t="shared" si="29"/>
        <v>6597749.2641599961</v>
      </c>
    </row>
    <row r="42" spans="1:9" x14ac:dyDescent="0.25">
      <c r="A42" s="4" t="s">
        <v>13</v>
      </c>
      <c r="B42" s="4"/>
      <c r="C42" s="5">
        <f>C41/12</f>
        <v>291034.5400000001</v>
      </c>
      <c r="D42" s="5">
        <f>D41/12</f>
        <v>332294.75</v>
      </c>
      <c r="E42" s="5">
        <f>E41/12</f>
        <v>368631</v>
      </c>
      <c r="F42" s="5">
        <f>F41/5</f>
        <v>439671.7</v>
      </c>
      <c r="G42" s="5">
        <f t="shared" ref="G42:I42" si="30">G41/12</f>
        <v>439671.7</v>
      </c>
      <c r="H42" s="5">
        <f t="shared" si="30"/>
        <v>491649.61399999942</v>
      </c>
      <c r="I42" s="5">
        <f t="shared" si="30"/>
        <v>549812.43867999967</v>
      </c>
    </row>
    <row r="44" spans="1:9" x14ac:dyDescent="0.25">
      <c r="C44" s="12"/>
      <c r="G44" s="12">
        <f>(G34-E34)/E34</f>
        <v>0.2</v>
      </c>
      <c r="H44" s="12">
        <f>(H34-G34)/G34</f>
        <v>0.12000000000000018</v>
      </c>
    </row>
    <row r="45" spans="1:9" x14ac:dyDescent="0.25">
      <c r="B45" t="s">
        <v>31</v>
      </c>
      <c r="C45" s="14">
        <f>C41/C30</f>
        <v>4.5919630067398014E-2</v>
      </c>
      <c r="D45" s="14">
        <f>D41/D30</f>
        <v>4.7122811246973234E-2</v>
      </c>
      <c r="E45" s="14">
        <f>E41/E30</f>
        <v>4.6854909437559579E-2</v>
      </c>
    </row>
  </sheetData>
  <mergeCells count="4">
    <mergeCell ref="A4:B5"/>
    <mergeCell ref="C22:E22"/>
    <mergeCell ref="G22:I22"/>
    <mergeCell ref="A22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4"/>
  <sheetViews>
    <sheetView workbookViewId="0">
      <selection activeCell="B20" sqref="B20"/>
    </sheetView>
  </sheetViews>
  <sheetFormatPr defaultRowHeight="15" x14ac:dyDescent="0.25"/>
  <cols>
    <col min="2" max="2" width="46" customWidth="1"/>
    <col min="3" max="5" width="23.5703125" customWidth="1"/>
  </cols>
  <sheetData>
    <row r="6" spans="2:5" ht="48" x14ac:dyDescent="0.25">
      <c r="B6" s="15" t="s">
        <v>19</v>
      </c>
      <c r="C6" s="15" t="s">
        <v>20</v>
      </c>
      <c r="D6" s="15" t="s">
        <v>21</v>
      </c>
      <c r="E6" s="15" t="s">
        <v>22</v>
      </c>
    </row>
    <row r="7" spans="2:5" ht="15.75" customHeight="1" x14ac:dyDescent="0.25">
      <c r="B7" s="16" t="s">
        <v>23</v>
      </c>
      <c r="C7" s="17">
        <f>(Sheet1!E28+Sheet1!E29)/12</f>
        <v>7820000</v>
      </c>
      <c r="D7" s="17"/>
      <c r="E7" s="16"/>
    </row>
    <row r="8" spans="2:5" ht="15.75" customHeight="1" x14ac:dyDescent="0.25">
      <c r="B8" s="16" t="s">
        <v>24</v>
      </c>
      <c r="C8" s="15">
        <v>30</v>
      </c>
      <c r="D8" s="15"/>
      <c r="E8" s="16"/>
    </row>
    <row r="9" spans="2:5" ht="15.75" customHeight="1" x14ac:dyDescent="0.25">
      <c r="B9" s="16" t="s">
        <v>25</v>
      </c>
      <c r="C9" s="15">
        <v>35</v>
      </c>
      <c r="D9" s="15"/>
      <c r="E9" s="16"/>
    </row>
    <row r="10" spans="2:5" ht="15.75" customHeight="1" x14ac:dyDescent="0.25">
      <c r="B10" s="16" t="s">
        <v>26</v>
      </c>
      <c r="C10" s="15">
        <v>0</v>
      </c>
      <c r="D10" s="15"/>
      <c r="E10" s="15"/>
    </row>
    <row r="11" spans="2:5" ht="15.75" customHeight="1" x14ac:dyDescent="0.25">
      <c r="B11" s="16" t="s">
        <v>27</v>
      </c>
      <c r="C11" s="18">
        <f>(C8+C9-C10)/30</f>
        <v>2.1666666666666665</v>
      </c>
      <c r="D11" s="18"/>
      <c r="E11" s="15"/>
    </row>
    <row r="12" spans="2:5" ht="15.75" customHeight="1" x14ac:dyDescent="0.25">
      <c r="B12" s="16" t="s">
        <v>28</v>
      </c>
      <c r="C12" s="17">
        <f>C7*C11</f>
        <v>16943333.333333332</v>
      </c>
      <c r="D12" s="17"/>
      <c r="E12" s="15"/>
    </row>
    <row r="13" spans="2:5" ht="51.75" customHeight="1" x14ac:dyDescent="0.25">
      <c r="B13" s="16" t="s">
        <v>29</v>
      </c>
      <c r="C13" s="19">
        <v>16000000</v>
      </c>
      <c r="D13" s="19"/>
      <c r="E13" s="15"/>
    </row>
    <row r="14" spans="2:5" ht="15.75" customHeight="1" x14ac:dyDescent="0.25">
      <c r="B14" s="16" t="s">
        <v>30</v>
      </c>
      <c r="C14" s="19">
        <f>C13-C12</f>
        <v>-943333.33333333209</v>
      </c>
      <c r="D14" s="19"/>
      <c r="E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User</cp:lastModifiedBy>
  <cp:lastPrinted>2017-06-20T07:59:08Z</cp:lastPrinted>
  <dcterms:created xsi:type="dcterms:W3CDTF">2017-06-20T04:10:03Z</dcterms:created>
  <dcterms:modified xsi:type="dcterms:W3CDTF">2017-06-25T14:47:31Z</dcterms:modified>
</cp:coreProperties>
</file>