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lu/Desktop/Product/A:B testing/"/>
    </mc:Choice>
  </mc:AlternateContent>
  <xr:revisionPtr revIDLastSave="0" documentId="13_ncr:1_{E5263F68-9AD1-A64E-9CF1-150B10553CC7}" xr6:coauthVersionLast="36" xr6:coauthVersionMax="36" xr10:uidLastSave="{00000000-0000-0000-0000-000000000000}"/>
  <bookViews>
    <workbookView xWindow="2180" yWindow="460" windowWidth="25600" windowHeight="14280" xr2:uid="{00000000-000D-0000-FFFF-FFFF00000000}"/>
  </bookViews>
  <sheets>
    <sheet name="Control" sheetId="1" r:id="rId1"/>
    <sheet name="Experiment" sheetId="2" r:id="rId2"/>
    <sheet name="baseline" sheetId="3" r:id="rId3"/>
  </sheets>
  <calcPr calcId="181029"/>
</workbook>
</file>

<file path=xl/calcChain.xml><?xml version="1.0" encoding="utf-8"?>
<calcChain xmlns="http://schemas.openxmlformats.org/spreadsheetml/2006/main">
  <c r="M2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8" i="1"/>
  <c r="M29" i="1"/>
  <c r="M30" i="1"/>
  <c r="M31" i="1"/>
  <c r="M32" i="1"/>
  <c r="M33" i="1"/>
  <c r="M34" i="1"/>
  <c r="M35" i="1"/>
  <c r="M36" i="1"/>
  <c r="M37" i="1"/>
  <c r="M38" i="1"/>
  <c r="M2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8" i="1"/>
  <c r="I29" i="1"/>
  <c r="I30" i="1"/>
  <c r="I31" i="1"/>
  <c r="I32" i="1"/>
  <c r="I33" i="1"/>
  <c r="I34" i="1"/>
  <c r="I35" i="1"/>
  <c r="I36" i="1"/>
  <c r="I37" i="1"/>
  <c r="I38" i="1"/>
  <c r="I2" i="1"/>
  <c r="L5" i="1"/>
  <c r="L6" i="1"/>
  <c r="L9" i="1"/>
  <c r="L10" i="1"/>
  <c r="L13" i="1"/>
  <c r="L14" i="1"/>
  <c r="L17" i="1"/>
  <c r="L18" i="1"/>
  <c r="L21" i="1"/>
  <c r="L22" i="1"/>
  <c r="L2" i="1"/>
  <c r="K3" i="1"/>
  <c r="L3" i="1" s="1"/>
  <c r="K4" i="1"/>
  <c r="L4" i="1" s="1"/>
  <c r="K5" i="1"/>
  <c r="K6" i="1"/>
  <c r="K7" i="1"/>
  <c r="L7" i="1" s="1"/>
  <c r="K8" i="1"/>
  <c r="L8" i="1" s="1"/>
  <c r="K9" i="1"/>
  <c r="K10" i="1"/>
  <c r="K11" i="1"/>
  <c r="L11" i="1" s="1"/>
  <c r="K12" i="1"/>
  <c r="L12" i="1" s="1"/>
  <c r="K13" i="1"/>
  <c r="K14" i="1"/>
  <c r="K15" i="1"/>
  <c r="L15" i="1" s="1"/>
  <c r="K16" i="1"/>
  <c r="L16" i="1" s="1"/>
  <c r="K17" i="1"/>
  <c r="K18" i="1"/>
  <c r="K19" i="1"/>
  <c r="L19" i="1" s="1"/>
  <c r="K20" i="1"/>
  <c r="L20" i="1" s="1"/>
  <c r="K21" i="1"/>
  <c r="K22" i="1"/>
  <c r="K23" i="1"/>
  <c r="L23" i="1" s="1"/>
  <c r="K24" i="1"/>
  <c r="L24" i="1" s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C54" i="1"/>
  <c r="C55" i="1" s="1"/>
  <c r="B54" i="1"/>
  <c r="B55" i="1" s="1"/>
  <c r="C52" i="1"/>
  <c r="C51" i="1"/>
  <c r="B52" i="1"/>
  <c r="B51" i="1"/>
  <c r="B5" i="3"/>
  <c r="B4" i="3"/>
  <c r="C53" i="1" l="1"/>
  <c r="C56" i="1" s="1"/>
  <c r="B53" i="1"/>
  <c r="B57" i="1" s="1"/>
  <c r="D43" i="1"/>
  <c r="C43" i="1"/>
  <c r="C42" i="1"/>
  <c r="B43" i="1"/>
  <c r="B42" i="1"/>
  <c r="D42" i="1"/>
  <c r="E14" i="3"/>
  <c r="E11" i="3"/>
  <c r="E12" i="3"/>
  <c r="E10" i="3"/>
  <c r="D11" i="3"/>
  <c r="D12" i="3"/>
  <c r="D10" i="3"/>
  <c r="D7" i="3"/>
  <c r="D3" i="3"/>
  <c r="D6" i="3" s="1"/>
  <c r="D5" i="3"/>
  <c r="D2" i="3"/>
  <c r="O4" i="1"/>
  <c r="O3" i="1"/>
  <c r="O6" i="1" s="1"/>
  <c r="O2" i="1"/>
  <c r="C57" i="1" l="1"/>
  <c r="B56" i="1"/>
  <c r="B45" i="1"/>
  <c r="B47" i="1" s="1"/>
  <c r="B44" i="1"/>
  <c r="O7" i="1"/>
  <c r="C45" i="1"/>
  <c r="C46" i="1" s="1"/>
  <c r="D44" i="1"/>
  <c r="C44" i="1"/>
  <c r="D45" i="1"/>
  <c r="D46" i="1" s="1"/>
  <c r="D47" i="1" s="1"/>
  <c r="C47" i="1" l="1"/>
  <c r="B46" i="1"/>
</calcChain>
</file>

<file path=xl/sharedStrings.xml><?xml version="1.0" encoding="utf-8"?>
<sst xmlns="http://schemas.openxmlformats.org/spreadsheetml/2006/main" count="141" uniqueCount="92">
  <si>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</si>
  <si>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</si>
  <si>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</si>
  <si>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</si>
  <si>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</si>
  <si>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</si>
  <si>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</si>
  <si>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</si>
  <si>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</si>
  <si>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</si>
  <si>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</si>
  <si>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</si>
  <si>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</si>
  <si>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</si>
  <si>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</si>
  <si>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</si>
  <si>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</si>
  <si>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</si>
  <si>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</si>
  <si>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</si>
  <si>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</si>
  <si>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</si>
  <si>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</si>
  <si>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</si>
  <si>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</si>
  <si>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</si>
  <si>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</si>
  <si>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</si>
  <si>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</si>
  <si>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</si>
  <si>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</si>
  <si>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</si>
  <si>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</si>
  <si>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</si>
  <si>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</si>
  <si>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</si>
  <si>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</si>
  <si>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</si>
  <si>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</si>
  <si>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</si>
  <si>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</si>
  <si>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</si>
  <si>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 xml:space="preserve">num of clicks: </t>
  </si>
  <si>
    <t xml:space="preserve">num of enrollments: </t>
  </si>
  <si>
    <t>overall gross conversioin</t>
  </si>
  <si>
    <t xml:space="preserve">num of payments: </t>
  </si>
  <si>
    <t>retention</t>
  </si>
  <si>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</si>
  <si>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</si>
  <si>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</si>
  <si>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</si>
  <si>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</si>
  <si>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</si>
  <si>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</si>
  <si>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per group</t>
  </si>
  <si>
    <t>total</t>
  </si>
  <si>
    <t># pageviews</t>
  </si>
  <si>
    <t xml:space="preserve">gross conversion (number of clicks): </t>
  </si>
  <si>
    <t>retention (number of users):</t>
  </si>
  <si>
    <t>net conversion (number of clikcks)</t>
  </si>
  <si>
    <t>Control</t>
  </si>
  <si>
    <t>Experiment</t>
  </si>
  <si>
    <t>total pageviews</t>
  </si>
  <si>
    <t>total number of clicks</t>
  </si>
  <si>
    <t>probability</t>
  </si>
  <si>
    <t>pooled std error</t>
  </si>
  <si>
    <t>confidence interval lower</t>
  </si>
  <si>
    <t>confidence interval upper</t>
  </si>
  <si>
    <t>Sanity Check</t>
  </si>
  <si>
    <t>click-through-probability</t>
  </si>
  <si>
    <t>Gross Conversion</t>
  </si>
  <si>
    <t>Net converesion</t>
  </si>
  <si>
    <t>standard error</t>
  </si>
  <si>
    <t>diff</t>
  </si>
  <si>
    <t>lower</t>
  </si>
  <si>
    <t>upper</t>
  </si>
  <si>
    <t>statistically significant?</t>
  </si>
  <si>
    <t>Yes</t>
  </si>
  <si>
    <t>No</t>
  </si>
  <si>
    <t>pratically significant?</t>
  </si>
  <si>
    <t>pooled std</t>
  </si>
  <si>
    <t>pooled metrics</t>
  </si>
  <si>
    <t>Effect Size</t>
  </si>
  <si>
    <t>gross conversion_control</t>
  </si>
  <si>
    <t>gross_conversion_exp</t>
  </si>
  <si>
    <t>gross_conversion_diff</t>
  </si>
  <si>
    <t>net conversoin_control</t>
  </si>
  <si>
    <t>net conversion_exp</t>
  </si>
  <si>
    <t>net_conversion_exp</t>
  </si>
  <si>
    <t>Number of Trail</t>
  </si>
  <si>
    <t>Number of  success</t>
  </si>
  <si>
    <t>Number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</si>
</sst>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2" borderId="0" xfId="0" applyFont="1" applyFill="1" applyAlignment="1"/>
    <xf numFmtId="164" fontId="0" fillId="0" borderId="0" xfId="0" applyNumberFormat="1" applyFont="1" applyAlignment="1"/>
    <xf numFmtId="0" fontId="4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9"/>
  <sheetViews>
    <sheetView tabSelected="1" zoomScale="150" workbookViewId="0">
      <pane ySplit="1" topLeftCell="A2" activePane="bottomLeft" state="frozen"/>
      <selection pane="bottomLeft" activeCell="M27" sqref="M27"/>
    </sheetView>
  </sheetViews>
  <sheetFormatPr baseColWidth="10" defaultColWidth="14.5" defaultRowHeight="15.75" customHeight="1" x14ac:dyDescent="0.15"/>
  <cols>
    <col min="1" max="1" width="20.33203125" bestFit="1" customWidth="1"/>
    <col min="3" max="3" width="17.5" bestFit="1" customWidth="1"/>
    <col min="4" max="4" width="19.33203125" bestFit="1" customWidth="1"/>
    <col min="5" max="5" width="18.6640625" bestFit="1" customWidth="1"/>
    <col min="6" max="6" width="20.5" bestFit="1" customWidth="1"/>
    <col min="7" max="7" width="18.6640625" bestFit="1" customWidth="1"/>
    <col min="8" max="9" width="18.6640625" customWidth="1"/>
    <col min="10" max="10" width="18.83203125" bestFit="1" customWidth="1"/>
    <col min="11" max="11" width="16.5" bestFit="1" customWidth="1"/>
    <col min="12" max="13" width="16.5" customWidth="1"/>
    <col min="14" max="14" width="20.1640625" bestFit="1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83</v>
      </c>
      <c r="G1" s="4" t="s">
        <v>84</v>
      </c>
      <c r="H1" s="4" t="s">
        <v>85</v>
      </c>
      <c r="I1" s="4"/>
      <c r="J1" s="4" t="s">
        <v>86</v>
      </c>
      <c r="K1" s="4" t="s">
        <v>87</v>
      </c>
      <c r="L1" s="4" t="s">
        <v>88</v>
      </c>
      <c r="M1" s="4"/>
    </row>
    <row r="2" spans="1:15" ht="15.75" customHeight="1" x14ac:dyDescent="0.15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F2" s="2">
        <f>(D2)/(C2)</f>
        <v>0.1950509461426492</v>
      </c>
      <c r="G2" s="2">
        <f>(Experiment!D2)/(Experiment!C2)</f>
        <v>0.15306122448979592</v>
      </c>
      <c r="H2" s="2">
        <f>G2-F2</f>
        <v>-4.1989721652853279E-2</v>
      </c>
      <c r="I2" s="2" t="str">
        <f>IF(H2&lt;0, "yes", "")</f>
        <v>yes</v>
      </c>
      <c r="J2" s="2">
        <f>(E2) / (C2)</f>
        <v>0.10189228529839883</v>
      </c>
      <c r="K2" s="2">
        <f>(Experiment!E2) / (Experiment!C2)</f>
        <v>4.9562682215743441E-2</v>
      </c>
      <c r="L2" s="2">
        <f>K2-J2</f>
        <v>-5.2329603082655392E-2</v>
      </c>
      <c r="M2" s="2" t="str">
        <f>IF(L2&gt;0, "yes", "")</f>
        <v/>
      </c>
      <c r="N2" t="s">
        <v>43</v>
      </c>
      <c r="O2">
        <f xml:space="preserve"> SUM(D2:D24)</f>
        <v>3785</v>
      </c>
    </row>
    <row r="3" spans="1:15" ht="15.75" customHeight="1" x14ac:dyDescent="0.15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F3" s="2">
        <f t="shared" ref="F3:F24" si="0">(D3)/(C3)</f>
        <v>0.18870346598202825</v>
      </c>
      <c r="G3" s="2">
        <f>(Experiment!D3)/(Experiment!C3)</f>
        <v>0.14777070063694267</v>
      </c>
      <c r="H3" s="2">
        <f t="shared" ref="H3:H24" si="1">G3-F3</f>
        <v>-4.0932765345085581E-2</v>
      </c>
      <c r="I3" s="2" t="str">
        <f t="shared" ref="I3:I38" si="2">IF(H3&lt;0, "yes", "")</f>
        <v>yes</v>
      </c>
      <c r="J3" s="2">
        <f t="shared" ref="J3:J24" si="3">(E3) / (C3)</f>
        <v>8.9858793324775352E-2</v>
      </c>
      <c r="K3" s="2">
        <f>(Experiment!E3) / (Experiment!C3)</f>
        <v>0.11592356687898089</v>
      </c>
      <c r="L3" s="2">
        <f t="shared" ref="L3:L24" si="4">K3-J3</f>
        <v>2.6064773554205542E-2</v>
      </c>
      <c r="M3" s="2" t="str">
        <f t="shared" ref="M3:M38" si="5">IF(L3&gt;0, "yes", "")</f>
        <v>yes</v>
      </c>
      <c r="N3" t="s">
        <v>42</v>
      </c>
      <c r="O3">
        <f>SUM(C2:C24)</f>
        <v>17293</v>
      </c>
    </row>
    <row r="4" spans="1:15" ht="15.75" customHeight="1" x14ac:dyDescent="0.15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F4" s="2">
        <f t="shared" si="0"/>
        <v>0.18371837183718373</v>
      </c>
      <c r="G4" s="2">
        <f>(Experiment!D4)/(Experiment!C4)</f>
        <v>0.16402714932126697</v>
      </c>
      <c r="H4" s="2">
        <f t="shared" si="1"/>
        <v>-1.9691222515916762E-2</v>
      </c>
      <c r="I4" s="2" t="str">
        <f t="shared" si="2"/>
        <v>yes</v>
      </c>
      <c r="J4" s="2">
        <f t="shared" si="3"/>
        <v>0.10451045104510451</v>
      </c>
      <c r="K4" s="2">
        <f>(Experiment!E4) / (Experiment!C4)</f>
        <v>8.9366515837104074E-2</v>
      </c>
      <c r="L4" s="2">
        <f t="shared" si="4"/>
        <v>-1.5143935208000434E-2</v>
      </c>
      <c r="M4" s="2" t="str">
        <f t="shared" si="5"/>
        <v/>
      </c>
      <c r="N4" t="s">
        <v>45</v>
      </c>
      <c r="O4">
        <f>SUM(E2:E24)</f>
        <v>2033</v>
      </c>
    </row>
    <row r="5" spans="1:15" ht="15.75" customHeight="1" x14ac:dyDescent="0.15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 s="2">
        <f t="shared" si="0"/>
        <v>0.18660287081339713</v>
      </c>
      <c r="G5" s="2">
        <f>(Experiment!D5)/(Experiment!C5)</f>
        <v>0.16686819830713423</v>
      </c>
      <c r="H5" s="2">
        <f t="shared" si="1"/>
        <v>-1.9734672506262901E-2</v>
      </c>
      <c r="I5" s="2" t="str">
        <f t="shared" si="2"/>
        <v>yes</v>
      </c>
      <c r="J5" s="2">
        <f t="shared" si="3"/>
        <v>0.1255980861244019</v>
      </c>
      <c r="K5" s="2">
        <f>(Experiment!E5) / (Experiment!C5)</f>
        <v>0.11124546553808948</v>
      </c>
      <c r="L5" s="2">
        <f t="shared" si="4"/>
        <v>-1.4352620586312426E-2</v>
      </c>
      <c r="M5" s="2" t="str">
        <f t="shared" si="5"/>
        <v/>
      </c>
    </row>
    <row r="6" spans="1:15" ht="15.75" customHeight="1" x14ac:dyDescent="0.15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 s="2">
        <f t="shared" si="0"/>
        <v>0.19474313022700118</v>
      </c>
      <c r="G6" s="2">
        <f>(Experiment!D6)/(Experiment!C6)</f>
        <v>0.16826923076923078</v>
      </c>
      <c r="H6" s="2">
        <f t="shared" si="1"/>
        <v>-2.64738994577704E-2</v>
      </c>
      <c r="I6" s="2" t="str">
        <f t="shared" si="2"/>
        <v>yes</v>
      </c>
      <c r="J6" s="2">
        <f t="shared" si="3"/>
        <v>7.6463560334528072E-2</v>
      </c>
      <c r="K6" s="2">
        <f>(Experiment!E6) / (Experiment!C6)</f>
        <v>0.11298076923076923</v>
      </c>
      <c r="L6" s="2">
        <f t="shared" si="4"/>
        <v>3.651720889624116E-2</v>
      </c>
      <c r="M6" s="2" t="str">
        <f t="shared" si="5"/>
        <v>yes</v>
      </c>
      <c r="N6" t="s">
        <v>44</v>
      </c>
      <c r="O6">
        <f>O2/O3</f>
        <v>0.2188746891805933</v>
      </c>
    </row>
    <row r="7" spans="1:15" ht="15.75" customHeight="1" x14ac:dyDescent="0.15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 s="2">
        <f t="shared" si="0"/>
        <v>0.16767922235722965</v>
      </c>
      <c r="G7" s="2">
        <f>(Experiment!D7)/(Experiment!C7)</f>
        <v>0.16370558375634517</v>
      </c>
      <c r="H7" s="2">
        <f t="shared" si="1"/>
        <v>-3.9736386008844826E-3</v>
      </c>
      <c r="I7" s="2" t="str">
        <f t="shared" si="2"/>
        <v>yes</v>
      </c>
      <c r="J7" s="2">
        <f t="shared" si="3"/>
        <v>9.9635479951397321E-2</v>
      </c>
      <c r="K7" s="2">
        <f>(Experiment!E7) / (Experiment!C7)</f>
        <v>7.7411167512690351E-2</v>
      </c>
      <c r="L7" s="2">
        <f t="shared" si="4"/>
        <v>-2.222431243870697E-2</v>
      </c>
      <c r="M7" s="2" t="str">
        <f t="shared" si="5"/>
        <v/>
      </c>
      <c r="N7" t="s">
        <v>46</v>
      </c>
      <c r="O7">
        <f>O4/O2</f>
        <v>0.53712021136063404</v>
      </c>
    </row>
    <row r="8" spans="1:15" ht="15.75" customHeight="1" x14ac:dyDescent="0.15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 s="2">
        <f t="shared" si="0"/>
        <v>0.19518716577540107</v>
      </c>
      <c r="G8" s="2">
        <f>(Experiment!D8)/(Experiment!C8)</f>
        <v>0.16282051282051282</v>
      </c>
      <c r="H8" s="2">
        <f t="shared" si="1"/>
        <v>-3.2366652954888248E-2</v>
      </c>
      <c r="I8" s="2" t="str">
        <f t="shared" si="2"/>
        <v>yes</v>
      </c>
      <c r="J8" s="2">
        <f t="shared" si="3"/>
        <v>0.10160427807486631</v>
      </c>
      <c r="K8" s="2">
        <f>(Experiment!E8) / (Experiment!C8)</f>
        <v>5.6410256410256411E-2</v>
      </c>
      <c r="L8" s="2">
        <f t="shared" si="4"/>
        <v>-4.5194021664609903E-2</v>
      </c>
      <c r="M8" s="2" t="str">
        <f t="shared" si="5"/>
        <v/>
      </c>
    </row>
    <row r="9" spans="1:15" ht="15.75" customHeight="1" x14ac:dyDescent="0.15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F9" s="2">
        <f t="shared" si="0"/>
        <v>0.17405063291139242</v>
      </c>
      <c r="G9" s="2">
        <f>(Experiment!D9)/(Experiment!C9)</f>
        <v>0.14417177914110429</v>
      </c>
      <c r="H9" s="2">
        <f t="shared" si="1"/>
        <v>-2.9878853770288122E-2</v>
      </c>
      <c r="I9" s="2" t="str">
        <f t="shared" si="2"/>
        <v>yes</v>
      </c>
      <c r="J9" s="2">
        <f t="shared" si="3"/>
        <v>0.11075949367088607</v>
      </c>
      <c r="K9" s="2">
        <f>(Experiment!E9) / (Experiment!C9)</f>
        <v>9.5092024539877307E-2</v>
      </c>
      <c r="L9" s="2">
        <f t="shared" si="4"/>
        <v>-1.5667469131008763E-2</v>
      </c>
      <c r="M9" s="2" t="str">
        <f t="shared" si="5"/>
        <v/>
      </c>
    </row>
    <row r="10" spans="1:15" ht="15.75" customHeight="1" x14ac:dyDescent="0.1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F10" s="2">
        <f t="shared" si="0"/>
        <v>0.18958031837916064</v>
      </c>
      <c r="G10" s="2">
        <f>(Experiment!D10)/(Experiment!C10)</f>
        <v>0.17216642754662842</v>
      </c>
      <c r="H10" s="2">
        <f t="shared" si="1"/>
        <v>-1.7413890832532225E-2</v>
      </c>
      <c r="I10" s="2" t="str">
        <f t="shared" si="2"/>
        <v>yes</v>
      </c>
      <c r="J10" s="2">
        <f t="shared" si="3"/>
        <v>8.6830680173661356E-2</v>
      </c>
      <c r="K10" s="2">
        <f>(Experiment!E10) / (Experiment!C10)</f>
        <v>0.11047345767575323</v>
      </c>
      <c r="L10" s="2">
        <f t="shared" si="4"/>
        <v>2.3642777502091872E-2</v>
      </c>
      <c r="M10" s="2" t="str">
        <f t="shared" si="5"/>
        <v>yes</v>
      </c>
    </row>
    <row r="11" spans="1:15" ht="15.75" customHeight="1" x14ac:dyDescent="0.1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F11" s="2">
        <f t="shared" si="0"/>
        <v>0.19163763066202091</v>
      </c>
      <c r="G11" s="2">
        <f>(Experiment!D11)/(Experiment!C11)</f>
        <v>0.17790697674418604</v>
      </c>
      <c r="H11" s="2">
        <f t="shared" si="1"/>
        <v>-1.3730653917834873E-2</v>
      </c>
      <c r="I11" s="2" t="str">
        <f t="shared" si="2"/>
        <v>yes</v>
      </c>
      <c r="J11" s="2">
        <f t="shared" si="3"/>
        <v>0.11265969802555169</v>
      </c>
      <c r="K11" s="2">
        <f>(Experiment!E11) / (Experiment!C11)</f>
        <v>0.11395348837209303</v>
      </c>
      <c r="L11" s="2">
        <f t="shared" si="4"/>
        <v>1.2937903465413403E-3</v>
      </c>
      <c r="M11" s="2" t="str">
        <f t="shared" si="5"/>
        <v>yes</v>
      </c>
    </row>
    <row r="12" spans="1:15" ht="15.75" customHeight="1" x14ac:dyDescent="0.1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 s="2">
        <f t="shared" si="0"/>
        <v>0.22606689734717417</v>
      </c>
      <c r="G12" s="2">
        <f>(Experiment!D12)/(Experiment!C12)</f>
        <v>0.16550925925925927</v>
      </c>
      <c r="H12" s="2">
        <f t="shared" si="1"/>
        <v>-6.0557638087914895E-2</v>
      </c>
      <c r="I12" s="2" t="str">
        <f t="shared" si="2"/>
        <v>yes</v>
      </c>
      <c r="J12" s="2">
        <f t="shared" si="3"/>
        <v>0.12110726643598616</v>
      </c>
      <c r="K12" s="2">
        <f>(Experiment!E12) / (Experiment!C12)</f>
        <v>8.217592592592593E-2</v>
      </c>
      <c r="L12" s="2">
        <f t="shared" si="4"/>
        <v>-3.8931340510060225E-2</v>
      </c>
      <c r="M12" s="2" t="str">
        <f t="shared" si="5"/>
        <v/>
      </c>
    </row>
    <row r="13" spans="1:15" ht="15.75" customHeight="1" x14ac:dyDescent="0.1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 s="2">
        <f t="shared" si="0"/>
        <v>0.19331742243436753</v>
      </c>
      <c r="G13" s="2">
        <f>(Experiment!D13)/(Experiment!C13)</f>
        <v>0.15980024968789014</v>
      </c>
      <c r="H13" s="2">
        <f t="shared" si="1"/>
        <v>-3.3517172746477392E-2</v>
      </c>
      <c r="I13" s="2" t="str">
        <f t="shared" si="2"/>
        <v>yes</v>
      </c>
      <c r="J13" s="2">
        <f t="shared" si="3"/>
        <v>0.10978520286396182</v>
      </c>
      <c r="K13" s="2">
        <f>(Experiment!E13) / (Experiment!C13)</f>
        <v>8.7390761548064924E-2</v>
      </c>
      <c r="L13" s="2">
        <f t="shared" si="4"/>
        <v>-2.2394441315896893E-2</v>
      </c>
      <c r="M13" s="2" t="str">
        <f t="shared" si="5"/>
        <v/>
      </c>
    </row>
    <row r="14" spans="1:15" ht="15.75" customHeight="1" x14ac:dyDescent="0.1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 s="2">
        <f t="shared" si="0"/>
        <v>0.19097744360902255</v>
      </c>
      <c r="G14" s="2">
        <f>(Experiment!D14)/(Experiment!C14)</f>
        <v>0.19003115264797507</v>
      </c>
      <c r="H14" s="2">
        <f t="shared" si="1"/>
        <v>-9.4629096104748012E-4</v>
      </c>
      <c r="I14" s="2" t="str">
        <f t="shared" si="2"/>
        <v>yes</v>
      </c>
      <c r="J14" s="2">
        <f t="shared" si="3"/>
        <v>8.4210526315789472E-2</v>
      </c>
      <c r="K14" s="2">
        <f>(Experiment!E14) / (Experiment!C14)</f>
        <v>0.1059190031152648</v>
      </c>
      <c r="L14" s="2">
        <f t="shared" si="4"/>
        <v>2.1708476799475324E-2</v>
      </c>
      <c r="M14" s="2" t="str">
        <f t="shared" si="5"/>
        <v>yes</v>
      </c>
    </row>
    <row r="15" spans="1:15" ht="15.75" customHeight="1" x14ac:dyDescent="0.1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 s="2">
        <f t="shared" si="0"/>
        <v>0.32689450222882616</v>
      </c>
      <c r="G15" s="2">
        <f>(Experiment!D15)/(Experiment!C15)</f>
        <v>0.27833572453371591</v>
      </c>
      <c r="H15" s="2">
        <f t="shared" si="1"/>
        <v>-4.8558777695110245E-2</v>
      </c>
      <c r="I15" s="2" t="str">
        <f t="shared" si="2"/>
        <v>yes</v>
      </c>
      <c r="J15" s="2">
        <f t="shared" si="3"/>
        <v>0.1812778603268945</v>
      </c>
      <c r="K15" s="2">
        <f>(Experiment!E15) / (Experiment!C15)</f>
        <v>0.13486370157819225</v>
      </c>
      <c r="L15" s="2">
        <f t="shared" si="4"/>
        <v>-4.641415874870225E-2</v>
      </c>
      <c r="M15" s="2" t="str">
        <f t="shared" si="5"/>
        <v/>
      </c>
    </row>
    <row r="16" spans="1:15" ht="15.75" customHeight="1" x14ac:dyDescent="0.1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F16" s="2">
        <f t="shared" si="0"/>
        <v>0.25470332850940663</v>
      </c>
      <c r="G16" s="2">
        <f>(Experiment!D16)/(Experiment!C16)</f>
        <v>0.18983557548579971</v>
      </c>
      <c r="H16" s="2">
        <f t="shared" si="1"/>
        <v>-6.4867753023606922E-2</v>
      </c>
      <c r="I16" s="2" t="str">
        <f t="shared" si="2"/>
        <v>yes</v>
      </c>
      <c r="J16" s="2">
        <f t="shared" si="3"/>
        <v>0.18523878437047755</v>
      </c>
      <c r="K16" s="2">
        <f>(Experiment!E16) / (Experiment!C16)</f>
        <v>0.1210762331838565</v>
      </c>
      <c r="L16" s="2">
        <f t="shared" si="4"/>
        <v>-6.416255118662105E-2</v>
      </c>
      <c r="M16" s="2" t="str">
        <f t="shared" si="5"/>
        <v/>
      </c>
    </row>
    <row r="17" spans="1:14" ht="15.75" customHeight="1" x14ac:dyDescent="0.1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F17" s="2">
        <f t="shared" si="0"/>
        <v>0.22740112994350281</v>
      </c>
      <c r="G17" s="2">
        <f>(Experiment!D17)/(Experiment!C17)</f>
        <v>0.22077922077922077</v>
      </c>
      <c r="H17" s="2">
        <f t="shared" si="1"/>
        <v>-6.6219091642820416E-3</v>
      </c>
      <c r="I17" s="2" t="str">
        <f t="shared" si="2"/>
        <v>yes</v>
      </c>
      <c r="J17" s="2">
        <f t="shared" si="3"/>
        <v>0.14689265536723164</v>
      </c>
      <c r="K17" s="2">
        <f>(Experiment!E17) / (Experiment!C17)</f>
        <v>0.14574314574314573</v>
      </c>
      <c r="L17" s="2">
        <f t="shared" si="4"/>
        <v>-1.1495096240859148E-3</v>
      </c>
      <c r="M17" s="2" t="str">
        <f t="shared" si="5"/>
        <v/>
      </c>
    </row>
    <row r="18" spans="1:14" ht="15.75" customHeight="1" x14ac:dyDescent="0.1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F18" s="2">
        <f t="shared" si="0"/>
        <v>0.30698287220026349</v>
      </c>
      <c r="G18" s="2">
        <f>(Experiment!D18)/(Experiment!C18)</f>
        <v>0.27626459143968873</v>
      </c>
      <c r="H18" s="2">
        <f t="shared" si="1"/>
        <v>-3.0718280760574757E-2</v>
      </c>
      <c r="I18" s="2" t="str">
        <f t="shared" si="2"/>
        <v>yes</v>
      </c>
      <c r="J18" s="2">
        <f t="shared" si="3"/>
        <v>0.16337285902503293</v>
      </c>
      <c r="K18" s="2">
        <f>(Experiment!E18) / (Experiment!C18)</f>
        <v>0.15434500648508431</v>
      </c>
      <c r="L18" s="2">
        <f t="shared" si="4"/>
        <v>-9.0278525399486165E-3</v>
      </c>
      <c r="M18" s="2" t="str">
        <f t="shared" si="5"/>
        <v/>
      </c>
    </row>
    <row r="19" spans="1:14" ht="15.75" customHeight="1" x14ac:dyDescent="0.1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 s="2">
        <f t="shared" si="0"/>
        <v>0.20923913043478262</v>
      </c>
      <c r="G19" s="2">
        <f>(Experiment!D19)/(Experiment!C19)</f>
        <v>0.22010869565217392</v>
      </c>
      <c r="H19" s="2">
        <f t="shared" si="1"/>
        <v>1.0869565217391297E-2</v>
      </c>
      <c r="I19" s="2" t="str">
        <f t="shared" si="2"/>
        <v/>
      </c>
      <c r="J19" s="2">
        <f t="shared" si="3"/>
        <v>0.12364130434782608</v>
      </c>
      <c r="K19" s="2">
        <f>(Experiment!E19) / (Experiment!C19)</f>
        <v>0.16304347826086957</v>
      </c>
      <c r="L19" s="2">
        <f t="shared" si="4"/>
        <v>3.9402173913043487E-2</v>
      </c>
      <c r="M19" s="2" t="str">
        <f t="shared" si="5"/>
        <v>yes</v>
      </c>
    </row>
    <row r="20" spans="1:14" ht="15.75" customHeight="1" x14ac:dyDescent="0.1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 s="2">
        <f t="shared" si="0"/>
        <v>0.26522327469553453</v>
      </c>
      <c r="G20" s="2">
        <f>(Experiment!D20)/(Experiment!C20)</f>
        <v>0.27647867950481431</v>
      </c>
      <c r="H20" s="2">
        <f t="shared" si="1"/>
        <v>1.1255404809279779E-2</v>
      </c>
      <c r="I20" s="2" t="str">
        <f t="shared" si="2"/>
        <v/>
      </c>
      <c r="J20" s="2">
        <f t="shared" si="3"/>
        <v>0.11637347767253045</v>
      </c>
      <c r="K20" s="2">
        <f>(Experiment!E20) / (Experiment!C20)</f>
        <v>0.13204951856946354</v>
      </c>
      <c r="L20" s="2">
        <f t="shared" si="4"/>
        <v>1.5676040896933086E-2</v>
      </c>
      <c r="M20" s="2" t="str">
        <f t="shared" si="5"/>
        <v>yes</v>
      </c>
    </row>
    <row r="21" spans="1:14" ht="15.75" customHeight="1" x14ac:dyDescent="0.1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 s="2">
        <f t="shared" si="0"/>
        <v>0.22752043596730245</v>
      </c>
      <c r="G21" s="2">
        <f>(Experiment!D21)/(Experiment!C21)</f>
        <v>0.28434065934065933</v>
      </c>
      <c r="H21" s="2">
        <f t="shared" si="1"/>
        <v>5.6820223373356876E-2</v>
      </c>
      <c r="I21" s="2" t="str">
        <f t="shared" si="2"/>
        <v/>
      </c>
      <c r="J21" s="2">
        <f t="shared" si="3"/>
        <v>0.10217983651226158</v>
      </c>
      <c r="K21" s="2">
        <f>(Experiment!E21) / (Experiment!C21)</f>
        <v>9.2032967032967039E-2</v>
      </c>
      <c r="L21" s="2">
        <f t="shared" si="4"/>
        <v>-1.0146869479294537E-2</v>
      </c>
      <c r="M21" s="2" t="str">
        <f t="shared" si="5"/>
        <v/>
      </c>
    </row>
    <row r="22" spans="1:14" ht="15.75" customHeight="1" x14ac:dyDescent="0.1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 s="2">
        <f t="shared" si="0"/>
        <v>0.24645892351274787</v>
      </c>
      <c r="G22" s="2">
        <f>(Experiment!D22)/(Experiment!C22)</f>
        <v>0.25207756232686979</v>
      </c>
      <c r="H22" s="2">
        <f t="shared" si="1"/>
        <v>5.6186388141219179E-3</v>
      </c>
      <c r="I22" s="2" t="str">
        <f t="shared" si="2"/>
        <v/>
      </c>
      <c r="J22" s="2">
        <f t="shared" si="3"/>
        <v>0.14305949008498584</v>
      </c>
      <c r="K22" s="2">
        <f>(Experiment!E22) / (Experiment!C22)</f>
        <v>0.17036011080332411</v>
      </c>
      <c r="L22" s="2">
        <f t="shared" si="4"/>
        <v>2.7300620718338275E-2</v>
      </c>
      <c r="M22" s="2" t="str">
        <f t="shared" si="5"/>
        <v>yes</v>
      </c>
    </row>
    <row r="23" spans="1:14" ht="15.75" customHeight="1" x14ac:dyDescent="0.1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F23" s="2">
        <f t="shared" si="0"/>
        <v>0.22907488986784141</v>
      </c>
      <c r="G23" s="2">
        <f>(Experiment!D23)/(Experiment!C23)</f>
        <v>0.20431654676258992</v>
      </c>
      <c r="H23" s="2">
        <f t="shared" si="1"/>
        <v>-2.475834310525149E-2</v>
      </c>
      <c r="I23" s="2" t="str">
        <f t="shared" si="2"/>
        <v>yes</v>
      </c>
      <c r="J23" s="2">
        <f t="shared" si="3"/>
        <v>0.13656387665198239</v>
      </c>
      <c r="K23" s="2">
        <f>(Experiment!E23) / (Experiment!C23)</f>
        <v>0.14388489208633093</v>
      </c>
      <c r="L23" s="2">
        <f t="shared" si="4"/>
        <v>7.3210154343485434E-3</v>
      </c>
      <c r="M23" s="2" t="str">
        <f t="shared" si="5"/>
        <v>yes</v>
      </c>
    </row>
    <row r="24" spans="1:14" ht="15.75" customHeight="1" x14ac:dyDescent="0.1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F24" s="2">
        <f t="shared" si="0"/>
        <v>0.29725829725829728</v>
      </c>
      <c r="G24" s="2">
        <f>(Experiment!D24)/(Experiment!C24)</f>
        <v>0.25138121546961328</v>
      </c>
      <c r="H24" s="2">
        <f t="shared" si="1"/>
        <v>-4.5877081788683993E-2</v>
      </c>
      <c r="I24" s="2" t="str">
        <f t="shared" si="2"/>
        <v>yes</v>
      </c>
      <c r="J24" s="2">
        <f t="shared" si="3"/>
        <v>9.6681096681096687E-2</v>
      </c>
      <c r="K24" s="2">
        <f>(Experiment!E24) / (Experiment!C24)</f>
        <v>0.14226519337016574</v>
      </c>
      <c r="L24" s="2">
        <f t="shared" si="4"/>
        <v>4.5584096689069056E-2</v>
      </c>
      <c r="M24" s="2" t="str">
        <f t="shared" si="5"/>
        <v>yes</v>
      </c>
    </row>
    <row r="25" spans="1:14" ht="15.75" customHeight="1" x14ac:dyDescent="0.15">
      <c r="A25" s="1" t="s">
        <v>28</v>
      </c>
      <c r="B25" s="2">
        <v>9437</v>
      </c>
      <c r="C25" s="2">
        <v>788</v>
      </c>
      <c r="D25" s="1"/>
      <c r="E25" s="3"/>
      <c r="F25" s="3"/>
      <c r="G25" s="2"/>
      <c r="H25" s="2"/>
      <c r="I25" s="2" t="str">
        <f t="shared" si="2"/>
        <v/>
      </c>
      <c r="J25" s="3"/>
      <c r="M25" s="2" t="str">
        <f t="shared" si="5"/>
        <v/>
      </c>
    </row>
    <row r="26" spans="1:14" ht="15.75" customHeight="1" x14ac:dyDescent="0.15">
      <c r="A26" s="1" t="s">
        <v>29</v>
      </c>
      <c r="B26" s="2">
        <v>9420</v>
      </c>
      <c r="C26" s="2">
        <v>781</v>
      </c>
      <c r="D26" s="1"/>
      <c r="E26" s="10"/>
      <c r="F26" s="3"/>
      <c r="G26" s="2"/>
      <c r="H26" s="2" t="s">
        <v>90</v>
      </c>
      <c r="I26" s="2">
        <f>COUNTIF(I2:I24,"=yes")</f>
        <v>19</v>
      </c>
      <c r="J26" s="3"/>
      <c r="L26" s="5" t="s">
        <v>91</v>
      </c>
      <c r="M26" s="2">
        <f>COUNTIF(M2:M24, "=yes")</f>
        <v>10</v>
      </c>
    </row>
    <row r="27" spans="1:14" ht="15.75" customHeight="1" x14ac:dyDescent="0.15">
      <c r="A27" s="1" t="s">
        <v>30</v>
      </c>
      <c r="B27" s="2">
        <v>9570</v>
      </c>
      <c r="C27" s="2">
        <v>805</v>
      </c>
      <c r="D27" s="1"/>
      <c r="E27" s="3"/>
      <c r="F27" s="3"/>
      <c r="G27" s="2"/>
      <c r="H27" s="2" t="s">
        <v>89</v>
      </c>
      <c r="I27" s="2">
        <f>24-2+1</f>
        <v>23</v>
      </c>
      <c r="J27" s="3"/>
      <c r="L27" s="5" t="s">
        <v>89</v>
      </c>
      <c r="M27" s="2">
        <v>23</v>
      </c>
    </row>
    <row r="28" spans="1:14" ht="15.75" customHeight="1" x14ac:dyDescent="0.15">
      <c r="A28" s="1" t="s">
        <v>31</v>
      </c>
      <c r="B28" s="2">
        <v>9921</v>
      </c>
      <c r="C28" s="2">
        <v>830</v>
      </c>
      <c r="D28" s="1"/>
      <c r="E28" s="3"/>
      <c r="F28" s="10"/>
      <c r="G28" s="2"/>
      <c r="H28" s="2"/>
      <c r="I28" s="2" t="str">
        <f t="shared" si="2"/>
        <v/>
      </c>
      <c r="J28" s="10"/>
      <c r="K28" s="2"/>
      <c r="L28" s="2"/>
      <c r="M28" s="2" t="str">
        <f t="shared" si="5"/>
        <v/>
      </c>
      <c r="N28" s="2"/>
    </row>
    <row r="29" spans="1:14" ht="15.75" customHeight="1" x14ac:dyDescent="0.15">
      <c r="A29" s="1" t="s">
        <v>32</v>
      </c>
      <c r="B29" s="2">
        <v>9424</v>
      </c>
      <c r="C29" s="2">
        <v>781</v>
      </c>
      <c r="D29" s="1"/>
      <c r="E29" s="10"/>
      <c r="F29" s="3"/>
      <c r="G29" s="2"/>
      <c r="H29" s="2"/>
      <c r="I29" s="2" t="str">
        <f t="shared" si="2"/>
        <v/>
      </c>
      <c r="J29" s="3"/>
      <c r="K29" s="5"/>
      <c r="L29" s="5"/>
      <c r="M29" s="2" t="str">
        <f t="shared" si="5"/>
        <v/>
      </c>
      <c r="N29" s="5"/>
    </row>
    <row r="30" spans="1:14" ht="15.75" customHeight="1" x14ac:dyDescent="0.15">
      <c r="A30" s="1" t="s">
        <v>33</v>
      </c>
      <c r="B30" s="2">
        <v>9010</v>
      </c>
      <c r="C30" s="2">
        <v>756</v>
      </c>
      <c r="D30" s="1"/>
      <c r="E30" s="10"/>
      <c r="F30" s="3"/>
      <c r="G30" s="2"/>
      <c r="H30" s="2"/>
      <c r="I30" s="2" t="str">
        <f t="shared" si="2"/>
        <v/>
      </c>
      <c r="J30" s="3"/>
      <c r="K30" s="5"/>
      <c r="L30" s="5"/>
      <c r="M30" s="2" t="str">
        <f t="shared" si="5"/>
        <v/>
      </c>
      <c r="N30" s="5"/>
    </row>
    <row r="31" spans="1:14" ht="15.75" customHeight="1" x14ac:dyDescent="0.15">
      <c r="A31" s="1" t="s">
        <v>34</v>
      </c>
      <c r="B31" s="2">
        <v>9656</v>
      </c>
      <c r="C31" s="2">
        <v>825</v>
      </c>
      <c r="D31" s="1"/>
      <c r="E31" s="10"/>
      <c r="F31" s="3"/>
      <c r="G31" s="2"/>
      <c r="H31" s="2"/>
      <c r="I31" s="2" t="str">
        <f t="shared" si="2"/>
        <v/>
      </c>
      <c r="J31" s="3"/>
      <c r="M31" s="2" t="str">
        <f t="shared" si="5"/>
        <v/>
      </c>
    </row>
    <row r="32" spans="1:14" ht="15.75" customHeight="1" x14ac:dyDescent="0.15">
      <c r="A32" s="1" t="s">
        <v>35</v>
      </c>
      <c r="B32" s="2">
        <v>10419</v>
      </c>
      <c r="C32" s="2">
        <v>874</v>
      </c>
      <c r="D32" s="1"/>
      <c r="E32" s="4"/>
      <c r="G32" s="2"/>
      <c r="H32" s="2"/>
      <c r="I32" s="2" t="str">
        <f t="shared" si="2"/>
        <v/>
      </c>
      <c r="M32" s="2" t="str">
        <f t="shared" si="5"/>
        <v/>
      </c>
    </row>
    <row r="33" spans="1:13" ht="15.75" customHeight="1" x14ac:dyDescent="0.15">
      <c r="A33" s="1" t="s">
        <v>36</v>
      </c>
      <c r="B33" s="2">
        <v>9880</v>
      </c>
      <c r="C33" s="2">
        <v>830</v>
      </c>
      <c r="D33" s="1"/>
      <c r="E33" s="3"/>
      <c r="F33" s="3"/>
      <c r="G33" s="2"/>
      <c r="H33" s="2"/>
      <c r="I33" s="2" t="str">
        <f t="shared" si="2"/>
        <v/>
      </c>
      <c r="J33" s="3"/>
      <c r="M33" s="2" t="str">
        <f t="shared" si="5"/>
        <v/>
      </c>
    </row>
    <row r="34" spans="1:13" ht="15.75" customHeight="1" x14ac:dyDescent="0.15">
      <c r="A34" s="1" t="s">
        <v>37</v>
      </c>
      <c r="B34" s="2">
        <v>10134</v>
      </c>
      <c r="C34" s="2">
        <v>801</v>
      </c>
      <c r="D34" s="1"/>
      <c r="E34" s="10"/>
      <c r="F34" s="3"/>
      <c r="G34" s="2"/>
      <c r="H34" s="2"/>
      <c r="I34" s="2" t="str">
        <f t="shared" si="2"/>
        <v/>
      </c>
      <c r="J34" s="3"/>
      <c r="M34" s="2" t="str">
        <f t="shared" si="5"/>
        <v/>
      </c>
    </row>
    <row r="35" spans="1:13" ht="15.75" customHeight="1" x14ac:dyDescent="0.15">
      <c r="A35" s="1" t="s">
        <v>38</v>
      </c>
      <c r="B35" s="2">
        <v>9717</v>
      </c>
      <c r="C35" s="2">
        <v>814</v>
      </c>
      <c r="D35" s="1"/>
      <c r="E35" s="10"/>
      <c r="F35" s="3"/>
      <c r="G35" s="2"/>
      <c r="H35" s="2"/>
      <c r="I35" s="2" t="str">
        <f t="shared" si="2"/>
        <v/>
      </c>
      <c r="J35" s="3"/>
      <c r="M35" s="2" t="str">
        <f t="shared" si="5"/>
        <v/>
      </c>
    </row>
    <row r="36" spans="1:13" ht="15.75" customHeight="1" x14ac:dyDescent="0.15">
      <c r="A36" s="1" t="s">
        <v>39</v>
      </c>
      <c r="B36" s="2">
        <v>9192</v>
      </c>
      <c r="C36" s="2">
        <v>735</v>
      </c>
      <c r="D36" s="1"/>
      <c r="E36" s="10"/>
      <c r="F36" s="10"/>
      <c r="G36" s="2"/>
      <c r="H36" s="2"/>
      <c r="I36" s="2" t="str">
        <f t="shared" si="2"/>
        <v/>
      </c>
      <c r="J36" s="10"/>
      <c r="M36" s="2" t="str">
        <f t="shared" si="5"/>
        <v/>
      </c>
    </row>
    <row r="37" spans="1:13" ht="15.75" customHeight="1" x14ac:dyDescent="0.15">
      <c r="A37" s="1" t="s">
        <v>40</v>
      </c>
      <c r="B37" s="2">
        <v>8630</v>
      </c>
      <c r="C37" s="2">
        <v>743</v>
      </c>
      <c r="D37" s="1"/>
      <c r="E37" s="10"/>
      <c r="F37" s="10"/>
      <c r="G37" s="2"/>
      <c r="H37" s="2"/>
      <c r="I37" s="2" t="str">
        <f t="shared" si="2"/>
        <v/>
      </c>
      <c r="J37" s="10"/>
      <c r="M37" s="2" t="str">
        <f t="shared" si="5"/>
        <v/>
      </c>
    </row>
    <row r="38" spans="1:13" ht="15.75" customHeight="1" x14ac:dyDescent="0.15">
      <c r="A38" s="1" t="s">
        <v>41</v>
      </c>
      <c r="B38" s="2">
        <v>8970</v>
      </c>
      <c r="C38" s="2">
        <v>722</v>
      </c>
      <c r="D38" s="1"/>
      <c r="E38" s="3"/>
      <c r="F38" s="11"/>
      <c r="G38" s="2"/>
      <c r="H38" s="2"/>
      <c r="I38" s="2" t="str">
        <f t="shared" si="2"/>
        <v/>
      </c>
      <c r="J38" s="3"/>
      <c r="M38" s="2" t="str">
        <f t="shared" si="5"/>
        <v/>
      </c>
    </row>
    <row r="39" spans="1:13" ht="15.75" customHeight="1" x14ac:dyDescent="0.15">
      <c r="A39" s="4"/>
      <c r="B39" s="2"/>
      <c r="C39" s="2"/>
      <c r="D39" s="4"/>
      <c r="E39" s="3"/>
      <c r="F39" s="11"/>
      <c r="G39" s="11"/>
      <c r="H39" s="11"/>
      <c r="I39" s="11"/>
      <c r="J39" s="3"/>
    </row>
    <row r="40" spans="1:13" ht="15.75" customHeight="1" x14ac:dyDescent="0.15">
      <c r="A40" s="8" t="s">
        <v>68</v>
      </c>
      <c r="B40" s="2"/>
      <c r="C40" s="2"/>
      <c r="D40" s="1"/>
      <c r="E40" s="3"/>
      <c r="F40" s="3"/>
      <c r="G40" s="3"/>
      <c r="H40" s="3"/>
      <c r="I40" s="3"/>
      <c r="J40" s="3"/>
    </row>
    <row r="41" spans="1:13" ht="15.75" customHeight="1" x14ac:dyDescent="0.15">
      <c r="A41" s="1"/>
      <c r="B41" s="7" t="s">
        <v>62</v>
      </c>
      <c r="C41" s="7" t="s">
        <v>63</v>
      </c>
      <c r="D41" s="6" t="s">
        <v>69</v>
      </c>
      <c r="E41" s="3"/>
      <c r="F41" s="3"/>
      <c r="G41" s="3"/>
      <c r="H41" s="3"/>
      <c r="I41" s="3"/>
      <c r="J41" s="3"/>
    </row>
    <row r="42" spans="1:13" ht="15.75" customHeight="1" x14ac:dyDescent="0.15">
      <c r="A42" s="6" t="s">
        <v>60</v>
      </c>
      <c r="B42">
        <f>SUM(B2:B38)</f>
        <v>345543</v>
      </c>
      <c r="C42">
        <f>SUM(C2:C38)</f>
        <v>28378</v>
      </c>
      <c r="D42">
        <f>SUM(C2:C38)/SUM(B2:B38)</f>
        <v>8.2125813574576823E-2</v>
      </c>
    </row>
    <row r="43" spans="1:13" ht="15.75" customHeight="1" x14ac:dyDescent="0.15">
      <c r="A43" s="6" t="s">
        <v>61</v>
      </c>
      <c r="B43">
        <f>SUM(Experiment!B2:B38)</f>
        <v>344660</v>
      </c>
      <c r="C43">
        <f>SUM(Experiment!C2:C38)</f>
        <v>28325</v>
      </c>
      <c r="D43">
        <f>SUM(Experiment!C2:'Experiment'!C38)/SUM(Experiment!B2:'Experiment'!B38)</f>
        <v>8.2182440666163759E-2</v>
      </c>
    </row>
    <row r="44" spans="1:13" ht="15.75" customHeight="1" x14ac:dyDescent="0.15">
      <c r="A44" s="6" t="s">
        <v>64</v>
      </c>
      <c r="B44">
        <f>B42/(B42+B43)</f>
        <v>0.50063966688061334</v>
      </c>
      <c r="C44">
        <f>C42/(C43+C42)</f>
        <v>0.50046734740666277</v>
      </c>
      <c r="D44" s="9">
        <f>D42-D43</f>
        <v>-5.6627091586936018E-5</v>
      </c>
    </row>
    <row r="45" spans="1:13" ht="15.75" customHeight="1" x14ac:dyDescent="0.15">
      <c r="A45" s="6" t="s">
        <v>65</v>
      </c>
      <c r="B45">
        <f>(0.5*0.5)^(1/2) / (B42+B43)^(1/2)</f>
        <v>6.0184074029432473E-4</v>
      </c>
      <c r="C45">
        <f>(0.5*0.5)^(1/2) / (C42+C43)^(1/2)</f>
        <v>2.0997470796992519E-3</v>
      </c>
      <c r="D45">
        <f>((0.08)*(1-0.08))^(1/2) * (1/SQRT(B42) + 1/SQRT(B43))</f>
        <v>9.2362514106659186E-4</v>
      </c>
    </row>
    <row r="46" spans="1:13" ht="15.75" customHeight="1" x14ac:dyDescent="0.15">
      <c r="A46" s="6" t="s">
        <v>66</v>
      </c>
      <c r="B46">
        <f>0.5 - B45*1.96</f>
        <v>0.49882039214902313</v>
      </c>
      <c r="C46">
        <f>0.5 - C45*1.96</f>
        <v>0.49588449572378945</v>
      </c>
      <c r="D46">
        <f xml:space="preserve"> 0 - D45*1.96</f>
        <v>-1.81030527649052E-3</v>
      </c>
    </row>
    <row r="47" spans="1:13" ht="15.75" customHeight="1" x14ac:dyDescent="0.15">
      <c r="A47" s="6" t="s">
        <v>67</v>
      </c>
      <c r="B47">
        <f>0.5 + B45*1.96</f>
        <v>0.50117960785097693</v>
      </c>
      <c r="C47">
        <f>0.5 + C45*1.96</f>
        <v>0.50411550427621055</v>
      </c>
      <c r="D47">
        <f xml:space="preserve"> 0 - D46*1.96</f>
        <v>3.5481983419214194E-3</v>
      </c>
    </row>
    <row r="49" spans="1:9" ht="15.75" customHeight="1" x14ac:dyDescent="0.15">
      <c r="A49" s="8" t="s">
        <v>82</v>
      </c>
    </row>
    <row r="50" spans="1:9" ht="15.75" customHeight="1" x14ac:dyDescent="0.15">
      <c r="A50" s="4"/>
      <c r="B50" s="4" t="s">
        <v>70</v>
      </c>
      <c r="C50" s="4" t="s">
        <v>71</v>
      </c>
    </row>
    <row r="51" spans="1:9" ht="15.75" customHeight="1" x14ac:dyDescent="0.15">
      <c r="A51" s="4" t="s">
        <v>60</v>
      </c>
      <c r="B51" s="4">
        <f>SUM(D2:D24) / SUM(C2:C24)</f>
        <v>0.2188746891805933</v>
      </c>
      <c r="C51" s="4">
        <f>SUM(E2:E24) / SUM(C2:C24)</f>
        <v>0.11756201931417337</v>
      </c>
    </row>
    <row r="52" spans="1:9" ht="15.75" customHeight="1" x14ac:dyDescent="0.15">
      <c r="A52" s="4" t="s">
        <v>61</v>
      </c>
      <c r="B52" s="4">
        <f>SUM(Experiment!D2:'Experiment'!D24) / SUM(Experiment!C2:'Experiment'!C24)</f>
        <v>0.19831981460023174</v>
      </c>
      <c r="C52" s="4">
        <f>SUM(Experiment!E2:'Experiment'!E24) / SUM(Experiment!C2:'Experiment'!C24)</f>
        <v>0.1126882966396292</v>
      </c>
    </row>
    <row r="53" spans="1:9" ht="15.75" customHeight="1" x14ac:dyDescent="0.15">
      <c r="A53" s="4" t="s">
        <v>73</v>
      </c>
      <c r="B53" s="4">
        <f>B52-B51</f>
        <v>-2.0554874580361565E-2</v>
      </c>
      <c r="C53" s="4">
        <f>C52-C51</f>
        <v>-4.8737226745441675E-3</v>
      </c>
    </row>
    <row r="54" spans="1:9" ht="15.75" customHeight="1" x14ac:dyDescent="0.15">
      <c r="A54" s="4" t="s">
        <v>81</v>
      </c>
      <c r="B54" s="5">
        <f>SUM(D2:D24, Experiment!D2:'Experiment'!D24) / SUM(C2:C24, Experiment!C2:'Experiment'!C24)</f>
        <v>0.20860706740369866</v>
      </c>
      <c r="C54" s="5">
        <f>SUM(E2:E24, Experiment!E2:'Experiment'!E24) / SUM(C2:C24, Experiment!C2:'Experiment'!C24)</f>
        <v>0.11512748531241861</v>
      </c>
      <c r="E54" s="5"/>
      <c r="F54" s="5"/>
      <c r="G54" s="5"/>
      <c r="H54" s="5"/>
      <c r="I54" s="5"/>
    </row>
    <row r="55" spans="1:9" ht="15.75" customHeight="1" x14ac:dyDescent="0.15">
      <c r="A55" s="4" t="s">
        <v>80</v>
      </c>
      <c r="B55" s="4">
        <f>SQRT(B54*(1-B54) * (1/SUM(C2:C24) + 1/SUM(Experiment!C2:'Experiment'!C24)))</f>
        <v>4.3716753852259364E-3</v>
      </c>
      <c r="C55" s="4">
        <f>SQRT(C54*(1-C54) * (1/SUM(C2:C24) + 1/SUM(Experiment!C2:'Experiment'!C24)))</f>
        <v>3.4341335129324238E-3</v>
      </c>
      <c r="E55" s="4"/>
      <c r="F55" s="4"/>
      <c r="G55" s="4"/>
      <c r="H55" s="4"/>
      <c r="I55" s="4"/>
    </row>
    <row r="56" spans="1:9" ht="15.75" customHeight="1" x14ac:dyDescent="0.15">
      <c r="A56" s="4" t="s">
        <v>74</v>
      </c>
      <c r="B56" s="4">
        <f>B53-B55*1.96</f>
        <v>-2.9123358335404401E-2</v>
      </c>
      <c r="C56" s="4">
        <f>C53-C55*1.96</f>
        <v>-1.1604624359891718E-2</v>
      </c>
      <c r="E56" s="4"/>
      <c r="F56" s="4"/>
      <c r="G56" s="4"/>
      <c r="H56" s="4"/>
      <c r="I56" s="4"/>
    </row>
    <row r="57" spans="1:9" ht="15.75" customHeight="1" x14ac:dyDescent="0.15">
      <c r="A57" s="4" t="s">
        <v>75</v>
      </c>
      <c r="B57" s="4">
        <f>B53+B55*1.96</f>
        <v>-1.198639082531873E-2</v>
      </c>
      <c r="C57" s="4">
        <f>C53+C55*1.96</f>
        <v>1.857179010803383E-3</v>
      </c>
      <c r="E57" s="4"/>
      <c r="F57" s="4"/>
      <c r="G57" s="4"/>
      <c r="H57" s="4"/>
      <c r="I57" s="4"/>
    </row>
    <row r="58" spans="1:9" ht="15.75" customHeight="1" x14ac:dyDescent="0.15">
      <c r="A58" s="4" t="s">
        <v>76</v>
      </c>
      <c r="B58" s="4" t="s">
        <v>77</v>
      </c>
      <c r="C58" s="4" t="s">
        <v>78</v>
      </c>
    </row>
    <row r="59" spans="1:9" ht="15.75" customHeight="1" x14ac:dyDescent="0.15">
      <c r="A59" s="4" t="s">
        <v>79</v>
      </c>
      <c r="B59" s="4" t="s">
        <v>77</v>
      </c>
      <c r="C59" s="4" t="s">
        <v>78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8"/>
  <sheetViews>
    <sheetView workbookViewId="0">
      <pane ySplit="1" topLeftCell="A2" activePane="bottomLeft" state="frozen"/>
      <selection pane="bottomLeft" activeCell="F16" sqref="F16"/>
    </sheetView>
  </sheetViews>
  <sheetFormatPr baseColWidth="10" defaultColWidth="14.5" defaultRowHeight="15.75" customHeight="1" x14ac:dyDescent="0.15"/>
  <cols>
    <col min="7" max="7" width="20.1640625" bestFit="1" customWidth="1"/>
  </cols>
  <sheetData>
    <row r="1" spans="1:5" ht="15.75" customHeight="1" x14ac:dyDescent="0.1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1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1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1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1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1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1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1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1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1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1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1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1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1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1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1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1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1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1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1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1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5.75" customHeight="1" x14ac:dyDescent="0.1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5.75" customHeight="1" x14ac:dyDescent="0.1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5.75" customHeight="1" x14ac:dyDescent="0.15">
      <c r="A25" s="1" t="s">
        <v>28</v>
      </c>
      <c r="B25" s="2">
        <v>9359</v>
      </c>
      <c r="C25" s="2">
        <v>789</v>
      </c>
      <c r="D25" s="3"/>
      <c r="E25" s="3"/>
    </row>
    <row r="26" spans="1:5" ht="15.75" customHeight="1" x14ac:dyDescent="0.15">
      <c r="A26" s="1" t="s">
        <v>29</v>
      </c>
      <c r="B26" s="2">
        <v>9427</v>
      </c>
      <c r="C26" s="2">
        <v>743</v>
      </c>
      <c r="D26" s="3"/>
      <c r="E26" s="3"/>
    </row>
    <row r="27" spans="1:5" ht="15.75" customHeight="1" x14ac:dyDescent="0.15">
      <c r="A27" s="1" t="s">
        <v>30</v>
      </c>
      <c r="B27" s="2">
        <v>9633</v>
      </c>
      <c r="C27" s="2">
        <v>808</v>
      </c>
      <c r="D27" s="3"/>
      <c r="E27" s="3"/>
    </row>
    <row r="28" spans="1:5" ht="15.75" customHeight="1" x14ac:dyDescent="0.15">
      <c r="A28" s="1" t="s">
        <v>31</v>
      </c>
      <c r="B28" s="2">
        <v>9842</v>
      </c>
      <c r="C28" s="2">
        <v>831</v>
      </c>
      <c r="D28" s="3"/>
      <c r="E28" s="3"/>
    </row>
    <row r="29" spans="1:5" ht="15.75" customHeight="1" x14ac:dyDescent="0.15">
      <c r="A29" s="1" t="s">
        <v>32</v>
      </c>
      <c r="B29" s="2">
        <v>9272</v>
      </c>
      <c r="C29" s="2">
        <v>767</v>
      </c>
      <c r="D29" s="3"/>
      <c r="E29" s="3"/>
    </row>
    <row r="30" spans="1:5" ht="15.75" customHeight="1" x14ac:dyDescent="0.15">
      <c r="A30" s="1" t="s">
        <v>33</v>
      </c>
      <c r="B30" s="2">
        <v>8969</v>
      </c>
      <c r="C30" s="2">
        <v>760</v>
      </c>
      <c r="D30" s="3"/>
      <c r="E30" s="3"/>
    </row>
    <row r="31" spans="1:5" ht="15.75" customHeight="1" x14ac:dyDescent="0.15">
      <c r="A31" s="1" t="s">
        <v>34</v>
      </c>
      <c r="B31" s="2">
        <v>9697</v>
      </c>
      <c r="C31" s="2">
        <v>850</v>
      </c>
      <c r="D31" s="3"/>
      <c r="E31" s="3"/>
    </row>
    <row r="32" spans="1:5" ht="15.75" customHeight="1" x14ac:dyDescent="0.15">
      <c r="A32" s="1" t="s">
        <v>35</v>
      </c>
      <c r="B32" s="2">
        <v>10445</v>
      </c>
      <c r="C32" s="2">
        <v>851</v>
      </c>
      <c r="D32" s="3"/>
      <c r="E32" s="3"/>
    </row>
    <row r="33" spans="1:5" ht="15.75" customHeight="1" x14ac:dyDescent="0.15">
      <c r="A33" s="1" t="s">
        <v>36</v>
      </c>
      <c r="B33" s="2">
        <v>9931</v>
      </c>
      <c r="C33" s="2">
        <v>831</v>
      </c>
      <c r="D33" s="3"/>
      <c r="E33" s="3"/>
    </row>
    <row r="34" spans="1:5" ht="15.75" customHeight="1" x14ac:dyDescent="0.15">
      <c r="A34" s="1" t="s">
        <v>37</v>
      </c>
      <c r="B34" s="2">
        <v>10042</v>
      </c>
      <c r="C34" s="2">
        <v>802</v>
      </c>
      <c r="D34" s="3"/>
      <c r="E34" s="3"/>
    </row>
    <row r="35" spans="1:5" ht="15.75" customHeight="1" x14ac:dyDescent="0.15">
      <c r="A35" s="1" t="s">
        <v>38</v>
      </c>
      <c r="B35" s="2">
        <v>9721</v>
      </c>
      <c r="C35" s="2">
        <v>829</v>
      </c>
      <c r="D35" s="3"/>
      <c r="E35" s="3"/>
    </row>
    <row r="36" spans="1:5" ht="15.75" customHeight="1" x14ac:dyDescent="0.15">
      <c r="A36" s="1" t="s">
        <v>39</v>
      </c>
      <c r="B36" s="2">
        <v>9304</v>
      </c>
      <c r="C36" s="2">
        <v>770</v>
      </c>
      <c r="D36" s="3"/>
      <c r="E36" s="3"/>
    </row>
    <row r="37" spans="1:5" ht="15.75" customHeight="1" x14ac:dyDescent="0.15">
      <c r="A37" s="1" t="s">
        <v>40</v>
      </c>
      <c r="B37" s="2">
        <v>8668</v>
      </c>
      <c r="C37" s="2">
        <v>724</v>
      </c>
      <c r="D37" s="3"/>
      <c r="E37" s="3"/>
    </row>
    <row r="38" spans="1:5" ht="15.75" customHeight="1" x14ac:dyDescent="0.15">
      <c r="A38" s="1" t="s">
        <v>41</v>
      </c>
      <c r="B38" s="2">
        <v>8988</v>
      </c>
      <c r="C38" s="2">
        <v>710</v>
      </c>
      <c r="D38" s="3"/>
      <c r="E38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F59B-1326-8E49-BB87-D97841614C7D}">
  <dimension ref="A1:E14"/>
  <sheetViews>
    <sheetView zoomScale="162" workbookViewId="0">
      <selection activeCell="D12" sqref="D12"/>
    </sheetView>
  </sheetViews>
  <sheetFormatPr baseColWidth="10" defaultRowHeight="13" x14ac:dyDescent="0.15"/>
  <cols>
    <col min="1" max="1" width="44" bestFit="1" customWidth="1"/>
    <col min="4" max="4" width="12.1640625" bestFit="1" customWidth="1"/>
  </cols>
  <sheetData>
    <row r="1" spans="1:5" x14ac:dyDescent="0.15">
      <c r="A1" s="5" t="s">
        <v>47</v>
      </c>
      <c r="B1" s="5">
        <v>40000</v>
      </c>
      <c r="D1">
        <v>5000</v>
      </c>
    </row>
    <row r="2" spans="1:5" x14ac:dyDescent="0.15">
      <c r="A2" s="5" t="s">
        <v>48</v>
      </c>
      <c r="B2" s="5">
        <v>3200</v>
      </c>
      <c r="D2">
        <f>D1*B4</f>
        <v>400</v>
      </c>
    </row>
    <row r="3" spans="1:5" x14ac:dyDescent="0.15">
      <c r="A3" s="5" t="s">
        <v>49</v>
      </c>
      <c r="B3" s="5">
        <v>660</v>
      </c>
      <c r="D3">
        <f>D2*B5</f>
        <v>82.5</v>
      </c>
    </row>
    <row r="4" spans="1:5" x14ac:dyDescent="0.15">
      <c r="A4" s="5" t="s">
        <v>50</v>
      </c>
      <c r="B4" s="5">
        <f>B2/B1</f>
        <v>0.08</v>
      </c>
      <c r="D4" s="5" t="s">
        <v>72</v>
      </c>
      <c r="E4" s="12"/>
    </row>
    <row r="5" spans="1:5" x14ac:dyDescent="0.15">
      <c r="A5" s="5" t="s">
        <v>51</v>
      </c>
      <c r="B5" s="5">
        <f>B3/B2</f>
        <v>0.20624999999999999</v>
      </c>
      <c r="D5">
        <f>SQRT(B5 * (1-B5) / 400)</f>
        <v>2.0230604137049392E-2</v>
      </c>
      <c r="E5" s="13"/>
    </row>
    <row r="6" spans="1:5" x14ac:dyDescent="0.15">
      <c r="A6" s="5" t="s">
        <v>52</v>
      </c>
      <c r="B6" s="5">
        <v>0.53</v>
      </c>
      <c r="D6">
        <f>SQRT(B6*(1-B6)/D3)</f>
        <v>5.4949012178509081E-2</v>
      </c>
      <c r="E6" s="13"/>
    </row>
    <row r="7" spans="1:5" x14ac:dyDescent="0.15">
      <c r="A7" s="5" t="s">
        <v>53</v>
      </c>
      <c r="B7" s="5">
        <v>0.10931250000000001</v>
      </c>
      <c r="D7">
        <f>SQRT(B7*(1-B7)/D2)</f>
        <v>1.560154458248846E-2</v>
      </c>
      <c r="E7" s="13"/>
    </row>
    <row r="9" spans="1:5" x14ac:dyDescent="0.15">
      <c r="D9" s="5" t="s">
        <v>55</v>
      </c>
      <c r="E9" s="5" t="s">
        <v>56</v>
      </c>
    </row>
    <row r="10" spans="1:5" x14ac:dyDescent="0.15">
      <c r="A10" s="5" t="s">
        <v>57</v>
      </c>
      <c r="B10">
        <v>25835</v>
      </c>
      <c r="C10" s="5" t="s">
        <v>54</v>
      </c>
      <c r="D10">
        <f>B10*2</f>
        <v>51670</v>
      </c>
      <c r="E10">
        <f>D10/B4</f>
        <v>645875</v>
      </c>
    </row>
    <row r="11" spans="1:5" x14ac:dyDescent="0.15">
      <c r="A11" s="5" t="s">
        <v>58</v>
      </c>
      <c r="B11">
        <v>39115</v>
      </c>
      <c r="C11" s="5" t="s">
        <v>54</v>
      </c>
      <c r="D11">
        <f t="shared" ref="D11:D12" si="0">B11*2</f>
        <v>78230</v>
      </c>
      <c r="E11">
        <f>D11/B5/B4</f>
        <v>4741212.1212121211</v>
      </c>
    </row>
    <row r="12" spans="1:5" x14ac:dyDescent="0.15">
      <c r="A12" s="5" t="s">
        <v>59</v>
      </c>
      <c r="B12">
        <v>27411</v>
      </c>
      <c r="C12" s="5" t="s">
        <v>54</v>
      </c>
      <c r="D12">
        <f t="shared" si="0"/>
        <v>54822</v>
      </c>
      <c r="E12">
        <f>B12/B4</f>
        <v>342637.5</v>
      </c>
    </row>
    <row r="14" spans="1:5" x14ac:dyDescent="0.15">
      <c r="E14">
        <f>MAX(E10:E12)</f>
        <v>4741212.1212121211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2020-06-22T18:25:07Z</dcterms:modified>
</cp:coreProperties>
</file>