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3.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5.xml" ContentType="application/vnd.openxmlformats-officedocument.drawingml.chartshapes+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6.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7.xml" ContentType="application/vnd.openxmlformats-officedocument.drawingml.chartshapes+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8.xml" ContentType="application/vnd.openxmlformats-officedocument.drawingml.chartshapes+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11.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12.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13.xml" ContentType="application/vnd.openxmlformats-officedocument.drawingml.chartshapes+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4.xml" ContentType="application/vnd.openxmlformats-officedocument.drawingml.chartshapes+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15.xml" ContentType="application/vnd.openxmlformats-officedocument.drawingml.chartshapes+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16.xml" ContentType="application/vnd.openxmlformats-officedocument.drawingml.chartshapes+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17.xml" ContentType="application/vnd.openxmlformats-officedocument.drawingml.chartshapes+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18.xml" ContentType="application/vnd.openxmlformats-officedocument.drawing+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19.xml" ContentType="application/vnd.openxmlformats-officedocument.drawingml.chartshapes+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22.xml" ContentType="application/vnd.openxmlformats-officedocument.drawing+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23.xml" ContentType="application/vnd.openxmlformats-officedocument.drawing+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24.xml" ContentType="application/vnd.openxmlformats-officedocument.drawingml.chartshapes+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27.xml" ContentType="application/vnd.openxmlformats-officedocument.drawing+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28.xml" ContentType="application/vnd.openxmlformats-officedocument.drawing+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1"/>
  <workbookPr filterPrivacy="1" codeName="ThisWorkbook"/>
  <xr:revisionPtr revIDLastSave="0" documentId="13_ncr:1_{58ECC1CB-DFCF-4BDD-9B90-7E3CBF655FB5}" xr6:coauthVersionLast="36" xr6:coauthVersionMax="36" xr10:uidLastSave="{00000000-0000-0000-0000-000000000000}"/>
  <bookViews>
    <workbookView xWindow="0" yWindow="0" windowWidth="19440" windowHeight="10440" firstSheet="1" activeTab="5" xr2:uid="{00000000-000D-0000-FFFF-FFFF00000000}"/>
  </bookViews>
  <sheets>
    <sheet name="多介质下KV不同" sheetId="1" r:id="rId1"/>
    <sheet name="Sheet1" sheetId="2" r:id="rId2"/>
    <sheet name="fio" sheetId="9" r:id="rId3"/>
    <sheet name="log,memtable单测" sheetId="10" r:id="rId4"/>
    <sheet name="模拟测试" sheetId="13" r:id="rId5"/>
    <sheet name="模拟测试修改版" sheetId="14" r:id="rId6"/>
    <sheet name="模拟测试YCSB版" sheetId="15" r:id="rId7"/>
    <sheet name="longkey" sheetId="23" r:id="rId8"/>
    <sheet name="带宽占用RocksDB" sheetId="20" r:id="rId9"/>
    <sheet name="带宽占用pKVS" sheetId="16" r:id="rId10"/>
    <sheet name="scan测试" sheetId="17" r:id="rId11"/>
    <sheet name="新带宽占用pKVS" sheetId="19" r:id="rId12"/>
    <sheet name="延迟" sheetId="21" r:id="rId13"/>
    <sheet name="Sheet2" sheetId="22" r:id="rId14"/>
    <sheet name="KVell" sheetId="24" r:id="rId15"/>
    <sheet name="LevelDB" sheetId="26" r:id="rId1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 i="24" l="1"/>
  <c r="L6" i="24"/>
  <c r="L7" i="24"/>
  <c r="L8" i="24"/>
  <c r="L9" i="24"/>
  <c r="L10" i="24"/>
  <c r="L11" i="24"/>
  <c r="L12" i="24"/>
  <c r="L13" i="24"/>
  <c r="L14" i="24"/>
  <c r="L15" i="24"/>
  <c r="L16" i="24"/>
  <c r="L17" i="24"/>
  <c r="L18" i="24"/>
  <c r="L19" i="24"/>
  <c r="L20" i="24"/>
  <c r="L21" i="24"/>
  <c r="L22" i="24"/>
  <c r="L23" i="24"/>
  <c r="L24" i="24"/>
  <c r="L25" i="24"/>
  <c r="L26" i="24"/>
  <c r="L27" i="24"/>
  <c r="L28" i="24"/>
  <c r="L29" i="24"/>
  <c r="L30" i="24"/>
  <c r="L31" i="24"/>
  <c r="L4" i="24"/>
  <c r="J31" i="24"/>
  <c r="K31" i="24" s="1"/>
  <c r="J30" i="24"/>
  <c r="K30" i="24" s="1"/>
  <c r="J29" i="24"/>
  <c r="K29" i="24" s="1"/>
  <c r="J28" i="24"/>
  <c r="K28" i="24" s="1"/>
  <c r="J27" i="24"/>
  <c r="K27" i="24" s="1"/>
  <c r="J26" i="24"/>
  <c r="K26" i="24" s="1"/>
  <c r="J25" i="24"/>
  <c r="K25" i="24" s="1"/>
  <c r="J24" i="24"/>
  <c r="K24" i="24" s="1"/>
  <c r="J23" i="24"/>
  <c r="K23" i="24" s="1"/>
  <c r="J22" i="24"/>
  <c r="K22" i="24" s="1"/>
  <c r="J21" i="24"/>
  <c r="K21" i="24" s="1"/>
  <c r="J20" i="24"/>
  <c r="K20" i="24" s="1"/>
  <c r="J19" i="24"/>
  <c r="K19" i="24" s="1"/>
  <c r="J18" i="24"/>
  <c r="K18" i="24" s="1"/>
  <c r="J17" i="24"/>
  <c r="K17" i="24" s="1"/>
  <c r="J16" i="24"/>
  <c r="K16" i="24" s="1"/>
  <c r="J15" i="24"/>
  <c r="K15" i="24" s="1"/>
  <c r="J14" i="24"/>
  <c r="K14" i="24" s="1"/>
  <c r="J13" i="24"/>
  <c r="K13" i="24" s="1"/>
  <c r="J12" i="24"/>
  <c r="K12" i="24" s="1"/>
  <c r="J11" i="24"/>
  <c r="K11" i="24" s="1"/>
  <c r="J10" i="24"/>
  <c r="K10" i="24" s="1"/>
  <c r="J9" i="24"/>
  <c r="K9" i="24" s="1"/>
  <c r="J8" i="24"/>
  <c r="K8" i="24" s="1"/>
  <c r="J7" i="24"/>
  <c r="K7" i="24" s="1"/>
  <c r="J6" i="24"/>
  <c r="K6" i="24" s="1"/>
  <c r="J5" i="24"/>
  <c r="K5" i="24" s="1"/>
  <c r="J4" i="24"/>
  <c r="K4" i="24" s="1"/>
  <c r="E5" i="24"/>
  <c r="E6" i="24"/>
  <c r="E7" i="24"/>
  <c r="E8" i="24"/>
  <c r="E9" i="24"/>
  <c r="E10" i="24"/>
  <c r="E11" i="24"/>
  <c r="E12" i="24"/>
  <c r="E13" i="24"/>
  <c r="E14" i="24"/>
  <c r="E15" i="24"/>
  <c r="E16" i="24"/>
  <c r="E17" i="24"/>
  <c r="E18" i="24"/>
  <c r="E19" i="24"/>
  <c r="E20" i="24"/>
  <c r="E21" i="24"/>
  <c r="E22" i="24"/>
  <c r="E23" i="24"/>
  <c r="E24" i="24"/>
  <c r="E25" i="24"/>
  <c r="E26" i="24"/>
  <c r="E27" i="24"/>
  <c r="E28" i="24"/>
  <c r="E29" i="24"/>
  <c r="E30" i="24"/>
  <c r="E31" i="24"/>
  <c r="E32" i="24"/>
  <c r="E33" i="24"/>
  <c r="E34" i="24"/>
  <c r="E35" i="24"/>
  <c r="E36" i="24"/>
  <c r="E37" i="24"/>
  <c r="E38" i="24"/>
  <c r="E39" i="24"/>
  <c r="E40" i="24"/>
  <c r="E41" i="24"/>
  <c r="E42" i="24"/>
  <c r="E43" i="24"/>
  <c r="E4" i="24"/>
  <c r="D5" i="24" l="1"/>
  <c r="D6" i="24"/>
  <c r="D7" i="24"/>
  <c r="D8" i="24"/>
  <c r="D9" i="24"/>
  <c r="D10" i="24"/>
  <c r="D11" i="24"/>
  <c r="D12" i="24"/>
  <c r="D13" i="24"/>
  <c r="D14" i="24"/>
  <c r="D15" i="24"/>
  <c r="D16" i="24"/>
  <c r="D17" i="24"/>
  <c r="D18" i="24"/>
  <c r="D19" i="24"/>
  <c r="D20" i="24"/>
  <c r="D21" i="24"/>
  <c r="D22" i="24"/>
  <c r="D23" i="24"/>
  <c r="D24" i="24"/>
  <c r="D25" i="24"/>
  <c r="D26" i="24"/>
  <c r="D27" i="24"/>
  <c r="D28" i="24"/>
  <c r="D29" i="24"/>
  <c r="D30" i="24"/>
  <c r="D31" i="24"/>
  <c r="D32" i="24"/>
  <c r="D33" i="24"/>
  <c r="D34" i="24"/>
  <c r="D35" i="24"/>
  <c r="D36" i="24"/>
  <c r="D37" i="24"/>
  <c r="D38" i="24"/>
  <c r="D39" i="24"/>
  <c r="D40" i="24"/>
  <c r="D41" i="24"/>
  <c r="D42" i="24"/>
  <c r="D43" i="24"/>
  <c r="D4" i="24"/>
  <c r="N6" i="22"/>
  <c r="N7" i="22"/>
  <c r="N8" i="22"/>
  <c r="N9" i="22"/>
  <c r="N10" i="22"/>
  <c r="N11" i="22"/>
  <c r="N12" i="22"/>
  <c r="N13" i="22"/>
  <c r="N14" i="22"/>
  <c r="N15" i="22"/>
  <c r="N16" i="22"/>
  <c r="N17" i="22"/>
  <c r="N18" i="22"/>
  <c r="N19" i="22"/>
  <c r="N20" i="22"/>
  <c r="N21" i="22"/>
  <c r="N22" i="22"/>
  <c r="N23" i="22"/>
  <c r="N24" i="22"/>
  <c r="N25" i="22"/>
  <c r="N26" i="22"/>
  <c r="N27" i="22"/>
  <c r="N28" i="22"/>
  <c r="N29" i="22"/>
  <c r="N30" i="22"/>
  <c r="N31" i="22"/>
  <c r="N32" i="22"/>
  <c r="N5" i="22"/>
  <c r="J16" i="23" l="1"/>
  <c r="K16" i="23"/>
  <c r="L16" i="23"/>
  <c r="L15" i="23" l="1"/>
  <c r="K15" i="23"/>
  <c r="J15" i="23"/>
  <c r="L14" i="23"/>
  <c r="K14" i="23"/>
  <c r="J14" i="23"/>
  <c r="L13" i="23"/>
  <c r="K13" i="23"/>
  <c r="J13" i="23"/>
  <c r="L12" i="23"/>
  <c r="K12" i="23"/>
  <c r="J12" i="23"/>
  <c r="L11" i="23"/>
  <c r="K11" i="23"/>
  <c r="J11" i="23"/>
  <c r="L10" i="23"/>
  <c r="K10" i="23"/>
  <c r="J10" i="23"/>
  <c r="K2" i="23" l="1"/>
  <c r="L2" i="23"/>
  <c r="K3" i="23"/>
  <c r="L3" i="23"/>
  <c r="K4" i="23"/>
  <c r="L4" i="23"/>
  <c r="K5" i="23"/>
  <c r="L5" i="23"/>
  <c r="K6" i="23"/>
  <c r="L6" i="23"/>
  <c r="K7" i="23"/>
  <c r="L7" i="23"/>
  <c r="J3" i="23"/>
  <c r="J4" i="23"/>
  <c r="J5" i="23"/>
  <c r="J6" i="23"/>
  <c r="J7" i="23"/>
  <c r="J2" i="23"/>
  <c r="F65" i="21" l="1"/>
  <c r="F64" i="21" s="1"/>
  <c r="I65" i="21"/>
  <c r="I64" i="21" s="1"/>
  <c r="I52" i="21"/>
  <c r="I51" i="21" s="1"/>
  <c r="J52" i="21"/>
  <c r="J51" i="21" s="1"/>
  <c r="K52" i="21"/>
  <c r="L52" i="21"/>
  <c r="L51" i="21" s="1"/>
  <c r="K51" i="21"/>
  <c r="L65" i="21"/>
  <c r="L64" i="21" s="1"/>
  <c r="K65" i="21"/>
  <c r="K64" i="21" s="1"/>
  <c r="J65" i="21"/>
  <c r="J64" i="21" s="1"/>
  <c r="D51" i="21"/>
  <c r="H65" i="21"/>
  <c r="H64" i="21" s="1"/>
  <c r="E65" i="21"/>
  <c r="E64" i="21" s="1"/>
  <c r="D65" i="21"/>
  <c r="D64" i="21"/>
  <c r="C64" i="21"/>
  <c r="C63" i="21"/>
  <c r="B63" i="21"/>
  <c r="W64" i="21"/>
  <c r="V64" i="21"/>
  <c r="V63" i="21" s="1"/>
  <c r="U64" i="21"/>
  <c r="T64" i="21"/>
  <c r="S64" i="21"/>
  <c r="W63" i="21"/>
  <c r="U63" i="21"/>
  <c r="T63" i="21"/>
  <c r="S63" i="21"/>
  <c r="R63" i="21"/>
  <c r="R62" i="21"/>
  <c r="Q62" i="21"/>
  <c r="E52" i="21"/>
  <c r="E51" i="21" s="1"/>
  <c r="F52" i="21"/>
  <c r="F51" i="21" s="1"/>
  <c r="G52" i="21"/>
  <c r="G51" i="21" s="1"/>
  <c r="H52" i="21"/>
  <c r="H51" i="21" s="1"/>
  <c r="D52" i="21"/>
  <c r="C50" i="21"/>
  <c r="B50" i="21"/>
  <c r="A6" i="22" l="1"/>
  <c r="A7" i="22"/>
  <c r="A8" i="22"/>
  <c r="A9" i="22"/>
  <c r="A10" i="22"/>
  <c r="A11" i="22"/>
  <c r="A12" i="22"/>
  <c r="A13" i="22"/>
  <c r="A14" i="22"/>
  <c r="A15" i="22"/>
  <c r="A16" i="22"/>
  <c r="A17" i="22"/>
  <c r="A18" i="22"/>
  <c r="A19" i="22"/>
  <c r="A20" i="22"/>
  <c r="A21" i="22"/>
  <c r="A22" i="22"/>
  <c r="A23" i="22"/>
  <c r="A24" i="22"/>
  <c r="A25" i="22"/>
  <c r="A26" i="22"/>
  <c r="A27" i="22"/>
  <c r="A28" i="22"/>
  <c r="A29" i="22"/>
  <c r="A30" i="22"/>
  <c r="A31" i="22"/>
  <c r="A32" i="22"/>
  <c r="A33" i="22"/>
  <c r="A34" i="22"/>
  <c r="A35" i="22"/>
  <c r="A36" i="22"/>
  <c r="A37" i="22"/>
  <c r="A38" i="22"/>
  <c r="A39" i="22"/>
  <c r="A40" i="22"/>
  <c r="A41" i="22"/>
  <c r="A42" i="22"/>
  <c r="A43" i="22"/>
  <c r="A44" i="22"/>
  <c r="A45" i="22"/>
  <c r="A46" i="22"/>
  <c r="A47" i="22"/>
  <c r="A48" i="22"/>
  <c r="A49" i="22"/>
  <c r="A50" i="22"/>
  <c r="A51" i="22"/>
  <c r="A52" i="22"/>
  <c r="A53" i="22"/>
  <c r="A54" i="22"/>
  <c r="A55" i="22"/>
  <c r="A56" i="22"/>
  <c r="A57" i="22"/>
  <c r="A58" i="22"/>
  <c r="A59" i="22"/>
  <c r="A60" i="22"/>
  <c r="A61" i="22"/>
  <c r="A62" i="22"/>
  <c r="A63" i="22"/>
  <c r="A64" i="22"/>
  <c r="A65" i="22"/>
  <c r="A66" i="22"/>
  <c r="A67" i="22"/>
  <c r="A68" i="22"/>
  <c r="A69" i="22"/>
  <c r="A70" i="22"/>
  <c r="A71" i="22"/>
  <c r="A72" i="22"/>
  <c r="A73" i="22"/>
  <c r="A74" i="22"/>
  <c r="A75" i="22"/>
  <c r="A76" i="22"/>
  <c r="A77" i="22"/>
  <c r="A78" i="22"/>
  <c r="A79" i="22"/>
  <c r="A80" i="22"/>
  <c r="A81" i="22"/>
  <c r="A82" i="22"/>
  <c r="A83" i="22"/>
  <c r="A84" i="22"/>
  <c r="A85" i="22"/>
  <c r="A86" i="22"/>
  <c r="A87" i="22"/>
  <c r="A88" i="22"/>
  <c r="A89" i="22"/>
  <c r="A90" i="22"/>
  <c r="A91" i="22"/>
  <c r="A92" i="22"/>
  <c r="A93" i="22"/>
  <c r="A94" i="22"/>
  <c r="A95" i="22"/>
  <c r="A96" i="22"/>
  <c r="A97" i="22"/>
  <c r="A98" i="22"/>
  <c r="A99" i="22"/>
  <c r="A100" i="22"/>
  <c r="A101" i="22"/>
  <c r="A102" i="22"/>
  <c r="A103" i="22"/>
  <c r="A104" i="22"/>
  <c r="A105" i="22"/>
  <c r="A106" i="22"/>
  <c r="A107" i="22"/>
  <c r="A108" i="22"/>
  <c r="A109" i="22"/>
  <c r="A110" i="22"/>
  <c r="A111" i="22"/>
  <c r="A112" i="22"/>
  <c r="A113" i="22"/>
  <c r="A114" i="22"/>
  <c r="A115" i="22"/>
  <c r="A116" i="22"/>
  <c r="A117" i="22"/>
  <c r="A118" i="22"/>
  <c r="A119" i="22"/>
  <c r="A120" i="22"/>
  <c r="A121" i="22"/>
  <c r="A122" i="22"/>
  <c r="A123" i="22"/>
  <c r="A124" i="22"/>
  <c r="A125" i="22"/>
  <c r="A126" i="22"/>
  <c r="A127" i="22"/>
  <c r="A128" i="22"/>
  <c r="A129" i="22"/>
  <c r="A130" i="22"/>
  <c r="A131" i="22"/>
  <c r="A132" i="22"/>
  <c r="A133" i="22"/>
  <c r="A134" i="22"/>
  <c r="A135" i="22"/>
  <c r="A136" i="22"/>
  <c r="A137" i="22"/>
  <c r="A138" i="22"/>
  <c r="A139" i="22"/>
  <c r="A140" i="22"/>
  <c r="A141" i="22"/>
  <c r="A142" i="22"/>
  <c r="A143" i="22"/>
  <c r="A144" i="22"/>
  <c r="A145" i="22"/>
  <c r="A146" i="22"/>
  <c r="A147" i="22"/>
  <c r="A148" i="22"/>
  <c r="A149" i="22"/>
  <c r="A150" i="22"/>
  <c r="A151" i="22"/>
  <c r="A152" i="22"/>
  <c r="A153" i="22"/>
  <c r="A154" i="22"/>
  <c r="A155" i="22"/>
  <c r="A156" i="22"/>
  <c r="A157" i="22"/>
  <c r="A158" i="22"/>
  <c r="A159" i="22"/>
  <c r="A160" i="22"/>
  <c r="A161" i="22"/>
  <c r="A162" i="22"/>
  <c r="A163" i="22"/>
  <c r="A164" i="22"/>
  <c r="A165" i="22"/>
  <c r="A166" i="22"/>
  <c r="A167" i="22"/>
  <c r="A168" i="22"/>
  <c r="A169" i="22"/>
  <c r="A170" i="22"/>
  <c r="A171" i="22"/>
  <c r="A172" i="22"/>
  <c r="A173" i="22"/>
  <c r="A174" i="22"/>
  <c r="A175" i="22"/>
  <c r="A176" i="22"/>
  <c r="A177" i="22"/>
  <c r="A178" i="22"/>
  <c r="A179" i="22"/>
  <c r="A180" i="22"/>
  <c r="A181" i="22"/>
  <c r="A182" i="22"/>
  <c r="A183" i="22"/>
  <c r="A184" i="22"/>
  <c r="A185" i="22"/>
  <c r="A186" i="22"/>
  <c r="A187" i="22"/>
  <c r="A188" i="22"/>
  <c r="A189" i="22"/>
  <c r="A190" i="22"/>
  <c r="A191" i="22"/>
  <c r="A192" i="22"/>
  <c r="A193" i="22"/>
  <c r="A194" i="22"/>
  <c r="A195" i="22"/>
  <c r="A196" i="22"/>
  <c r="A197" i="22"/>
  <c r="A198" i="22"/>
  <c r="A199" i="22"/>
  <c r="A200" i="22"/>
  <c r="A201" i="22"/>
  <c r="A202" i="22"/>
  <c r="A203" i="22"/>
  <c r="A204" i="22"/>
  <c r="A205" i="22"/>
  <c r="A206" i="22"/>
  <c r="A207" i="22"/>
  <c r="A208" i="22"/>
  <c r="A209" i="22"/>
  <c r="A210" i="22"/>
  <c r="A211" i="22"/>
  <c r="A212" i="22"/>
  <c r="A213" i="22"/>
  <c r="A214" i="22"/>
  <c r="A215" i="22"/>
  <c r="A216" i="22"/>
  <c r="A217" i="22"/>
  <c r="A218" i="22"/>
  <c r="A219" i="22"/>
  <c r="A220" i="22"/>
  <c r="A221" i="22"/>
  <c r="A222" i="22"/>
  <c r="A223" i="22"/>
  <c r="A224" i="22"/>
  <c r="A225" i="22"/>
  <c r="A226" i="22"/>
  <c r="A227" i="22"/>
  <c r="A228" i="22"/>
  <c r="A229" i="22"/>
  <c r="A230" i="22"/>
  <c r="A231" i="22"/>
  <c r="A232" i="22"/>
  <c r="A233" i="22"/>
  <c r="A234" i="22"/>
  <c r="A235" i="22"/>
  <c r="A236" i="22"/>
  <c r="A237" i="22"/>
  <c r="A238" i="22"/>
  <c r="A239" i="22"/>
  <c r="A240" i="22"/>
  <c r="A241" i="22"/>
  <c r="A242" i="22"/>
  <c r="A243" i="22"/>
  <c r="A244" i="22"/>
  <c r="A245" i="22"/>
  <c r="A246" i="22"/>
  <c r="A247" i="22"/>
  <c r="A248" i="22"/>
  <c r="A249" i="22"/>
  <c r="A250" i="22"/>
  <c r="A251" i="22"/>
  <c r="A252" i="22"/>
  <c r="A253" i="22"/>
  <c r="A254" i="22"/>
  <c r="A255" i="22"/>
  <c r="A256" i="22"/>
  <c r="A257" i="22"/>
  <c r="A258" i="22"/>
  <c r="A259" i="22"/>
  <c r="A260" i="22"/>
  <c r="A261" i="22"/>
  <c r="A262" i="22"/>
  <c r="A263" i="22"/>
  <c r="A264" i="22"/>
  <c r="A265" i="22"/>
  <c r="A266" i="22"/>
  <c r="A267" i="22"/>
  <c r="A268" i="22"/>
  <c r="A269" i="22"/>
  <c r="A270" i="22"/>
  <c r="A271" i="22"/>
  <c r="A272" i="22"/>
  <c r="A273" i="22"/>
  <c r="A274" i="22"/>
  <c r="A275" i="22"/>
  <c r="A276" i="22"/>
  <c r="A277" i="22"/>
  <c r="A278" i="22"/>
  <c r="A279" i="22"/>
  <c r="A280" i="22"/>
  <c r="A281" i="22"/>
  <c r="A282" i="22"/>
  <c r="A283" i="22"/>
  <c r="A284" i="22"/>
  <c r="A285" i="22"/>
  <c r="A286" i="22"/>
  <c r="A287" i="22"/>
  <c r="A288" i="22"/>
  <c r="A289" i="22"/>
  <c r="A290" i="22"/>
  <c r="A291" i="22"/>
  <c r="A292" i="22"/>
  <c r="A293" i="22"/>
  <c r="A294" i="22"/>
  <c r="A295" i="22"/>
  <c r="A296" i="22"/>
  <c r="A297" i="22"/>
  <c r="A298" i="22"/>
  <c r="A299" i="22"/>
  <c r="A300" i="22"/>
  <c r="A301" i="22"/>
  <c r="A302" i="22"/>
  <c r="A303" i="22"/>
  <c r="A304" i="22"/>
  <c r="A305" i="22"/>
  <c r="A306" i="22"/>
  <c r="A307" i="22"/>
  <c r="A308" i="22"/>
  <c r="A309" i="22"/>
  <c r="A310" i="22"/>
  <c r="A311" i="22"/>
  <c r="A312" i="22"/>
  <c r="A313" i="22"/>
  <c r="A314" i="22"/>
  <c r="A315" i="22"/>
  <c r="A316" i="22"/>
  <c r="A317" i="22"/>
  <c r="A318" i="22"/>
  <c r="A319" i="22"/>
  <c r="A320" i="22"/>
  <c r="A321" i="22"/>
  <c r="A322" i="22"/>
  <c r="A323" i="22"/>
  <c r="A324" i="22"/>
  <c r="A325" i="22"/>
  <c r="A326" i="22"/>
  <c r="A327" i="22"/>
  <c r="A328" i="22"/>
  <c r="A329" i="22"/>
  <c r="A330" i="22"/>
  <c r="A331" i="22"/>
  <c r="A332" i="22"/>
  <c r="A333" i="22"/>
  <c r="A334" i="22"/>
  <c r="A335" i="22"/>
  <c r="A336" i="22"/>
  <c r="A337" i="22"/>
  <c r="A338" i="22"/>
  <c r="A339" i="22"/>
  <c r="A340" i="22"/>
  <c r="A341" i="22"/>
  <c r="A342" i="22"/>
  <c r="A343" i="22"/>
  <c r="A344" i="22"/>
  <c r="A345" i="22"/>
  <c r="A346" i="22"/>
  <c r="A347" i="22"/>
  <c r="A348" i="22"/>
  <c r="A349" i="22"/>
  <c r="A350" i="22"/>
  <c r="A351" i="22"/>
  <c r="A352" i="22"/>
  <c r="A353" i="22"/>
  <c r="A354" i="22"/>
  <c r="A355" i="22"/>
  <c r="A356" i="22"/>
  <c r="A357" i="22"/>
  <c r="A358" i="22"/>
  <c r="A359" i="22"/>
  <c r="A360" i="22"/>
  <c r="A361" i="22"/>
  <c r="A362" i="22"/>
  <c r="A363" i="22"/>
  <c r="A364" i="22"/>
  <c r="A5" i="22"/>
  <c r="D1" i="22"/>
  <c r="H1" i="22" s="1"/>
  <c r="E1" i="22"/>
  <c r="I1" i="22" s="1"/>
  <c r="B1" i="22"/>
  <c r="F1" i="22" s="1"/>
  <c r="B2" i="22"/>
  <c r="F2" i="22" s="1"/>
  <c r="D3" i="22"/>
  <c r="H3" i="22" s="1"/>
  <c r="E3" i="22"/>
  <c r="I3" i="22" s="1"/>
  <c r="B3" i="22"/>
  <c r="F3" i="22" s="1"/>
  <c r="E2" i="22"/>
  <c r="I2" i="22" s="1"/>
  <c r="D2" i="22"/>
  <c r="H2" i="22" s="1"/>
  <c r="M32" i="22"/>
  <c r="M31" i="22"/>
  <c r="M30" i="22"/>
  <c r="M29" i="22"/>
  <c r="M28" i="22"/>
  <c r="M27" i="22"/>
  <c r="M26" i="22"/>
  <c r="M25" i="22"/>
  <c r="M24" i="22"/>
  <c r="M23" i="22"/>
  <c r="M22" i="22"/>
  <c r="M21" i="22"/>
  <c r="M20" i="22"/>
  <c r="M19" i="22"/>
  <c r="M18" i="22"/>
  <c r="M17" i="22"/>
  <c r="M16" i="22"/>
  <c r="M15" i="22"/>
  <c r="M14" i="22"/>
  <c r="M13" i="22"/>
  <c r="M12" i="22"/>
  <c r="M11" i="22"/>
  <c r="M10" i="22"/>
  <c r="M9" i="22"/>
  <c r="M8" i="22"/>
  <c r="M7" i="22"/>
  <c r="M6" i="22"/>
  <c r="M5" i="22"/>
  <c r="L54" i="22"/>
  <c r="L53" i="22"/>
  <c r="L52" i="22"/>
  <c r="L51" i="22"/>
  <c r="L50" i="22"/>
  <c r="L49" i="22"/>
  <c r="L48" i="22"/>
  <c r="L47" i="22"/>
  <c r="L46" i="22"/>
  <c r="L45" i="22"/>
  <c r="L44" i="22"/>
  <c r="L43" i="22"/>
  <c r="L42" i="22"/>
  <c r="L41" i="22"/>
  <c r="L40" i="22"/>
  <c r="L39" i="22"/>
  <c r="L38" i="22"/>
  <c r="L37" i="22"/>
  <c r="L36" i="22"/>
  <c r="L35" i="22"/>
  <c r="L34" i="22"/>
  <c r="L33" i="22"/>
  <c r="L32" i="22"/>
  <c r="L31" i="22"/>
  <c r="L30" i="22"/>
  <c r="L29" i="22"/>
  <c r="L28" i="22"/>
  <c r="L27" i="22"/>
  <c r="L26" i="22"/>
  <c r="L25" i="22"/>
  <c r="L24" i="22"/>
  <c r="L23" i="22"/>
  <c r="L22" i="22"/>
  <c r="L21" i="22"/>
  <c r="L20" i="22"/>
  <c r="L19" i="22"/>
  <c r="L18" i="22"/>
  <c r="L17" i="22"/>
  <c r="L16" i="22"/>
  <c r="L15" i="22"/>
  <c r="L14" i="22"/>
  <c r="L13" i="22"/>
  <c r="L12" i="22"/>
  <c r="L11" i="22"/>
  <c r="L10" i="22"/>
  <c r="L9" i="22"/>
  <c r="L8" i="22"/>
  <c r="L7" i="22"/>
  <c r="L6" i="22"/>
  <c r="L5" i="22"/>
  <c r="C449" i="22"/>
  <c r="C448" i="22"/>
  <c r="C447" i="22"/>
  <c r="C446" i="22"/>
  <c r="C445" i="22"/>
  <c r="C444" i="22"/>
  <c r="C443" i="22"/>
  <c r="C442" i="22"/>
  <c r="C441" i="22"/>
  <c r="C440" i="22"/>
  <c r="C439" i="22"/>
  <c r="C438" i="22"/>
  <c r="C437" i="22"/>
  <c r="C436" i="22"/>
  <c r="C435" i="22"/>
  <c r="C434" i="22"/>
  <c r="C433" i="22"/>
  <c r="C432" i="22"/>
  <c r="C431" i="22"/>
  <c r="C430" i="22"/>
  <c r="C429" i="22"/>
  <c r="C428" i="22"/>
  <c r="C427" i="22"/>
  <c r="C426" i="22"/>
  <c r="C425" i="22"/>
  <c r="C424" i="22"/>
  <c r="C423" i="22"/>
  <c r="C422" i="22"/>
  <c r="C421" i="22"/>
  <c r="C420" i="22"/>
  <c r="C419" i="22"/>
  <c r="C418" i="22"/>
  <c r="C417" i="22"/>
  <c r="C416" i="22"/>
  <c r="C415" i="22"/>
  <c r="C414" i="22"/>
  <c r="C413" i="22"/>
  <c r="C412" i="22"/>
  <c r="C411" i="22"/>
  <c r="C410" i="22"/>
  <c r="C409" i="22"/>
  <c r="C408" i="22"/>
  <c r="C407" i="22"/>
  <c r="C406" i="22"/>
  <c r="C405" i="22"/>
  <c r="C404" i="22"/>
  <c r="C403" i="22"/>
  <c r="C402" i="22"/>
  <c r="C401" i="22"/>
  <c r="C400" i="22"/>
  <c r="C399" i="22"/>
  <c r="C398" i="22"/>
  <c r="C397" i="22"/>
  <c r="C396" i="22"/>
  <c r="C395" i="22"/>
  <c r="C394" i="22"/>
  <c r="C393" i="22"/>
  <c r="C392" i="22"/>
  <c r="C391" i="22"/>
  <c r="C390" i="22"/>
  <c r="C389" i="22"/>
  <c r="C388" i="22"/>
  <c r="C387" i="22"/>
  <c r="C386" i="22"/>
  <c r="C385" i="22"/>
  <c r="C384" i="22"/>
  <c r="C383" i="22"/>
  <c r="C382" i="22"/>
  <c r="C381" i="22"/>
  <c r="C380" i="22"/>
  <c r="C379" i="22"/>
  <c r="C378" i="22"/>
  <c r="C377" i="22"/>
  <c r="C376" i="22"/>
  <c r="C375" i="22"/>
  <c r="C374" i="22"/>
  <c r="C373" i="22"/>
  <c r="C372" i="22"/>
  <c r="C371" i="22"/>
  <c r="C370" i="22"/>
  <c r="C369" i="22"/>
  <c r="C368" i="22"/>
  <c r="C367" i="22"/>
  <c r="C366" i="22"/>
  <c r="C365" i="22"/>
  <c r="C364" i="22"/>
  <c r="C363" i="22"/>
  <c r="C362" i="22"/>
  <c r="C361" i="22"/>
  <c r="C360" i="22"/>
  <c r="C359" i="22"/>
  <c r="C358" i="22"/>
  <c r="C357" i="22"/>
  <c r="C356" i="22"/>
  <c r="C355" i="22"/>
  <c r="C354" i="22"/>
  <c r="C353" i="22"/>
  <c r="C352" i="22"/>
  <c r="C351" i="22"/>
  <c r="C350" i="22"/>
  <c r="C349" i="22"/>
  <c r="C348" i="22"/>
  <c r="C347" i="22"/>
  <c r="C346" i="22"/>
  <c r="C345" i="22"/>
  <c r="C344" i="22"/>
  <c r="C343" i="22"/>
  <c r="C342" i="22"/>
  <c r="C341" i="22"/>
  <c r="C340" i="22"/>
  <c r="C339" i="22"/>
  <c r="C338" i="22"/>
  <c r="C337" i="22"/>
  <c r="C336" i="22"/>
  <c r="C335" i="22"/>
  <c r="C334" i="22"/>
  <c r="C333" i="22"/>
  <c r="C332" i="22"/>
  <c r="C331" i="22"/>
  <c r="C330" i="22"/>
  <c r="C329" i="22"/>
  <c r="C328" i="22"/>
  <c r="C327" i="22"/>
  <c r="C326" i="22"/>
  <c r="C325" i="22"/>
  <c r="C324" i="22"/>
  <c r="C323" i="22"/>
  <c r="C322" i="22"/>
  <c r="C321" i="22"/>
  <c r="C320" i="22"/>
  <c r="C319" i="22"/>
  <c r="C318" i="22"/>
  <c r="C317" i="22"/>
  <c r="C316" i="22"/>
  <c r="C315" i="22"/>
  <c r="C314" i="22"/>
  <c r="C313" i="22"/>
  <c r="C312" i="22"/>
  <c r="C311" i="22"/>
  <c r="C310" i="22"/>
  <c r="C309" i="22"/>
  <c r="C308" i="22"/>
  <c r="C307" i="22"/>
  <c r="C306" i="22"/>
  <c r="C305" i="22"/>
  <c r="C304" i="22"/>
  <c r="C303" i="22"/>
  <c r="C302" i="22"/>
  <c r="C301" i="22"/>
  <c r="C300" i="22"/>
  <c r="C299" i="22"/>
  <c r="C298" i="22"/>
  <c r="C297" i="22"/>
  <c r="C296" i="22"/>
  <c r="C295" i="22"/>
  <c r="C294" i="22"/>
  <c r="C293" i="22"/>
  <c r="C292" i="22"/>
  <c r="C291" i="22"/>
  <c r="C290" i="22"/>
  <c r="C289" i="22"/>
  <c r="C288" i="22"/>
  <c r="C287" i="22"/>
  <c r="C286" i="22"/>
  <c r="C285" i="22"/>
  <c r="C284" i="22"/>
  <c r="C283" i="22"/>
  <c r="C282" i="22"/>
  <c r="C281" i="22"/>
  <c r="C280" i="22"/>
  <c r="C279" i="22"/>
  <c r="C278" i="22"/>
  <c r="C277" i="22"/>
  <c r="C276" i="22"/>
  <c r="C275" i="22"/>
  <c r="C274" i="22"/>
  <c r="C273" i="22"/>
  <c r="C272" i="22"/>
  <c r="C271" i="22"/>
  <c r="C270" i="22"/>
  <c r="C269" i="22"/>
  <c r="C268" i="22"/>
  <c r="C267" i="22"/>
  <c r="C266" i="22"/>
  <c r="C265" i="22"/>
  <c r="C264" i="22"/>
  <c r="C263" i="22"/>
  <c r="C262" i="22"/>
  <c r="C261" i="22"/>
  <c r="C260" i="22"/>
  <c r="C259" i="22"/>
  <c r="C5" i="22"/>
  <c r="K5" i="22"/>
  <c r="C6" i="22"/>
  <c r="K6" i="22"/>
  <c r="C7" i="22"/>
  <c r="K7" i="22"/>
  <c r="C8" i="22"/>
  <c r="K8" i="22"/>
  <c r="C9" i="22"/>
  <c r="K9" i="22"/>
  <c r="C10" i="22"/>
  <c r="K10" i="22"/>
  <c r="C11" i="22"/>
  <c r="K11" i="22"/>
  <c r="C12" i="22"/>
  <c r="K12" i="22"/>
  <c r="C13" i="22"/>
  <c r="K13" i="22"/>
  <c r="C14" i="22"/>
  <c r="K14" i="22"/>
  <c r="C15" i="22"/>
  <c r="K15" i="22"/>
  <c r="C16" i="22"/>
  <c r="K16" i="22"/>
  <c r="C17" i="22"/>
  <c r="K17" i="22"/>
  <c r="C18" i="22"/>
  <c r="K18" i="22"/>
  <c r="C19" i="22"/>
  <c r="K19" i="22"/>
  <c r="C20" i="22"/>
  <c r="K20" i="22"/>
  <c r="C21" i="22"/>
  <c r="K21" i="22"/>
  <c r="C22" i="22"/>
  <c r="K22" i="22"/>
  <c r="C23" i="22"/>
  <c r="K23" i="22"/>
  <c r="C24" i="22"/>
  <c r="K24" i="22"/>
  <c r="C25" i="22"/>
  <c r="K25" i="22"/>
  <c r="C26" i="22"/>
  <c r="K26" i="22"/>
  <c r="C27" i="22"/>
  <c r="K27" i="22"/>
  <c r="C28" i="22"/>
  <c r="K28" i="22"/>
  <c r="C29" i="22"/>
  <c r="K29" i="22"/>
  <c r="C30" i="22"/>
  <c r="K30" i="22"/>
  <c r="C31" i="22"/>
  <c r="K31" i="22"/>
  <c r="C32" i="22"/>
  <c r="K32" i="22"/>
  <c r="C33" i="22"/>
  <c r="K33" i="22"/>
  <c r="C34" i="22"/>
  <c r="K34" i="22"/>
  <c r="C35" i="22"/>
  <c r="K35" i="22"/>
  <c r="C36" i="22"/>
  <c r="K36" i="22"/>
  <c r="C37" i="22"/>
  <c r="K37" i="22"/>
  <c r="C38" i="22"/>
  <c r="K38" i="22"/>
  <c r="C39" i="22"/>
  <c r="K39" i="22"/>
  <c r="C40" i="22"/>
  <c r="K40" i="22"/>
  <c r="C41" i="22"/>
  <c r="K41" i="22"/>
  <c r="C42" i="22"/>
  <c r="K42" i="22"/>
  <c r="C43" i="22"/>
  <c r="K43" i="22"/>
  <c r="C44" i="22"/>
  <c r="K44" i="22"/>
  <c r="C45" i="22"/>
  <c r="K45" i="22"/>
  <c r="C46" i="22"/>
  <c r="K46" i="22"/>
  <c r="C47" i="22"/>
  <c r="K47" i="22"/>
  <c r="C48" i="22"/>
  <c r="K48" i="22"/>
  <c r="C49" i="22"/>
  <c r="K49" i="22"/>
  <c r="C50" i="22"/>
  <c r="K50" i="22"/>
  <c r="C51" i="22"/>
  <c r="K51" i="22"/>
  <c r="C52" i="22"/>
  <c r="K52" i="22"/>
  <c r="C53" i="22"/>
  <c r="K53" i="22"/>
  <c r="C54" i="22"/>
  <c r="K54" i="22"/>
  <c r="C55" i="22"/>
  <c r="K55" i="22"/>
  <c r="C56" i="22"/>
  <c r="K56" i="22"/>
  <c r="C57" i="22"/>
  <c r="K57" i="22"/>
  <c r="C58" i="22"/>
  <c r="K58" i="22"/>
  <c r="C59" i="22"/>
  <c r="K59" i="22"/>
  <c r="C60" i="22"/>
  <c r="K60" i="22"/>
  <c r="C61" i="22"/>
  <c r="K61" i="22"/>
  <c r="C62" i="22"/>
  <c r="K62" i="22"/>
  <c r="C63" i="22"/>
  <c r="K63" i="22"/>
  <c r="C64" i="22"/>
  <c r="K64" i="22"/>
  <c r="C65" i="22"/>
  <c r="K65" i="22"/>
  <c r="C66" i="22"/>
  <c r="K66" i="22"/>
  <c r="C67" i="22"/>
  <c r="K67" i="22"/>
  <c r="C68" i="22"/>
  <c r="K68" i="22"/>
  <c r="C69" i="22"/>
  <c r="K69" i="22"/>
  <c r="C70" i="22"/>
  <c r="K70" i="22"/>
  <c r="C71" i="22"/>
  <c r="K71" i="22"/>
  <c r="C72" i="22"/>
  <c r="K72" i="22"/>
  <c r="C73" i="22"/>
  <c r="K73" i="22"/>
  <c r="C74" i="22"/>
  <c r="K74" i="22"/>
  <c r="C75" i="22"/>
  <c r="K75" i="22"/>
  <c r="C76" i="22"/>
  <c r="K76" i="22"/>
  <c r="C77" i="22"/>
  <c r="K77" i="22"/>
  <c r="C78" i="22"/>
  <c r="K78" i="22"/>
  <c r="C79" i="22"/>
  <c r="K79" i="22"/>
  <c r="C80" i="22"/>
  <c r="K80" i="22"/>
  <c r="C81" i="22"/>
  <c r="K81" i="22"/>
  <c r="C82" i="22"/>
  <c r="K82" i="22"/>
  <c r="C83" i="22"/>
  <c r="K83" i="22"/>
  <c r="C84" i="22"/>
  <c r="K84" i="22"/>
  <c r="C85" i="22"/>
  <c r="K85" i="22"/>
  <c r="C86" i="22"/>
  <c r="K86" i="22"/>
  <c r="C87" i="22"/>
  <c r="K87" i="22"/>
  <c r="C88" i="22"/>
  <c r="K88" i="22"/>
  <c r="C89" i="22"/>
  <c r="K89" i="22"/>
  <c r="C90" i="22"/>
  <c r="K90" i="22"/>
  <c r="C91" i="22"/>
  <c r="K91" i="22"/>
  <c r="C92" i="22"/>
  <c r="K92" i="22"/>
  <c r="C93" i="22"/>
  <c r="K93" i="22"/>
  <c r="C94" i="22"/>
  <c r="K94" i="22"/>
  <c r="C95" i="22"/>
  <c r="K95" i="22"/>
  <c r="C96" i="22"/>
  <c r="K96" i="22"/>
  <c r="C97" i="22"/>
  <c r="K97" i="22"/>
  <c r="C98" i="22"/>
  <c r="K98" i="22"/>
  <c r="C99" i="22"/>
  <c r="K99" i="22"/>
  <c r="C100" i="22"/>
  <c r="K100" i="22"/>
  <c r="C101" i="22"/>
  <c r="K101" i="22"/>
  <c r="C102" i="22"/>
  <c r="K102" i="22"/>
  <c r="C103" i="22"/>
  <c r="K103" i="22"/>
  <c r="C104" i="22"/>
  <c r="K104" i="22"/>
  <c r="C105" i="22"/>
  <c r="K105" i="22"/>
  <c r="C106" i="22"/>
  <c r="K106" i="22"/>
  <c r="C107" i="22"/>
  <c r="K107" i="22"/>
  <c r="C108" i="22"/>
  <c r="K108" i="22"/>
  <c r="C109" i="22"/>
  <c r="K109" i="22"/>
  <c r="C110" i="22"/>
  <c r="K110" i="22"/>
  <c r="C111" i="22"/>
  <c r="K111" i="22"/>
  <c r="C112" i="22"/>
  <c r="K112" i="22"/>
  <c r="C113" i="22"/>
  <c r="K113" i="22"/>
  <c r="C114" i="22"/>
  <c r="K114" i="22"/>
  <c r="C115" i="22"/>
  <c r="K115" i="22"/>
  <c r="C116" i="22"/>
  <c r="K116" i="22"/>
  <c r="C117" i="22"/>
  <c r="K117" i="22"/>
  <c r="C118" i="22"/>
  <c r="K118" i="22"/>
  <c r="C119" i="22"/>
  <c r="K119" i="22"/>
  <c r="C120" i="22"/>
  <c r="K120" i="22"/>
  <c r="C121" i="22"/>
  <c r="K121" i="22"/>
  <c r="C122" i="22"/>
  <c r="K122" i="22"/>
  <c r="C123" i="22"/>
  <c r="K123" i="22"/>
  <c r="C124" i="22"/>
  <c r="K124" i="22"/>
  <c r="C125" i="22"/>
  <c r="K125" i="22"/>
  <c r="C126" i="22"/>
  <c r="K126" i="22"/>
  <c r="C127" i="22"/>
  <c r="K127" i="22"/>
  <c r="C128" i="22"/>
  <c r="K128" i="22"/>
  <c r="C129" i="22"/>
  <c r="K129" i="22"/>
  <c r="C130" i="22"/>
  <c r="K130" i="22"/>
  <c r="C131" i="22"/>
  <c r="K131" i="22"/>
  <c r="C132" i="22"/>
  <c r="K132" i="22"/>
  <c r="C133" i="22"/>
  <c r="K133" i="22"/>
  <c r="C134" i="22"/>
  <c r="K134" i="22"/>
  <c r="C135" i="22"/>
  <c r="K135" i="22"/>
  <c r="C136" i="22"/>
  <c r="K136" i="22"/>
  <c r="C137" i="22"/>
  <c r="K137" i="22"/>
  <c r="C138" i="22"/>
  <c r="K138" i="22"/>
  <c r="C139" i="22"/>
  <c r="K139" i="22"/>
  <c r="C140" i="22"/>
  <c r="K140" i="22"/>
  <c r="C141" i="22"/>
  <c r="K141" i="22"/>
  <c r="C142" i="22"/>
  <c r="K142" i="22"/>
  <c r="C143" i="22"/>
  <c r="K143" i="22"/>
  <c r="C144" i="22"/>
  <c r="K144" i="22"/>
  <c r="C145" i="22"/>
  <c r="K145" i="22"/>
  <c r="C146" i="22"/>
  <c r="K146" i="22"/>
  <c r="C147" i="22"/>
  <c r="K147" i="22"/>
  <c r="C148" i="22"/>
  <c r="K148" i="22"/>
  <c r="C149" i="22"/>
  <c r="K149" i="22"/>
  <c r="C150" i="22"/>
  <c r="K150" i="22"/>
  <c r="C151" i="22"/>
  <c r="K151" i="22"/>
  <c r="C152" i="22"/>
  <c r="K152" i="22"/>
  <c r="C153" i="22"/>
  <c r="K153" i="22"/>
  <c r="C154" i="22"/>
  <c r="K154" i="22"/>
  <c r="C155" i="22"/>
  <c r="K155" i="22"/>
  <c r="C156" i="22"/>
  <c r="K156" i="22"/>
  <c r="C157" i="22"/>
  <c r="K157" i="22"/>
  <c r="C158" i="22"/>
  <c r="K158" i="22"/>
  <c r="C159" i="22"/>
  <c r="K159" i="22"/>
  <c r="C160" i="22"/>
  <c r="K160" i="22"/>
  <c r="C161" i="22"/>
  <c r="K161" i="22"/>
  <c r="C162" i="22"/>
  <c r="K162" i="22"/>
  <c r="C163" i="22"/>
  <c r="K163" i="22"/>
  <c r="C164" i="22"/>
  <c r="K164" i="22"/>
  <c r="C165" i="22"/>
  <c r="K165" i="22"/>
  <c r="C166" i="22"/>
  <c r="K166" i="22"/>
  <c r="C167" i="22"/>
  <c r="K167" i="22"/>
  <c r="C168" i="22"/>
  <c r="K168" i="22"/>
  <c r="C169" i="22"/>
  <c r="K169" i="22"/>
  <c r="C170" i="22"/>
  <c r="K170" i="22"/>
  <c r="C171" i="22"/>
  <c r="K171" i="22"/>
  <c r="C172" i="22"/>
  <c r="K172" i="22"/>
  <c r="C173" i="22"/>
  <c r="K173" i="22"/>
  <c r="C174" i="22"/>
  <c r="K174" i="22"/>
  <c r="C175" i="22"/>
  <c r="K175" i="22"/>
  <c r="C176" i="22"/>
  <c r="K176" i="22"/>
  <c r="C177" i="22"/>
  <c r="K177" i="22"/>
  <c r="C178" i="22"/>
  <c r="K178" i="22"/>
  <c r="C179" i="22"/>
  <c r="K179" i="22"/>
  <c r="C180" i="22"/>
  <c r="K180" i="22"/>
  <c r="C181" i="22"/>
  <c r="K181" i="22"/>
  <c r="C182" i="22"/>
  <c r="K182" i="22"/>
  <c r="C183" i="22"/>
  <c r="K183" i="22"/>
  <c r="C184" i="22"/>
  <c r="K184" i="22"/>
  <c r="C185" i="22"/>
  <c r="K185" i="22"/>
  <c r="C186" i="22"/>
  <c r="K186" i="22"/>
  <c r="C187" i="22"/>
  <c r="K187" i="22"/>
  <c r="C188" i="22"/>
  <c r="K188" i="22"/>
  <c r="C189" i="22"/>
  <c r="K189" i="22"/>
  <c r="C190" i="22"/>
  <c r="K190" i="22"/>
  <c r="C191" i="22"/>
  <c r="K191" i="22"/>
  <c r="C192" i="22"/>
  <c r="K192" i="22"/>
  <c r="C193" i="22"/>
  <c r="K193" i="22"/>
  <c r="C194" i="22"/>
  <c r="K194" i="22"/>
  <c r="C195" i="22"/>
  <c r="K195" i="22"/>
  <c r="C196" i="22"/>
  <c r="K196" i="22"/>
  <c r="C197" i="22"/>
  <c r="K197" i="22"/>
  <c r="C198" i="22"/>
  <c r="K198" i="22"/>
  <c r="C199" i="22"/>
  <c r="K199" i="22"/>
  <c r="C200" i="22"/>
  <c r="K200" i="22"/>
  <c r="C201" i="22"/>
  <c r="K201" i="22"/>
  <c r="C202" i="22"/>
  <c r="K202" i="22"/>
  <c r="C203" i="22"/>
  <c r="K203" i="22"/>
  <c r="C204" i="22"/>
  <c r="K204" i="22"/>
  <c r="C205" i="22"/>
  <c r="K205" i="22"/>
  <c r="C206" i="22"/>
  <c r="K206" i="22"/>
  <c r="C207" i="22"/>
  <c r="K207" i="22"/>
  <c r="C208" i="22"/>
  <c r="K208" i="22"/>
  <c r="C209" i="22"/>
  <c r="K209" i="22"/>
  <c r="C210" i="22"/>
  <c r="K210" i="22"/>
  <c r="C211" i="22"/>
  <c r="K211" i="22"/>
  <c r="C212" i="22"/>
  <c r="K212" i="22"/>
  <c r="C213" i="22"/>
  <c r="K213" i="22"/>
  <c r="C214" i="22"/>
  <c r="K214" i="22"/>
  <c r="C215" i="22"/>
  <c r="K215" i="22"/>
  <c r="C216" i="22"/>
  <c r="K216" i="22"/>
  <c r="C217" i="22"/>
  <c r="K217" i="22"/>
  <c r="C218" i="22"/>
  <c r="K218" i="22"/>
  <c r="C219" i="22"/>
  <c r="K219" i="22"/>
  <c r="C220" i="22"/>
  <c r="K220" i="22"/>
  <c r="C221" i="22"/>
  <c r="K221" i="22"/>
  <c r="C222" i="22"/>
  <c r="K222" i="22"/>
  <c r="C223" i="22"/>
  <c r="K223" i="22"/>
  <c r="C224" i="22"/>
  <c r="K224" i="22"/>
  <c r="C225" i="22"/>
  <c r="K225" i="22"/>
  <c r="C226" i="22"/>
  <c r="K226" i="22"/>
  <c r="C227" i="22"/>
  <c r="K227" i="22"/>
  <c r="C228" i="22"/>
  <c r="K228" i="22"/>
  <c r="C229" i="22"/>
  <c r="K229" i="22"/>
  <c r="C230" i="22"/>
  <c r="K230" i="22"/>
  <c r="C231" i="22"/>
  <c r="K231" i="22"/>
  <c r="C232" i="22"/>
  <c r="K232" i="22"/>
  <c r="C233" i="22"/>
  <c r="K233" i="22"/>
  <c r="C234" i="22"/>
  <c r="K234" i="22"/>
  <c r="C235" i="22"/>
  <c r="K235" i="22"/>
  <c r="C236" i="22"/>
  <c r="K236" i="22"/>
  <c r="C237" i="22"/>
  <c r="K237" i="22"/>
  <c r="C238" i="22"/>
  <c r="K238" i="22"/>
  <c r="C239" i="22"/>
  <c r="K239" i="22"/>
  <c r="C240" i="22"/>
  <c r="K240" i="22"/>
  <c r="C241" i="22"/>
  <c r="K241" i="22"/>
  <c r="C242" i="22"/>
  <c r="K242" i="22"/>
  <c r="C243" i="22"/>
  <c r="K243" i="22"/>
  <c r="C244" i="22"/>
  <c r="K244" i="22"/>
  <c r="C245" i="22"/>
  <c r="K245" i="22"/>
  <c r="C246" i="22"/>
  <c r="K246" i="22"/>
  <c r="C247" i="22"/>
  <c r="K247" i="22"/>
  <c r="C248" i="22"/>
  <c r="K248" i="22"/>
  <c r="C249" i="22"/>
  <c r="K249" i="22"/>
  <c r="C250" i="22"/>
  <c r="K250" i="22"/>
  <c r="C251" i="22"/>
  <c r="K251" i="22"/>
  <c r="C252" i="22"/>
  <c r="K252" i="22"/>
  <c r="C253" i="22"/>
  <c r="K253" i="22"/>
  <c r="C254" i="22"/>
  <c r="K254" i="22"/>
  <c r="C255" i="22"/>
  <c r="K255" i="22"/>
  <c r="C256" i="22"/>
  <c r="K256" i="22"/>
  <c r="C257" i="22"/>
  <c r="K257" i="22"/>
  <c r="C258" i="22"/>
  <c r="K258" i="22"/>
  <c r="K259" i="22"/>
  <c r="K260" i="22"/>
  <c r="K261" i="22"/>
  <c r="K262" i="22"/>
  <c r="K263" i="22"/>
  <c r="K264" i="22"/>
  <c r="K265" i="22"/>
  <c r="K266" i="22"/>
  <c r="K267" i="22"/>
  <c r="K268" i="22"/>
  <c r="K269" i="22"/>
  <c r="K270" i="22"/>
  <c r="K271" i="22"/>
  <c r="K272" i="22"/>
  <c r="K273" i="22"/>
  <c r="K274" i="22"/>
  <c r="K275" i="22"/>
  <c r="K276" i="22"/>
  <c r="K277" i="22"/>
  <c r="K278" i="22"/>
  <c r="K279" i="22"/>
  <c r="K280" i="22"/>
  <c r="K281" i="22"/>
  <c r="K282" i="22"/>
  <c r="K283" i="22"/>
  <c r="K284" i="22"/>
  <c r="K285" i="22"/>
  <c r="K286" i="22"/>
  <c r="K287" i="22"/>
  <c r="K288" i="22"/>
  <c r="K289" i="22"/>
  <c r="K290" i="22"/>
  <c r="K291" i="22"/>
  <c r="K292" i="22"/>
  <c r="K293" i="22"/>
  <c r="K294" i="22"/>
  <c r="K295" i="22"/>
  <c r="K296" i="22"/>
  <c r="K297" i="22"/>
  <c r="K298" i="22"/>
  <c r="K299" i="22"/>
  <c r="K300" i="22"/>
  <c r="K301" i="22"/>
  <c r="K302" i="22"/>
  <c r="K303" i="22"/>
  <c r="K304" i="22"/>
  <c r="K305" i="22"/>
  <c r="K306" i="22"/>
  <c r="K307" i="22"/>
  <c r="K308" i="22"/>
  <c r="K309" i="22"/>
  <c r="K310" i="22"/>
  <c r="K311" i="22"/>
  <c r="K312" i="22"/>
  <c r="K313" i="22"/>
  <c r="K314" i="22"/>
  <c r="K315" i="22"/>
  <c r="K316" i="22"/>
  <c r="K317" i="22"/>
  <c r="K318" i="22"/>
  <c r="K319" i="22"/>
  <c r="K320" i="22"/>
  <c r="K321" i="22"/>
  <c r="K322" i="22"/>
  <c r="K323" i="22"/>
  <c r="K324" i="22"/>
  <c r="K325" i="22"/>
  <c r="K326" i="22"/>
  <c r="K327" i="22"/>
  <c r="K328" i="22"/>
  <c r="K329" i="22"/>
  <c r="K330" i="22"/>
  <c r="K331" i="22"/>
  <c r="K332" i="22"/>
  <c r="K333" i="22"/>
  <c r="K334" i="22"/>
  <c r="K335" i="22"/>
  <c r="K336" i="22"/>
  <c r="K337" i="22"/>
  <c r="K338" i="22"/>
  <c r="K339" i="22"/>
  <c r="K340" i="22"/>
  <c r="K341" i="22"/>
  <c r="K342" i="22"/>
  <c r="K343" i="22"/>
  <c r="K344" i="22"/>
  <c r="K345" i="22"/>
  <c r="K346" i="22"/>
  <c r="K347" i="22"/>
  <c r="K348" i="22"/>
  <c r="K349" i="22"/>
  <c r="K350" i="22"/>
  <c r="K351" i="22"/>
  <c r="K352" i="22"/>
  <c r="K353" i="22"/>
  <c r="K354" i="22"/>
  <c r="K355" i="22"/>
  <c r="K356" i="22"/>
  <c r="K357" i="22"/>
  <c r="K358" i="22"/>
  <c r="K359" i="22"/>
  <c r="K360" i="22"/>
  <c r="K361" i="22"/>
  <c r="K362" i="22"/>
  <c r="K363" i="22"/>
  <c r="K364" i="22"/>
  <c r="K365" i="22"/>
  <c r="K366" i="22"/>
  <c r="K367" i="22"/>
  <c r="K368" i="22"/>
  <c r="K369" i="22"/>
  <c r="K370" i="22"/>
  <c r="K371" i="22"/>
  <c r="K372" i="22"/>
  <c r="K373" i="22"/>
  <c r="K374" i="22"/>
  <c r="K375" i="22"/>
  <c r="K376" i="22"/>
  <c r="K377" i="22"/>
  <c r="K378" i="22"/>
  <c r="K379" i="22"/>
  <c r="K380" i="22"/>
  <c r="K381" i="22"/>
  <c r="K382" i="22"/>
  <c r="K383" i="22"/>
  <c r="K384" i="22"/>
  <c r="K385" i="22"/>
  <c r="K386" i="22"/>
  <c r="K387" i="22"/>
  <c r="K388" i="22"/>
  <c r="K389" i="22"/>
  <c r="K390" i="22"/>
  <c r="K391" i="22"/>
  <c r="K392" i="22"/>
  <c r="K393" i="22"/>
  <c r="K394" i="22"/>
  <c r="K395" i="22"/>
  <c r="K396" i="22"/>
  <c r="K397" i="22"/>
  <c r="K398" i="22"/>
  <c r="K399" i="22"/>
  <c r="K400" i="22"/>
  <c r="K401" i="22"/>
  <c r="K402" i="22"/>
  <c r="K403" i="22"/>
  <c r="K404" i="22"/>
  <c r="K405" i="22"/>
  <c r="K406" i="22"/>
  <c r="K407" i="22"/>
  <c r="K408" i="22"/>
  <c r="K409" i="22"/>
  <c r="K410" i="22"/>
  <c r="K411" i="22"/>
  <c r="K412" i="22"/>
  <c r="K413" i="22"/>
  <c r="K414" i="22"/>
  <c r="K415" i="22"/>
  <c r="K416" i="22"/>
  <c r="K417" i="22"/>
  <c r="K418" i="22"/>
  <c r="K419" i="22"/>
  <c r="K420" i="22"/>
  <c r="K421" i="22"/>
  <c r="K422" i="22"/>
  <c r="K423" i="22"/>
  <c r="K424" i="22"/>
  <c r="K425" i="22"/>
  <c r="K426" i="22"/>
  <c r="K427" i="22"/>
  <c r="K428" i="22"/>
  <c r="K429" i="22"/>
  <c r="K430" i="22"/>
  <c r="K431" i="22"/>
  <c r="K432" i="22"/>
  <c r="K433" i="22"/>
  <c r="K434" i="22"/>
  <c r="K435" i="22"/>
  <c r="K436" i="22"/>
  <c r="K437" i="22"/>
  <c r="K438" i="22"/>
  <c r="K439" i="22"/>
  <c r="K440" i="22"/>
  <c r="K441" i="22"/>
  <c r="K442" i="22"/>
  <c r="K443" i="22"/>
  <c r="K444" i="22"/>
  <c r="K445" i="22"/>
  <c r="K446" i="22"/>
  <c r="K447" i="22"/>
  <c r="K448" i="22"/>
  <c r="K449" i="22"/>
  <c r="J5" i="22"/>
  <c r="J6" i="22"/>
  <c r="J7" i="22"/>
  <c r="J8" i="22"/>
  <c r="J9" i="22"/>
  <c r="J10" i="22"/>
  <c r="J11" i="22"/>
  <c r="J12" i="22"/>
  <c r="J13" i="22"/>
  <c r="J14" i="22"/>
  <c r="J15" i="22"/>
  <c r="J16" i="22"/>
  <c r="J17" i="22"/>
  <c r="J18" i="22"/>
  <c r="J19" i="22"/>
  <c r="J20" i="22"/>
  <c r="J21" i="22"/>
  <c r="J22" i="22"/>
  <c r="J23" i="22"/>
  <c r="J24" i="22"/>
  <c r="J25" i="22"/>
  <c r="J26" i="22"/>
  <c r="J27" i="22"/>
  <c r="J28" i="22"/>
  <c r="J29" i="22"/>
  <c r="J30" i="22"/>
  <c r="J31" i="22"/>
  <c r="J32" i="22"/>
  <c r="J33" i="22"/>
  <c r="J34" i="22"/>
  <c r="J35" i="22"/>
  <c r="J36" i="22"/>
  <c r="J37" i="22"/>
  <c r="J38" i="22"/>
  <c r="J39" i="22"/>
  <c r="J40" i="22"/>
  <c r="J41" i="22"/>
  <c r="J42" i="22"/>
  <c r="J43" i="22"/>
  <c r="J44" i="22"/>
  <c r="J45" i="22"/>
  <c r="J46" i="22"/>
  <c r="J47" i="22"/>
  <c r="J48" i="22"/>
  <c r="J49" i="22"/>
  <c r="J50" i="22"/>
  <c r="J51" i="22"/>
  <c r="J52" i="22"/>
  <c r="J53" i="22"/>
  <c r="J54" i="22"/>
  <c r="J55" i="22"/>
  <c r="J56" i="22"/>
  <c r="J57" i="22"/>
  <c r="J58" i="22"/>
  <c r="J59" i="22"/>
  <c r="J60" i="22"/>
  <c r="J61" i="22"/>
  <c r="J62" i="22"/>
  <c r="J63" i="22"/>
  <c r="J64" i="22"/>
  <c r="J65" i="22"/>
  <c r="J66" i="22"/>
  <c r="J67" i="22"/>
  <c r="J68" i="22"/>
  <c r="J69" i="22"/>
  <c r="J70" i="22"/>
  <c r="J71" i="22"/>
  <c r="J72" i="22"/>
  <c r="J73" i="22"/>
  <c r="J74" i="22"/>
  <c r="J75" i="22"/>
  <c r="J76" i="22"/>
  <c r="J77" i="22"/>
  <c r="J78" i="22"/>
  <c r="J79" i="22"/>
  <c r="J80" i="22"/>
  <c r="J81" i="22"/>
  <c r="J82" i="22"/>
  <c r="J83" i="22"/>
  <c r="J84" i="22"/>
  <c r="J85" i="22"/>
  <c r="J86" i="22"/>
  <c r="J87" i="22"/>
  <c r="J88" i="22"/>
  <c r="J89" i="22"/>
  <c r="J90" i="22"/>
  <c r="J91" i="22"/>
  <c r="J92" i="22"/>
  <c r="J93" i="22"/>
  <c r="J94" i="22"/>
  <c r="J95" i="22"/>
  <c r="J96" i="22"/>
  <c r="J97" i="22"/>
  <c r="J98" i="22"/>
  <c r="J99" i="22"/>
  <c r="J100" i="22"/>
  <c r="J101" i="22"/>
  <c r="J102" i="22"/>
  <c r="J103" i="22"/>
  <c r="J104" i="22"/>
  <c r="J105" i="22"/>
  <c r="J106" i="22"/>
  <c r="J107" i="22"/>
  <c r="J108" i="22"/>
  <c r="J109" i="22"/>
  <c r="J110" i="22"/>
  <c r="J111" i="22"/>
  <c r="J112" i="22"/>
  <c r="J113" i="22"/>
  <c r="J114" i="22"/>
  <c r="J115" i="22"/>
  <c r="J116" i="22"/>
  <c r="J117" i="22"/>
  <c r="J118" i="22"/>
  <c r="J119" i="22"/>
  <c r="J120" i="22"/>
  <c r="J121" i="22"/>
  <c r="J122" i="22"/>
  <c r="J123" i="22"/>
  <c r="J124" i="22"/>
  <c r="J125" i="22"/>
  <c r="J126" i="22"/>
  <c r="J127" i="22"/>
  <c r="J128" i="22"/>
  <c r="J129" i="22"/>
  <c r="J130" i="22"/>
  <c r="J131" i="22"/>
  <c r="J132" i="22"/>
  <c r="J133" i="22"/>
  <c r="J134" i="22"/>
  <c r="J135" i="22"/>
  <c r="J136" i="22"/>
  <c r="J137" i="22"/>
  <c r="J138" i="22"/>
  <c r="J139" i="22"/>
  <c r="J140" i="22"/>
  <c r="J141" i="22"/>
  <c r="J142" i="22"/>
  <c r="J143" i="22"/>
  <c r="J144" i="22"/>
  <c r="J145" i="22"/>
  <c r="J146" i="22"/>
  <c r="J147" i="22"/>
  <c r="J148" i="22"/>
  <c r="J149" i="22"/>
  <c r="J150" i="22"/>
  <c r="J151" i="22"/>
  <c r="J152" i="22"/>
  <c r="J153" i="22"/>
  <c r="J154" i="22"/>
  <c r="J155" i="22"/>
  <c r="J156" i="22"/>
  <c r="J157" i="22"/>
  <c r="J158" i="22"/>
  <c r="J159" i="22"/>
  <c r="J160" i="22"/>
  <c r="J161" i="22"/>
  <c r="J162" i="22"/>
  <c r="J163" i="22"/>
  <c r="J164" i="22"/>
  <c r="J165" i="22"/>
  <c r="J166" i="22"/>
  <c r="J167" i="22"/>
  <c r="J168" i="22"/>
  <c r="J169" i="22"/>
  <c r="J170" i="22"/>
  <c r="J171" i="22"/>
  <c r="J172" i="22"/>
  <c r="J173" i="22"/>
  <c r="J174" i="22"/>
  <c r="J175" i="22"/>
  <c r="J176" i="22"/>
  <c r="J177" i="22"/>
  <c r="J178" i="22"/>
  <c r="J179" i="22"/>
  <c r="J180" i="22"/>
  <c r="J181" i="22"/>
  <c r="J182" i="22"/>
  <c r="J183" i="22"/>
  <c r="J184" i="22"/>
  <c r="J185" i="22"/>
  <c r="J186" i="22"/>
  <c r="J187" i="22"/>
  <c r="J188" i="22"/>
  <c r="J189" i="22"/>
  <c r="J190" i="22"/>
  <c r="J191" i="22"/>
  <c r="J192" i="22"/>
  <c r="J193" i="22"/>
  <c r="J194" i="22"/>
  <c r="J195" i="22"/>
  <c r="J196" i="22"/>
  <c r="J197" i="22"/>
  <c r="J198" i="22"/>
  <c r="J199" i="22"/>
  <c r="J200" i="22"/>
  <c r="J201" i="22"/>
  <c r="J202" i="22"/>
  <c r="J203" i="22"/>
  <c r="J204" i="22"/>
  <c r="J205" i="22"/>
  <c r="J206" i="22"/>
  <c r="J207" i="22"/>
  <c r="J208" i="22"/>
  <c r="J209" i="22"/>
  <c r="J210" i="22"/>
  <c r="J211" i="22"/>
  <c r="J212" i="22"/>
  <c r="J213" i="22"/>
  <c r="J214" i="22"/>
  <c r="J215" i="22"/>
  <c r="J216" i="22"/>
  <c r="J217" i="22"/>
  <c r="J218" i="22"/>
  <c r="J219" i="22"/>
  <c r="J220" i="22"/>
  <c r="J221" i="22"/>
  <c r="J222" i="22"/>
  <c r="J223" i="22"/>
  <c r="J224" i="22"/>
  <c r="J225" i="22"/>
  <c r="J226" i="22"/>
  <c r="J227" i="22"/>
  <c r="J228" i="22"/>
  <c r="J229" i="22"/>
  <c r="J230" i="22"/>
  <c r="J231" i="22"/>
  <c r="J232" i="22"/>
  <c r="J233" i="22"/>
  <c r="J234" i="22"/>
  <c r="J235" i="22"/>
  <c r="J236" i="22"/>
  <c r="J237" i="22"/>
  <c r="J238" i="22"/>
  <c r="J239" i="22"/>
  <c r="J240" i="22"/>
  <c r="J241" i="22"/>
  <c r="J242" i="22"/>
  <c r="J243" i="22"/>
  <c r="J244" i="22"/>
  <c r="J245" i="22"/>
  <c r="J246" i="22"/>
  <c r="J247" i="22"/>
  <c r="J248" i="22"/>
  <c r="J249" i="22"/>
  <c r="J250" i="22"/>
  <c r="J251" i="22"/>
  <c r="J252" i="22"/>
  <c r="J253" i="22"/>
  <c r="J254" i="22"/>
  <c r="J255" i="22"/>
  <c r="J256" i="22"/>
  <c r="J257" i="22"/>
  <c r="J258" i="22"/>
  <c r="J259" i="22"/>
  <c r="J260" i="22"/>
  <c r="J261" i="22"/>
  <c r="J262" i="22"/>
  <c r="J263" i="22"/>
  <c r="J264" i="22"/>
  <c r="J265" i="22"/>
  <c r="J266" i="22"/>
  <c r="J267" i="22"/>
  <c r="J268" i="22"/>
  <c r="J269" i="22"/>
  <c r="J270" i="22"/>
  <c r="J271" i="22"/>
  <c r="J272" i="22"/>
  <c r="J273" i="22"/>
  <c r="J274" i="22"/>
  <c r="J275" i="22"/>
  <c r="J276" i="22"/>
  <c r="J277" i="22"/>
  <c r="J278" i="22"/>
  <c r="J279" i="22"/>
  <c r="J280" i="22"/>
  <c r="J281" i="22"/>
  <c r="J282" i="22"/>
  <c r="J283" i="22"/>
  <c r="J284" i="22"/>
  <c r="J285" i="22"/>
  <c r="J286" i="22"/>
  <c r="J287" i="22"/>
  <c r="J288" i="22"/>
  <c r="J289" i="22"/>
  <c r="J290" i="22"/>
  <c r="J291" i="22"/>
  <c r="J292" i="22"/>
  <c r="J293" i="22"/>
  <c r="J294" i="22"/>
  <c r="J295" i="22"/>
  <c r="J296" i="22"/>
  <c r="J297" i="22"/>
  <c r="J298" i="22"/>
  <c r="J299" i="22"/>
  <c r="J300" i="22"/>
  <c r="J301" i="22"/>
  <c r="J302" i="22"/>
  <c r="J303" i="22"/>
  <c r="J304" i="22"/>
  <c r="J305" i="22"/>
  <c r="J306" i="22"/>
  <c r="J307" i="22"/>
  <c r="J308" i="22"/>
  <c r="J309" i="22"/>
  <c r="J310" i="22"/>
  <c r="J311" i="22"/>
  <c r="J312" i="22"/>
  <c r="J313" i="22"/>
  <c r="J314" i="22"/>
  <c r="J315" i="22"/>
  <c r="J316" i="22"/>
  <c r="J317" i="22"/>
  <c r="J1" i="22" l="1"/>
  <c r="K1" i="22"/>
  <c r="C1" i="22"/>
  <c r="G1" i="22" s="1"/>
  <c r="L1" i="22"/>
  <c r="K3" i="22"/>
  <c r="C2" i="22"/>
  <c r="G2" i="22" s="1"/>
  <c r="L3" i="22"/>
  <c r="M1" i="22"/>
  <c r="K2" i="22"/>
  <c r="L2" i="22"/>
  <c r="M2" i="22"/>
  <c r="C3" i="22"/>
  <c r="G3" i="22" s="1"/>
  <c r="M3" i="22"/>
  <c r="J2" i="22"/>
  <c r="J3" i="22"/>
  <c r="X597" i="19"/>
  <c r="AF31" i="19"/>
  <c r="AF32" i="19"/>
  <c r="AF33" i="19"/>
  <c r="AF34" i="19"/>
  <c r="AF35" i="19"/>
  <c r="AE90" i="19" s="1"/>
  <c r="AE91" i="19" s="1"/>
  <c r="AF36" i="19"/>
  <c r="AF37" i="19"/>
  <c r="AF38" i="19"/>
  <c r="AF39" i="19"/>
  <c r="AF40" i="19"/>
  <c r="AF41" i="19"/>
  <c r="AF42" i="19"/>
  <c r="AF43" i="19"/>
  <c r="AF44" i="19"/>
  <c r="AF45" i="19"/>
  <c r="AF46" i="19"/>
  <c r="AF47" i="19"/>
  <c r="AF48" i="19"/>
  <c r="AF49" i="19"/>
  <c r="AF50" i="19"/>
  <c r="AF51" i="19"/>
  <c r="AF52" i="19"/>
  <c r="AF53" i="19"/>
  <c r="AF54" i="19"/>
  <c r="AF55" i="19"/>
  <c r="AF56" i="19"/>
  <c r="AF57" i="19"/>
  <c r="AF58" i="19"/>
  <c r="AF59" i="19"/>
  <c r="AF60" i="19"/>
  <c r="AF61" i="19"/>
  <c r="AF62" i="19"/>
  <c r="AF63" i="19"/>
  <c r="AF64" i="19"/>
  <c r="AF65" i="19"/>
  <c r="AF66" i="19"/>
  <c r="AF67" i="19"/>
  <c r="AF68" i="19"/>
  <c r="AF69" i="19"/>
  <c r="AF70" i="19"/>
  <c r="AF71" i="19"/>
  <c r="AF72" i="19"/>
  <c r="AF73" i="19"/>
  <c r="AF74" i="19"/>
  <c r="AF75" i="19"/>
  <c r="AF76" i="19"/>
  <c r="AF77" i="19"/>
  <c r="AF78" i="19"/>
  <c r="AF79" i="19"/>
  <c r="AF80" i="19"/>
  <c r="AF81" i="19"/>
  <c r="AF82" i="19"/>
  <c r="AF83" i="19"/>
  <c r="AF84" i="19"/>
  <c r="AF85" i="19"/>
  <c r="AF86" i="19"/>
  <c r="AF87" i="19"/>
  <c r="AF88" i="19"/>
  <c r="AF30" i="19"/>
  <c r="AH66" i="19"/>
  <c r="AH67" i="19" s="1"/>
  <c r="AI31" i="19"/>
  <c r="AI32" i="19"/>
  <c r="AI33" i="19"/>
  <c r="AI34" i="19"/>
  <c r="AI35" i="19"/>
  <c r="AI36" i="19"/>
  <c r="AI37" i="19"/>
  <c r="AI38" i="19"/>
  <c r="AI39" i="19"/>
  <c r="AI40" i="19"/>
  <c r="AI41" i="19"/>
  <c r="AI42" i="19"/>
  <c r="AI43" i="19"/>
  <c r="AI44" i="19"/>
  <c r="AI45" i="19"/>
  <c r="AI46" i="19"/>
  <c r="AI47" i="19"/>
  <c r="AI48" i="19"/>
  <c r="AI49" i="19"/>
  <c r="AI50" i="19"/>
  <c r="AI51" i="19"/>
  <c r="AI52" i="19"/>
  <c r="AI53" i="19"/>
  <c r="AI54" i="19"/>
  <c r="AI55" i="19"/>
  <c r="AI56" i="19"/>
  <c r="AI57" i="19"/>
  <c r="AI58" i="19"/>
  <c r="AI59" i="19"/>
  <c r="AI60" i="19"/>
  <c r="AI61" i="19"/>
  <c r="AI62" i="19"/>
  <c r="AI63" i="19"/>
  <c r="AI64" i="19"/>
  <c r="AI30" i="19"/>
  <c r="T39" i="19"/>
  <c r="T40" i="19" s="1"/>
  <c r="S63" i="19"/>
  <c r="S64" i="19" s="1"/>
  <c r="G23" i="19"/>
  <c r="F23" i="19"/>
  <c r="E54" i="19"/>
  <c r="AI66" i="19" l="1"/>
  <c r="AI67" i="19" s="1"/>
  <c r="AF90" i="19"/>
  <c r="AF91" i="19" s="1"/>
  <c r="C32" i="21"/>
  <c r="D32" i="21"/>
  <c r="E32" i="21"/>
  <c r="F32" i="21"/>
  <c r="G32" i="21"/>
  <c r="H32" i="21"/>
  <c r="I32" i="21"/>
  <c r="J32" i="21"/>
  <c r="K32" i="21"/>
  <c r="B32" i="21"/>
  <c r="J41" i="21"/>
  <c r="J36" i="21"/>
  <c r="J30" i="21"/>
  <c r="K41" i="21"/>
  <c r="I41" i="21"/>
  <c r="H41" i="21"/>
  <c r="G41" i="21"/>
  <c r="F41" i="21"/>
  <c r="E41" i="21"/>
  <c r="D41" i="21"/>
  <c r="C41" i="21"/>
  <c r="B41" i="21"/>
  <c r="K36" i="21"/>
  <c r="I36" i="21"/>
  <c r="H36" i="21"/>
  <c r="G36" i="21"/>
  <c r="F36" i="21"/>
  <c r="E36" i="21"/>
  <c r="D36" i="21"/>
  <c r="C36" i="21"/>
  <c r="B36" i="21"/>
  <c r="K30" i="21"/>
  <c r="I30" i="21"/>
  <c r="H30" i="21"/>
  <c r="G30" i="21"/>
  <c r="F30" i="21"/>
  <c r="E30" i="21"/>
  <c r="D30" i="21"/>
  <c r="C30" i="21"/>
  <c r="B30" i="21"/>
  <c r="B6" i="21"/>
  <c r="N6" i="21"/>
  <c r="C6" i="21"/>
  <c r="D6" i="21"/>
  <c r="E6" i="21"/>
  <c r="F6" i="21"/>
  <c r="G6" i="21"/>
  <c r="H6" i="21"/>
  <c r="I6" i="21"/>
  <c r="J6" i="21"/>
  <c r="K6" i="21"/>
  <c r="L6" i="21"/>
  <c r="M6" i="21"/>
  <c r="B4" i="21"/>
  <c r="C4" i="21"/>
  <c r="D4" i="21"/>
  <c r="E4" i="21"/>
  <c r="F4" i="21"/>
  <c r="G4" i="21"/>
  <c r="H4" i="21"/>
  <c r="I4" i="21"/>
  <c r="J4" i="21"/>
  <c r="K4" i="21"/>
  <c r="L4" i="21"/>
  <c r="M4" i="21"/>
  <c r="N4" i="21"/>
  <c r="B10" i="21"/>
  <c r="C10" i="21"/>
  <c r="D10" i="21"/>
  <c r="E10" i="21"/>
  <c r="F10" i="21"/>
  <c r="G10" i="21"/>
  <c r="H10" i="21"/>
  <c r="I10" i="21"/>
  <c r="J10" i="21"/>
  <c r="K10" i="21"/>
  <c r="L10" i="21"/>
  <c r="M10" i="21"/>
  <c r="N10" i="21"/>
  <c r="B15" i="21"/>
  <c r="C15" i="21"/>
  <c r="D15" i="21"/>
  <c r="E15" i="21"/>
  <c r="F15" i="21"/>
  <c r="G15" i="21"/>
  <c r="H15" i="21"/>
  <c r="I15" i="21"/>
  <c r="J15" i="21"/>
  <c r="K15" i="21"/>
  <c r="L15" i="21"/>
  <c r="M15" i="21"/>
  <c r="N15" i="21"/>
  <c r="B226" i="15"/>
  <c r="C226" i="15"/>
  <c r="D226" i="15"/>
  <c r="E226" i="15"/>
  <c r="F226" i="15"/>
  <c r="G226" i="15"/>
  <c r="H226" i="15"/>
  <c r="I226" i="15"/>
  <c r="J226" i="15"/>
  <c r="K226" i="15"/>
  <c r="L226" i="15"/>
  <c r="M226" i="15"/>
  <c r="B224" i="15" l="1"/>
  <c r="C224" i="15"/>
  <c r="D224" i="15"/>
  <c r="E224" i="15"/>
  <c r="F224" i="15"/>
  <c r="G224" i="15"/>
  <c r="H224" i="15"/>
  <c r="I224" i="15"/>
  <c r="J224" i="15"/>
  <c r="K224" i="15"/>
  <c r="L224" i="15"/>
  <c r="M224" i="15"/>
  <c r="B228" i="15"/>
  <c r="C228" i="15"/>
  <c r="D228" i="15"/>
  <c r="E228" i="15"/>
  <c r="F228" i="15"/>
  <c r="G228" i="15"/>
  <c r="H228" i="15"/>
  <c r="I228" i="15"/>
  <c r="J228" i="15"/>
  <c r="K228" i="15"/>
  <c r="L228" i="15"/>
  <c r="M228" i="15"/>
  <c r="B227" i="15"/>
  <c r="C227" i="15"/>
  <c r="D227" i="15"/>
  <c r="E227" i="15"/>
  <c r="F227" i="15"/>
  <c r="G227" i="15"/>
  <c r="H227" i="15"/>
  <c r="I227" i="15"/>
  <c r="J227" i="15"/>
  <c r="K227" i="15"/>
  <c r="L227" i="15"/>
  <c r="M227" i="15"/>
  <c r="B229" i="15"/>
  <c r="C229" i="15"/>
  <c r="D229" i="15"/>
  <c r="E229" i="15"/>
  <c r="F229" i="15"/>
  <c r="G229" i="15"/>
  <c r="H229" i="15"/>
  <c r="I229" i="15"/>
  <c r="J229" i="15"/>
  <c r="K229" i="15"/>
  <c r="L229" i="15"/>
  <c r="M229" i="15"/>
  <c r="C225" i="15"/>
  <c r="D225" i="15"/>
  <c r="E225" i="15"/>
  <c r="F225" i="15"/>
  <c r="G225" i="15"/>
  <c r="H225" i="15"/>
  <c r="I225" i="15"/>
  <c r="J225" i="15"/>
  <c r="K225" i="15"/>
  <c r="L225" i="15"/>
  <c r="M225" i="15"/>
  <c r="B225" i="15"/>
  <c r="AB31" i="19"/>
  <c r="AB32" i="19"/>
  <c r="AB33" i="19"/>
  <c r="AB34" i="19"/>
  <c r="AB35" i="19"/>
  <c r="AA422" i="19" s="1"/>
  <c r="AA423" i="19" s="1"/>
  <c r="AB36" i="19"/>
  <c r="AB37" i="19"/>
  <c r="AB38" i="19"/>
  <c r="AB39" i="19"/>
  <c r="AB40" i="19"/>
  <c r="AB41" i="19"/>
  <c r="AB42" i="19"/>
  <c r="AB43" i="19"/>
  <c r="AB44" i="19"/>
  <c r="AB45" i="19"/>
  <c r="AB46" i="19"/>
  <c r="AB47" i="19"/>
  <c r="AB48" i="19"/>
  <c r="AB49" i="19"/>
  <c r="AB50" i="19"/>
  <c r="AB51" i="19"/>
  <c r="AB52" i="19"/>
  <c r="AB53" i="19"/>
  <c r="AB54" i="19"/>
  <c r="AB55" i="19"/>
  <c r="AB56" i="19"/>
  <c r="AB57" i="19"/>
  <c r="AB58" i="19"/>
  <c r="AB59" i="19"/>
  <c r="AB60" i="19"/>
  <c r="AB61" i="19"/>
  <c r="AB62" i="19"/>
  <c r="AB63" i="19"/>
  <c r="AB64" i="19"/>
  <c r="AB65" i="19"/>
  <c r="AB66" i="19"/>
  <c r="AB67" i="19"/>
  <c r="AB68" i="19"/>
  <c r="AB69" i="19"/>
  <c r="AB70" i="19"/>
  <c r="AB71" i="19"/>
  <c r="AB72" i="19"/>
  <c r="AB73" i="19"/>
  <c r="AB74" i="19"/>
  <c r="AB75" i="19"/>
  <c r="AB76" i="19"/>
  <c r="AB77" i="19"/>
  <c r="AB78" i="19"/>
  <c r="AB79" i="19"/>
  <c r="AB80" i="19"/>
  <c r="AB81" i="19"/>
  <c r="AB82" i="19"/>
  <c r="AB83" i="19"/>
  <c r="AB84" i="19"/>
  <c r="AB85" i="19"/>
  <c r="AB86" i="19"/>
  <c r="AB87" i="19"/>
  <c r="AB88" i="19"/>
  <c r="AB89" i="19"/>
  <c r="AB90" i="19"/>
  <c r="AB91" i="19"/>
  <c r="AB92" i="19"/>
  <c r="AB93" i="19"/>
  <c r="AB94" i="19"/>
  <c r="AB95" i="19"/>
  <c r="AB96" i="19"/>
  <c r="AB97" i="19"/>
  <c r="AB98" i="19"/>
  <c r="AB99" i="19"/>
  <c r="AB100" i="19"/>
  <c r="AB101" i="19"/>
  <c r="AB102" i="19"/>
  <c r="AB103" i="19"/>
  <c r="AB104" i="19"/>
  <c r="AB105" i="19"/>
  <c r="AB106" i="19"/>
  <c r="AB107" i="19"/>
  <c r="AB108" i="19"/>
  <c r="AB109" i="19"/>
  <c r="AB110" i="19"/>
  <c r="AB111" i="19"/>
  <c r="AB112" i="19"/>
  <c r="AB113" i="19"/>
  <c r="AB114" i="19"/>
  <c r="AB115" i="19"/>
  <c r="AB116" i="19"/>
  <c r="AB117" i="19"/>
  <c r="AB118" i="19"/>
  <c r="AB119" i="19"/>
  <c r="AB120" i="19"/>
  <c r="AB121" i="19"/>
  <c r="AB122" i="19"/>
  <c r="AB123" i="19"/>
  <c r="AB124" i="19"/>
  <c r="AB125" i="19"/>
  <c r="AB126" i="19"/>
  <c r="AB127" i="19"/>
  <c r="AB128" i="19"/>
  <c r="AB129" i="19"/>
  <c r="AB130" i="19"/>
  <c r="AB131" i="19"/>
  <c r="AB132" i="19"/>
  <c r="AB133" i="19"/>
  <c r="AB134" i="19"/>
  <c r="AB135" i="19"/>
  <c r="AB136" i="19"/>
  <c r="AB137" i="19"/>
  <c r="AB138" i="19"/>
  <c r="AB139" i="19"/>
  <c r="AB140" i="19"/>
  <c r="AB141" i="19"/>
  <c r="AB142" i="19"/>
  <c r="AB143" i="19"/>
  <c r="AB144" i="19"/>
  <c r="AB145" i="19"/>
  <c r="AB146" i="19"/>
  <c r="AB147" i="19"/>
  <c r="AB148" i="19"/>
  <c r="AB149" i="19"/>
  <c r="AB150" i="19"/>
  <c r="AB151" i="19"/>
  <c r="AB152" i="19"/>
  <c r="AB153" i="19"/>
  <c r="AB154" i="19"/>
  <c r="AB155" i="19"/>
  <c r="AB156" i="19"/>
  <c r="AB157" i="19"/>
  <c r="AB158" i="19"/>
  <c r="AB159" i="19"/>
  <c r="AB160" i="19"/>
  <c r="AB161" i="19"/>
  <c r="AB162" i="19"/>
  <c r="AB163" i="19"/>
  <c r="AB164" i="19"/>
  <c r="AB165" i="19"/>
  <c r="AB166" i="19"/>
  <c r="AB167" i="19"/>
  <c r="AB168" i="19"/>
  <c r="AB169" i="19"/>
  <c r="AB170" i="19"/>
  <c r="AB171" i="19"/>
  <c r="AB172" i="19"/>
  <c r="AB173" i="19"/>
  <c r="AB174" i="19"/>
  <c r="AB175" i="19"/>
  <c r="AB176" i="19"/>
  <c r="AB177" i="19"/>
  <c r="AB178" i="19"/>
  <c r="AB179" i="19"/>
  <c r="AB180" i="19"/>
  <c r="AB181" i="19"/>
  <c r="AB182" i="19"/>
  <c r="AB183" i="19"/>
  <c r="AB184" i="19"/>
  <c r="AB185" i="19"/>
  <c r="AB186" i="19"/>
  <c r="AB187" i="19"/>
  <c r="AB188" i="19"/>
  <c r="AB189" i="19"/>
  <c r="AB190" i="19"/>
  <c r="AB191" i="19"/>
  <c r="AB192" i="19"/>
  <c r="AB193" i="19"/>
  <c r="AB194" i="19"/>
  <c r="AB195" i="19"/>
  <c r="AB196" i="19"/>
  <c r="AB197" i="19"/>
  <c r="AB198" i="19"/>
  <c r="AB199" i="19"/>
  <c r="AB200" i="19"/>
  <c r="AB201" i="19"/>
  <c r="AB202" i="19"/>
  <c r="AB203" i="19"/>
  <c r="AB204" i="19"/>
  <c r="AB205" i="19"/>
  <c r="AB206" i="19"/>
  <c r="AB207" i="19"/>
  <c r="AB208" i="19"/>
  <c r="AB209" i="19"/>
  <c r="AB210" i="19"/>
  <c r="AB211" i="19"/>
  <c r="AB212" i="19"/>
  <c r="AB213" i="19"/>
  <c r="AB214" i="19"/>
  <c r="AB215" i="19"/>
  <c r="AB216" i="19"/>
  <c r="AB217" i="19"/>
  <c r="AB218" i="19"/>
  <c r="AB219" i="19"/>
  <c r="AB220" i="19"/>
  <c r="AB221" i="19"/>
  <c r="AB222" i="19"/>
  <c r="AB223" i="19"/>
  <c r="AB224" i="19"/>
  <c r="AB225" i="19"/>
  <c r="AB226" i="19"/>
  <c r="AB227" i="19"/>
  <c r="AB228" i="19"/>
  <c r="AB229" i="19"/>
  <c r="AB230" i="19"/>
  <c r="AB231" i="19"/>
  <c r="AB232" i="19"/>
  <c r="AB233" i="19"/>
  <c r="AB234" i="19"/>
  <c r="AB235" i="19"/>
  <c r="AB236" i="19"/>
  <c r="AB237" i="19"/>
  <c r="AB238" i="19"/>
  <c r="AB239" i="19"/>
  <c r="AB240" i="19"/>
  <c r="AB241" i="19"/>
  <c r="AB242" i="19"/>
  <c r="AB243" i="19"/>
  <c r="AB244" i="19"/>
  <c r="AB245" i="19"/>
  <c r="AB246" i="19"/>
  <c r="AB247" i="19"/>
  <c r="AB248" i="19"/>
  <c r="AB249" i="19"/>
  <c r="AB250" i="19"/>
  <c r="AB251" i="19"/>
  <c r="AB252" i="19"/>
  <c r="AB253" i="19"/>
  <c r="AB254" i="19"/>
  <c r="AB255" i="19"/>
  <c r="AB256" i="19"/>
  <c r="AB257" i="19"/>
  <c r="AB258" i="19"/>
  <c r="AB259" i="19"/>
  <c r="AB260" i="19"/>
  <c r="AB261" i="19"/>
  <c r="AB262" i="19"/>
  <c r="AB263" i="19"/>
  <c r="AB264" i="19"/>
  <c r="AB265" i="19"/>
  <c r="AB266" i="19"/>
  <c r="AB267" i="19"/>
  <c r="AB268" i="19"/>
  <c r="AB269" i="19"/>
  <c r="AB270" i="19"/>
  <c r="AB271" i="19"/>
  <c r="AB272" i="19"/>
  <c r="AB273" i="19"/>
  <c r="AB274" i="19"/>
  <c r="AB275" i="19"/>
  <c r="AB276" i="19"/>
  <c r="AB277" i="19"/>
  <c r="AB278" i="19"/>
  <c r="AB279" i="19"/>
  <c r="AB280" i="19"/>
  <c r="AB281" i="19"/>
  <c r="AB282" i="19"/>
  <c r="AB283" i="19"/>
  <c r="AB284" i="19"/>
  <c r="AB285" i="19"/>
  <c r="AB286" i="19"/>
  <c r="AB287" i="19"/>
  <c r="AB288" i="19"/>
  <c r="AB289" i="19"/>
  <c r="AB290" i="19"/>
  <c r="AB291" i="19"/>
  <c r="AB292" i="19"/>
  <c r="AB293" i="19"/>
  <c r="AB294" i="19"/>
  <c r="AB295" i="19"/>
  <c r="AB296" i="19"/>
  <c r="AB297" i="19"/>
  <c r="AB298" i="19"/>
  <c r="AB299" i="19"/>
  <c r="AB300" i="19"/>
  <c r="AB301" i="19"/>
  <c r="AB302" i="19"/>
  <c r="AB303" i="19"/>
  <c r="AB304" i="19"/>
  <c r="AB305" i="19"/>
  <c r="AB306" i="19"/>
  <c r="AB307" i="19"/>
  <c r="AB308" i="19"/>
  <c r="AB309" i="19"/>
  <c r="AB310" i="19"/>
  <c r="AB311" i="19"/>
  <c r="AB312" i="19"/>
  <c r="AB313" i="19"/>
  <c r="AB314" i="19"/>
  <c r="AB315" i="19"/>
  <c r="AB316" i="19"/>
  <c r="AB317" i="19"/>
  <c r="AB318" i="19"/>
  <c r="AB319" i="19"/>
  <c r="AB320" i="19"/>
  <c r="AB321" i="19"/>
  <c r="AB322" i="19"/>
  <c r="AB323" i="19"/>
  <c r="AB324" i="19"/>
  <c r="AB325" i="19"/>
  <c r="AB326" i="19"/>
  <c r="AB327" i="19"/>
  <c r="AB328" i="19"/>
  <c r="AB329" i="19"/>
  <c r="AB330" i="19"/>
  <c r="AB331" i="19"/>
  <c r="AB332" i="19"/>
  <c r="AB333" i="19"/>
  <c r="AB334" i="19"/>
  <c r="AB335" i="19"/>
  <c r="AB336" i="19"/>
  <c r="AB337" i="19"/>
  <c r="AB338" i="19"/>
  <c r="AB339" i="19"/>
  <c r="AB340" i="19"/>
  <c r="AB341" i="19"/>
  <c r="AB342" i="19"/>
  <c r="AB343" i="19"/>
  <c r="AB344" i="19"/>
  <c r="AB345" i="19"/>
  <c r="AB346" i="19"/>
  <c r="AB347" i="19"/>
  <c r="AB348" i="19"/>
  <c r="AB349" i="19"/>
  <c r="AB350" i="19"/>
  <c r="AB351" i="19"/>
  <c r="AB352" i="19"/>
  <c r="AB353" i="19"/>
  <c r="AB354" i="19"/>
  <c r="AB355" i="19"/>
  <c r="AB356" i="19"/>
  <c r="AB357" i="19"/>
  <c r="AB358" i="19"/>
  <c r="AB359" i="19"/>
  <c r="AB360" i="19"/>
  <c r="AB361" i="19"/>
  <c r="AB362" i="19"/>
  <c r="AB363" i="19"/>
  <c r="AB364" i="19"/>
  <c r="AB365" i="19"/>
  <c r="AB366" i="19"/>
  <c r="AB367" i="19"/>
  <c r="AB368" i="19"/>
  <c r="AB369" i="19"/>
  <c r="AB370" i="19"/>
  <c r="AB371" i="19"/>
  <c r="AB372" i="19"/>
  <c r="AB373" i="19"/>
  <c r="AB374" i="19"/>
  <c r="AB375" i="19"/>
  <c r="AB376" i="19"/>
  <c r="AB377" i="19"/>
  <c r="AB378" i="19"/>
  <c r="AB379" i="19"/>
  <c r="AB380" i="19"/>
  <c r="AB381" i="19"/>
  <c r="AB382" i="19"/>
  <c r="AB383" i="19"/>
  <c r="AB384" i="19"/>
  <c r="AB385" i="19"/>
  <c r="AB386" i="19"/>
  <c r="AB387" i="19"/>
  <c r="AB388" i="19"/>
  <c r="AB389" i="19"/>
  <c r="AB390" i="19"/>
  <c r="AB391" i="19"/>
  <c r="AB392" i="19"/>
  <c r="AB393" i="19"/>
  <c r="AB394" i="19"/>
  <c r="AB395" i="19"/>
  <c r="AB396" i="19"/>
  <c r="AB397" i="19"/>
  <c r="AB398" i="19"/>
  <c r="AB399" i="19"/>
  <c r="AB400" i="19"/>
  <c r="AB401" i="19"/>
  <c r="AB402" i="19"/>
  <c r="AB403" i="19"/>
  <c r="AB404" i="19"/>
  <c r="AB405" i="19"/>
  <c r="AB406" i="19"/>
  <c r="AB407" i="19"/>
  <c r="AB408" i="19"/>
  <c r="AB409" i="19"/>
  <c r="AB410" i="19"/>
  <c r="AB411" i="19"/>
  <c r="AB412" i="19"/>
  <c r="AB413" i="19"/>
  <c r="AB414" i="19"/>
  <c r="AB415" i="19"/>
  <c r="AB416" i="19"/>
  <c r="AB417" i="19"/>
  <c r="AB418" i="19"/>
  <c r="AB419" i="19"/>
  <c r="AB420" i="19"/>
  <c r="AB30" i="19"/>
  <c r="AB87" i="10"/>
  <c r="Y87" i="10"/>
  <c r="AB86" i="10"/>
  <c r="Y86" i="10"/>
  <c r="AB85" i="10"/>
  <c r="Y85" i="10"/>
  <c r="AB422" i="19" l="1"/>
  <c r="AB423" i="19" s="1"/>
  <c r="J57" i="1"/>
  <c r="K57" i="1"/>
  <c r="L57" i="1"/>
  <c r="M57" i="1"/>
  <c r="J56" i="1"/>
  <c r="K56" i="1"/>
  <c r="L56" i="1"/>
  <c r="M56" i="1"/>
  <c r="I57" i="1"/>
  <c r="I56" i="1"/>
  <c r="H915" i="20" l="1"/>
  <c r="H914" i="20"/>
  <c r="H913" i="20"/>
  <c r="H912" i="20"/>
  <c r="H911" i="20"/>
  <c r="H910" i="20"/>
  <c r="H909" i="20"/>
  <c r="H908" i="20"/>
  <c r="H907" i="20"/>
  <c r="H906" i="20"/>
  <c r="H905" i="20"/>
  <c r="H904" i="20"/>
  <c r="H903" i="20"/>
  <c r="H902" i="20"/>
  <c r="H901" i="20"/>
  <c r="H900" i="20"/>
  <c r="H899" i="20"/>
  <c r="H898" i="20"/>
  <c r="H897" i="20"/>
  <c r="H896" i="20"/>
  <c r="H895" i="20"/>
  <c r="H894" i="20"/>
  <c r="H893" i="20"/>
  <c r="H892" i="20"/>
  <c r="H891" i="20"/>
  <c r="H890" i="20"/>
  <c r="H889" i="20"/>
  <c r="H888" i="20"/>
  <c r="H887" i="20"/>
  <c r="H886" i="20"/>
  <c r="H885" i="20"/>
  <c r="H884" i="20"/>
  <c r="H883" i="20"/>
  <c r="H882" i="20"/>
  <c r="H881" i="20"/>
  <c r="H880" i="20"/>
  <c r="H879" i="20"/>
  <c r="H878" i="20"/>
  <c r="H877" i="20"/>
  <c r="H876" i="20"/>
  <c r="H875" i="20"/>
  <c r="H874" i="20"/>
  <c r="H873" i="20"/>
  <c r="H872" i="20"/>
  <c r="H871" i="20"/>
  <c r="H870" i="20"/>
  <c r="H869" i="20"/>
  <c r="H868" i="20"/>
  <c r="H867" i="20"/>
  <c r="H866" i="20"/>
  <c r="H865" i="20"/>
  <c r="H864" i="20"/>
  <c r="H863" i="20"/>
  <c r="H862" i="20"/>
  <c r="H861" i="20"/>
  <c r="H860" i="20"/>
  <c r="H859" i="20"/>
  <c r="H858" i="20"/>
  <c r="H857" i="20"/>
  <c r="H856" i="20"/>
  <c r="H855" i="20"/>
  <c r="H854" i="20"/>
  <c r="H853" i="20"/>
  <c r="H852" i="20"/>
  <c r="H851" i="20"/>
  <c r="H850" i="20"/>
  <c r="H849" i="20"/>
  <c r="H848" i="20"/>
  <c r="H847" i="20"/>
  <c r="H846" i="20"/>
  <c r="H845" i="20"/>
  <c r="H844" i="20"/>
  <c r="H843" i="20"/>
  <c r="H842" i="20"/>
  <c r="H841" i="20"/>
  <c r="H840" i="20"/>
  <c r="H839" i="20"/>
  <c r="H838" i="20"/>
  <c r="H837" i="20"/>
  <c r="H836" i="20"/>
  <c r="H835" i="20"/>
  <c r="H834" i="20"/>
  <c r="H833" i="20"/>
  <c r="H832" i="20"/>
  <c r="H831" i="20"/>
  <c r="H830" i="20"/>
  <c r="H829" i="20"/>
  <c r="H828" i="20"/>
  <c r="H827" i="20"/>
  <c r="H826" i="20"/>
  <c r="H825" i="20"/>
  <c r="H824" i="20"/>
  <c r="H823" i="20"/>
  <c r="H822" i="20"/>
  <c r="H821" i="20"/>
  <c r="H820" i="20"/>
  <c r="H819" i="20"/>
  <c r="H818" i="20"/>
  <c r="H817" i="20"/>
  <c r="H816" i="20"/>
  <c r="H815" i="20"/>
  <c r="H814" i="20"/>
  <c r="H813" i="20"/>
  <c r="H812" i="20"/>
  <c r="H811" i="20"/>
  <c r="H810" i="20"/>
  <c r="H809" i="20"/>
  <c r="H808" i="20"/>
  <c r="H807" i="20"/>
  <c r="H806" i="20"/>
  <c r="H805" i="20"/>
  <c r="H804" i="20"/>
  <c r="H803" i="20"/>
  <c r="H802" i="20"/>
  <c r="H801" i="20"/>
  <c r="H800" i="20"/>
  <c r="H799" i="20"/>
  <c r="H798" i="20"/>
  <c r="H797" i="20"/>
  <c r="H796" i="20"/>
  <c r="H795" i="20"/>
  <c r="H794" i="20"/>
  <c r="H793" i="20"/>
  <c r="H792" i="20"/>
  <c r="H791" i="20"/>
  <c r="H790" i="20"/>
  <c r="H789" i="20"/>
  <c r="H788" i="20"/>
  <c r="H787" i="20"/>
  <c r="H786" i="20"/>
  <c r="H785" i="20"/>
  <c r="H784" i="20"/>
  <c r="H783" i="20"/>
  <c r="H782" i="20"/>
  <c r="H781" i="20"/>
  <c r="H780" i="20"/>
  <c r="H779" i="20"/>
  <c r="H778" i="20"/>
  <c r="H777" i="20"/>
  <c r="H776" i="20"/>
  <c r="H775" i="20"/>
  <c r="H774" i="20"/>
  <c r="H773" i="20"/>
  <c r="H772" i="20"/>
  <c r="H771" i="20"/>
  <c r="H770" i="20"/>
  <c r="H769" i="20"/>
  <c r="H768" i="20"/>
  <c r="H767" i="20"/>
  <c r="H766" i="20"/>
  <c r="H765" i="20"/>
  <c r="H764" i="20"/>
  <c r="H763" i="20"/>
  <c r="H762" i="20"/>
  <c r="H761" i="20"/>
  <c r="H760" i="20"/>
  <c r="H759" i="20"/>
  <c r="H758" i="20"/>
  <c r="H757" i="20"/>
  <c r="H756" i="20"/>
  <c r="H755" i="20"/>
  <c r="H754" i="20"/>
  <c r="H753" i="20"/>
  <c r="H752" i="20"/>
  <c r="H751" i="20"/>
  <c r="H750" i="20"/>
  <c r="H749" i="20"/>
  <c r="H748" i="20"/>
  <c r="H747" i="20"/>
  <c r="H746" i="20"/>
  <c r="H745" i="20"/>
  <c r="H744" i="20"/>
  <c r="H743" i="20"/>
  <c r="H742" i="20"/>
  <c r="H741" i="20"/>
  <c r="H740" i="20"/>
  <c r="H739" i="20"/>
  <c r="H738" i="20"/>
  <c r="H737" i="20"/>
  <c r="H736" i="20"/>
  <c r="H735" i="20"/>
  <c r="H734" i="20"/>
  <c r="H733" i="20"/>
  <c r="H732" i="20"/>
  <c r="H731" i="20"/>
  <c r="H730" i="20"/>
  <c r="H729" i="20"/>
  <c r="H728" i="20"/>
  <c r="H727" i="20"/>
  <c r="H726" i="20"/>
  <c r="H725" i="20"/>
  <c r="H724" i="20"/>
  <c r="H723" i="20"/>
  <c r="H722" i="20"/>
  <c r="H721" i="20"/>
  <c r="H720" i="20"/>
  <c r="H719" i="20"/>
  <c r="H718" i="20"/>
  <c r="H717" i="20"/>
  <c r="H716" i="20"/>
  <c r="H715" i="20"/>
  <c r="H714" i="20"/>
  <c r="H713" i="20"/>
  <c r="H712" i="20"/>
  <c r="H711" i="20"/>
  <c r="H710" i="20"/>
  <c r="H709" i="20"/>
  <c r="H708" i="20"/>
  <c r="H707" i="20"/>
  <c r="H706" i="20"/>
  <c r="H705" i="20"/>
  <c r="H704" i="20"/>
  <c r="H703" i="20"/>
  <c r="H702" i="20"/>
  <c r="H701" i="20"/>
  <c r="H700" i="20"/>
  <c r="H699" i="20"/>
  <c r="H698" i="20"/>
  <c r="H697" i="20"/>
  <c r="H696" i="20"/>
  <c r="H695" i="20"/>
  <c r="H694" i="20"/>
  <c r="H693" i="20"/>
  <c r="H692" i="20"/>
  <c r="H691" i="20"/>
  <c r="H690" i="20"/>
  <c r="H689" i="20"/>
  <c r="H688" i="20"/>
  <c r="H687" i="20"/>
  <c r="H686" i="20"/>
  <c r="H685" i="20"/>
  <c r="H684" i="20"/>
  <c r="H683" i="20"/>
  <c r="H682" i="20"/>
  <c r="H681" i="20"/>
  <c r="H680" i="20"/>
  <c r="H679" i="20"/>
  <c r="H678" i="20"/>
  <c r="H677" i="20"/>
  <c r="H676" i="20"/>
  <c r="H675" i="20"/>
  <c r="H674" i="20"/>
  <c r="H673" i="20"/>
  <c r="H672" i="20"/>
  <c r="H671" i="20"/>
  <c r="H670" i="20"/>
  <c r="H669" i="20"/>
  <c r="H668" i="20"/>
  <c r="H667" i="20"/>
  <c r="H666" i="20"/>
  <c r="H665" i="20"/>
  <c r="H664" i="20"/>
  <c r="H663" i="20"/>
  <c r="H662" i="20"/>
  <c r="H661" i="20"/>
  <c r="H660" i="20"/>
  <c r="H659" i="20"/>
  <c r="H658" i="20"/>
  <c r="H657" i="20"/>
  <c r="H656" i="20"/>
  <c r="H655" i="20"/>
  <c r="H654" i="20"/>
  <c r="H653" i="20"/>
  <c r="H652" i="20"/>
  <c r="H651" i="20"/>
  <c r="H650" i="20"/>
  <c r="H649" i="20"/>
  <c r="H648" i="20"/>
  <c r="H647" i="20"/>
  <c r="H646" i="20"/>
  <c r="H645" i="20"/>
  <c r="H644" i="20"/>
  <c r="H643" i="20"/>
  <c r="H642" i="20"/>
  <c r="H641" i="20"/>
  <c r="H640" i="20"/>
  <c r="H639" i="20"/>
  <c r="H638" i="20"/>
  <c r="H637" i="20"/>
  <c r="H636" i="20"/>
  <c r="H635" i="20"/>
  <c r="H634" i="20"/>
  <c r="H633" i="20"/>
  <c r="H632" i="20"/>
  <c r="H631" i="20"/>
  <c r="H630" i="20"/>
  <c r="H629" i="20"/>
  <c r="H628" i="20"/>
  <c r="H627" i="20"/>
  <c r="H626" i="20"/>
  <c r="H625" i="20"/>
  <c r="H624" i="20"/>
  <c r="H623" i="20"/>
  <c r="H622" i="20"/>
  <c r="H621" i="20"/>
  <c r="H620" i="20"/>
  <c r="H619" i="20"/>
  <c r="H618" i="20"/>
  <c r="H617" i="20"/>
  <c r="H616" i="20"/>
  <c r="H615" i="20"/>
  <c r="H614" i="20"/>
  <c r="H613" i="20"/>
  <c r="H612" i="20"/>
  <c r="H611" i="20"/>
  <c r="H610" i="20"/>
  <c r="H609" i="20"/>
  <c r="H608" i="20"/>
  <c r="H607" i="20"/>
  <c r="H606" i="20"/>
  <c r="H605" i="20"/>
  <c r="H604" i="20"/>
  <c r="H603" i="20"/>
  <c r="H602" i="20"/>
  <c r="H601" i="20"/>
  <c r="H600" i="20"/>
  <c r="H599" i="20"/>
  <c r="H598" i="20"/>
  <c r="H597" i="20"/>
  <c r="H596" i="20"/>
  <c r="H595" i="20"/>
  <c r="H594" i="20"/>
  <c r="H593" i="20"/>
  <c r="H592" i="20"/>
  <c r="H591" i="20"/>
  <c r="H590" i="20"/>
  <c r="H589" i="20"/>
  <c r="H588" i="20"/>
  <c r="H587" i="20"/>
  <c r="H586" i="20"/>
  <c r="H585" i="20"/>
  <c r="H584" i="20"/>
  <c r="H583" i="20"/>
  <c r="H582" i="20"/>
  <c r="H581" i="20"/>
  <c r="H580" i="20"/>
  <c r="H579" i="20"/>
  <c r="H578" i="20"/>
  <c r="H577" i="20"/>
  <c r="H576" i="20"/>
  <c r="H575" i="20"/>
  <c r="H574" i="20"/>
  <c r="H573" i="20"/>
  <c r="H572" i="20"/>
  <c r="H571" i="20"/>
  <c r="H570" i="20"/>
  <c r="H569" i="20"/>
  <c r="H568" i="20"/>
  <c r="H567" i="20"/>
  <c r="H566" i="20"/>
  <c r="H565" i="20"/>
  <c r="H564" i="20"/>
  <c r="H563" i="20"/>
  <c r="H562" i="20"/>
  <c r="H561" i="20"/>
  <c r="H560" i="20"/>
  <c r="H559" i="20"/>
  <c r="H558" i="20"/>
  <c r="H557" i="20"/>
  <c r="H556" i="20"/>
  <c r="H555" i="20"/>
  <c r="H554" i="20"/>
  <c r="H553" i="20"/>
  <c r="H552" i="20"/>
  <c r="H551" i="20"/>
  <c r="H550" i="20"/>
  <c r="H549" i="20"/>
  <c r="H548" i="20"/>
  <c r="H547" i="20"/>
  <c r="H546" i="20"/>
  <c r="H545" i="20"/>
  <c r="H544" i="20"/>
  <c r="H543" i="20"/>
  <c r="H542" i="20"/>
  <c r="H541" i="20"/>
  <c r="H540" i="20"/>
  <c r="H539" i="20"/>
  <c r="H538" i="20"/>
  <c r="H537" i="20"/>
  <c r="H536" i="20"/>
  <c r="H535" i="20"/>
  <c r="H534" i="20"/>
  <c r="H533" i="20"/>
  <c r="H532" i="20"/>
  <c r="H531" i="20"/>
  <c r="H530" i="20"/>
  <c r="H529" i="20"/>
  <c r="H528" i="20"/>
  <c r="H527" i="20"/>
  <c r="H526" i="20"/>
  <c r="H525" i="20"/>
  <c r="H524" i="20"/>
  <c r="H523" i="20"/>
  <c r="H522" i="20"/>
  <c r="H521" i="20"/>
  <c r="H520" i="20"/>
  <c r="H519" i="20"/>
  <c r="H518" i="20"/>
  <c r="H517" i="20"/>
  <c r="H516" i="20"/>
  <c r="H515" i="20"/>
  <c r="H514" i="20"/>
  <c r="H513" i="20"/>
  <c r="H512" i="20"/>
  <c r="H511" i="20"/>
  <c r="H510" i="20"/>
  <c r="H509" i="20"/>
  <c r="H508" i="20"/>
  <c r="H507" i="20"/>
  <c r="H506" i="20"/>
  <c r="H505" i="20"/>
  <c r="H504" i="20"/>
  <c r="H503" i="20"/>
  <c r="H502" i="20"/>
  <c r="H501" i="20"/>
  <c r="H500" i="20"/>
  <c r="H499" i="20"/>
  <c r="H498" i="20"/>
  <c r="H497" i="20"/>
  <c r="H496" i="20"/>
  <c r="H495" i="20"/>
  <c r="H494" i="20"/>
  <c r="H493" i="20"/>
  <c r="H492" i="20"/>
  <c r="H491" i="20"/>
  <c r="H490" i="20"/>
  <c r="H489" i="20"/>
  <c r="H488" i="20"/>
  <c r="H487" i="20"/>
  <c r="H486" i="20"/>
  <c r="H485" i="20"/>
  <c r="H484" i="20"/>
  <c r="H483" i="20"/>
  <c r="H482" i="20"/>
  <c r="H481" i="20"/>
  <c r="H480" i="20"/>
  <c r="H479" i="20"/>
  <c r="H478" i="20"/>
  <c r="H477" i="20"/>
  <c r="H476" i="20"/>
  <c r="H475" i="20"/>
  <c r="H474" i="20"/>
  <c r="H473" i="20"/>
  <c r="H472" i="20"/>
  <c r="H471" i="20"/>
  <c r="H470" i="20"/>
  <c r="H469" i="20"/>
  <c r="H468" i="20"/>
  <c r="H467" i="20"/>
  <c r="H466" i="20"/>
  <c r="H465" i="20"/>
  <c r="H464" i="20"/>
  <c r="H463" i="20"/>
  <c r="H462" i="20"/>
  <c r="H461" i="20"/>
  <c r="H460" i="20"/>
  <c r="H459" i="20"/>
  <c r="H458" i="20"/>
  <c r="H457" i="20"/>
  <c r="H456" i="20"/>
  <c r="H455" i="20"/>
  <c r="H454" i="20"/>
  <c r="H453" i="20"/>
  <c r="H452" i="20"/>
  <c r="H451" i="20"/>
  <c r="H450" i="20"/>
  <c r="H449" i="20"/>
  <c r="H448" i="20"/>
  <c r="H447" i="20"/>
  <c r="H446" i="20"/>
  <c r="H445" i="20"/>
  <c r="H444" i="20"/>
  <c r="H443" i="20"/>
  <c r="H442" i="20"/>
  <c r="H441" i="20"/>
  <c r="H440" i="20"/>
  <c r="H439" i="20"/>
  <c r="H438" i="20"/>
  <c r="H437" i="20"/>
  <c r="H436" i="20"/>
  <c r="H435" i="20"/>
  <c r="H434" i="20"/>
  <c r="H433" i="20"/>
  <c r="H432" i="20"/>
  <c r="H431" i="20"/>
  <c r="H430" i="20"/>
  <c r="H429" i="20"/>
  <c r="H428" i="20"/>
  <c r="H427" i="20"/>
  <c r="H426" i="20"/>
  <c r="H425" i="20"/>
  <c r="H424" i="20"/>
  <c r="H423" i="20"/>
  <c r="H422" i="20"/>
  <c r="H421" i="20"/>
  <c r="H420" i="20"/>
  <c r="H419" i="20"/>
  <c r="H418" i="20"/>
  <c r="H417" i="20"/>
  <c r="H416" i="20"/>
  <c r="H415" i="20"/>
  <c r="H414" i="20"/>
  <c r="H413" i="20"/>
  <c r="H412" i="20"/>
  <c r="H411" i="20"/>
  <c r="H410" i="20"/>
  <c r="H409" i="20"/>
  <c r="H408" i="20"/>
  <c r="H407" i="20"/>
  <c r="H406" i="20"/>
  <c r="H405" i="20"/>
  <c r="H404" i="20"/>
  <c r="H403" i="20"/>
  <c r="H402" i="20"/>
  <c r="H401" i="20"/>
  <c r="H400" i="20"/>
  <c r="H399" i="20"/>
  <c r="H398" i="20"/>
  <c r="H397" i="20"/>
  <c r="H396" i="20"/>
  <c r="H395" i="20"/>
  <c r="C395" i="20"/>
  <c r="H394" i="20"/>
  <c r="C394" i="20"/>
  <c r="H393" i="20"/>
  <c r="C393" i="20"/>
  <c r="H392" i="20"/>
  <c r="C392" i="20"/>
  <c r="H391" i="20"/>
  <c r="C391" i="20"/>
  <c r="H390" i="20"/>
  <c r="C390" i="20"/>
  <c r="H389" i="20"/>
  <c r="C389" i="20"/>
  <c r="H388" i="20"/>
  <c r="C388" i="20"/>
  <c r="H387" i="20"/>
  <c r="C387" i="20"/>
  <c r="H386" i="20"/>
  <c r="C386" i="20"/>
  <c r="H385" i="20"/>
  <c r="C385" i="20"/>
  <c r="H384" i="20"/>
  <c r="C384" i="20"/>
  <c r="H383" i="20"/>
  <c r="C383" i="20"/>
  <c r="H382" i="20"/>
  <c r="C382" i="20"/>
  <c r="H381" i="20"/>
  <c r="C381" i="20"/>
  <c r="H380" i="20"/>
  <c r="C380" i="20"/>
  <c r="H379" i="20"/>
  <c r="C379" i="20"/>
  <c r="H378" i="20"/>
  <c r="C378" i="20"/>
  <c r="H377" i="20"/>
  <c r="C377" i="20"/>
  <c r="H376" i="20"/>
  <c r="C376" i="20"/>
  <c r="H375" i="20"/>
  <c r="C375" i="20"/>
  <c r="H374" i="20"/>
  <c r="C374" i="20"/>
  <c r="H373" i="20"/>
  <c r="C373" i="20"/>
  <c r="H372" i="20"/>
  <c r="C372" i="20"/>
  <c r="H371" i="20"/>
  <c r="C371" i="20"/>
  <c r="H370" i="20"/>
  <c r="C370" i="20"/>
  <c r="H369" i="20"/>
  <c r="C369" i="20"/>
  <c r="H368" i="20"/>
  <c r="C368" i="20"/>
  <c r="H367" i="20"/>
  <c r="C367" i="20"/>
  <c r="H366" i="20"/>
  <c r="C366" i="20"/>
  <c r="H365" i="20"/>
  <c r="C365" i="20"/>
  <c r="H364" i="20"/>
  <c r="C364" i="20"/>
  <c r="H363" i="20"/>
  <c r="C363" i="20"/>
  <c r="H362" i="20"/>
  <c r="C362" i="20"/>
  <c r="H361" i="20"/>
  <c r="C361" i="20"/>
  <c r="H360" i="20"/>
  <c r="C360" i="20"/>
  <c r="H359" i="20"/>
  <c r="C359" i="20"/>
  <c r="H358" i="20"/>
  <c r="C358" i="20"/>
  <c r="H357" i="20"/>
  <c r="C357" i="20"/>
  <c r="H356" i="20"/>
  <c r="C356" i="20"/>
  <c r="H355" i="20"/>
  <c r="C355" i="20"/>
  <c r="H354" i="20"/>
  <c r="C354" i="20"/>
  <c r="H353" i="20"/>
  <c r="C353" i="20"/>
  <c r="H352" i="20"/>
  <c r="C352" i="20"/>
  <c r="H351" i="20"/>
  <c r="C351" i="20"/>
  <c r="H350" i="20"/>
  <c r="C350" i="20"/>
  <c r="H349" i="20"/>
  <c r="C349" i="20"/>
  <c r="H348" i="20"/>
  <c r="C348" i="20"/>
  <c r="H347" i="20"/>
  <c r="C347" i="20"/>
  <c r="H346" i="20"/>
  <c r="C346" i="20"/>
  <c r="H345" i="20"/>
  <c r="C345" i="20"/>
  <c r="H344" i="20"/>
  <c r="C344" i="20"/>
  <c r="H343" i="20"/>
  <c r="C343" i="20"/>
  <c r="H342" i="20"/>
  <c r="C342" i="20"/>
  <c r="H341" i="20"/>
  <c r="C341" i="20"/>
  <c r="H340" i="20"/>
  <c r="C340" i="20"/>
  <c r="H339" i="20"/>
  <c r="C339" i="20"/>
  <c r="H338" i="20"/>
  <c r="C338" i="20"/>
  <c r="H337" i="20"/>
  <c r="C337" i="20"/>
  <c r="H336" i="20"/>
  <c r="C336" i="20"/>
  <c r="H335" i="20"/>
  <c r="C335" i="20"/>
  <c r="H334" i="20"/>
  <c r="C334" i="20"/>
  <c r="H333" i="20"/>
  <c r="C333" i="20"/>
  <c r="H332" i="20"/>
  <c r="C332" i="20"/>
  <c r="H331" i="20"/>
  <c r="C331" i="20"/>
  <c r="H330" i="20"/>
  <c r="C330" i="20"/>
  <c r="H329" i="20"/>
  <c r="C329" i="20"/>
  <c r="H328" i="20"/>
  <c r="C328" i="20"/>
  <c r="H327" i="20"/>
  <c r="C327" i="20"/>
  <c r="H326" i="20"/>
  <c r="C326" i="20"/>
  <c r="H325" i="20"/>
  <c r="C325" i="20"/>
  <c r="H324" i="20"/>
  <c r="C324" i="20"/>
  <c r="H323" i="20"/>
  <c r="C323" i="20"/>
  <c r="H322" i="20"/>
  <c r="C322" i="20"/>
  <c r="H321" i="20"/>
  <c r="C321" i="20"/>
  <c r="H320" i="20"/>
  <c r="C320" i="20"/>
  <c r="H319" i="20"/>
  <c r="C319" i="20"/>
  <c r="H318" i="20"/>
  <c r="C318" i="20"/>
  <c r="H317" i="20"/>
  <c r="C317" i="20"/>
  <c r="H316" i="20"/>
  <c r="C316" i="20"/>
  <c r="H315" i="20"/>
  <c r="C315" i="20"/>
  <c r="H314" i="20"/>
  <c r="C314" i="20"/>
  <c r="H313" i="20"/>
  <c r="C313" i="20"/>
  <c r="H312" i="20"/>
  <c r="C312" i="20"/>
  <c r="H311" i="20"/>
  <c r="C311" i="20"/>
  <c r="H310" i="20"/>
  <c r="C310" i="20"/>
  <c r="H309" i="20"/>
  <c r="C309" i="20"/>
  <c r="H308" i="20"/>
  <c r="C308" i="20"/>
  <c r="H307" i="20"/>
  <c r="C307" i="20"/>
  <c r="H306" i="20"/>
  <c r="C306" i="20"/>
  <c r="H305" i="20"/>
  <c r="C305" i="20"/>
  <c r="H304" i="20"/>
  <c r="C304" i="20"/>
  <c r="H303" i="20"/>
  <c r="C303" i="20"/>
  <c r="H302" i="20"/>
  <c r="C302" i="20"/>
  <c r="H301" i="20"/>
  <c r="C301" i="20"/>
  <c r="H300" i="20"/>
  <c r="C300" i="20"/>
  <c r="H299" i="20"/>
  <c r="C299" i="20"/>
  <c r="H298" i="20"/>
  <c r="C298" i="20"/>
  <c r="H297" i="20"/>
  <c r="C297" i="20"/>
  <c r="H296" i="20"/>
  <c r="C296" i="20"/>
  <c r="H295" i="20"/>
  <c r="C295" i="20"/>
  <c r="H294" i="20"/>
  <c r="C294" i="20"/>
  <c r="H293" i="20"/>
  <c r="C293" i="20"/>
  <c r="H292" i="20"/>
  <c r="C292" i="20"/>
  <c r="H291" i="20"/>
  <c r="C291" i="20"/>
  <c r="H290" i="20"/>
  <c r="C290" i="20"/>
  <c r="H289" i="20"/>
  <c r="C289" i="20"/>
  <c r="H288" i="20"/>
  <c r="C288" i="20"/>
  <c r="H287" i="20"/>
  <c r="C287" i="20"/>
  <c r="H286" i="20"/>
  <c r="C286" i="20"/>
  <c r="H285" i="20"/>
  <c r="C285" i="20"/>
  <c r="H284" i="20"/>
  <c r="C284" i="20"/>
  <c r="H283" i="20"/>
  <c r="C283" i="20"/>
  <c r="H282" i="20"/>
  <c r="C282" i="20"/>
  <c r="H281" i="20"/>
  <c r="C281" i="20"/>
  <c r="H280" i="20"/>
  <c r="C280" i="20"/>
  <c r="H279" i="20"/>
  <c r="C279" i="20"/>
  <c r="H278" i="20"/>
  <c r="C278" i="20"/>
  <c r="H277" i="20"/>
  <c r="C277" i="20"/>
  <c r="H276" i="20"/>
  <c r="C276" i="20"/>
  <c r="H275" i="20"/>
  <c r="C275" i="20"/>
  <c r="H274" i="20"/>
  <c r="C274" i="20"/>
  <c r="H273" i="20"/>
  <c r="C273" i="20"/>
  <c r="H272" i="20"/>
  <c r="C272" i="20"/>
  <c r="H271" i="20"/>
  <c r="C271" i="20"/>
  <c r="H270" i="20"/>
  <c r="C270" i="20"/>
  <c r="H269" i="20"/>
  <c r="C269" i="20"/>
  <c r="H268" i="20"/>
  <c r="C268" i="20"/>
  <c r="H267" i="20"/>
  <c r="C267" i="20"/>
  <c r="H266" i="20"/>
  <c r="C266" i="20"/>
  <c r="H265" i="20"/>
  <c r="C265" i="20"/>
  <c r="H264" i="20"/>
  <c r="C264" i="20"/>
  <c r="H263" i="20"/>
  <c r="C263" i="20"/>
  <c r="H262" i="20"/>
  <c r="C262" i="20"/>
  <c r="H261" i="20"/>
  <c r="C261" i="20"/>
  <c r="H260" i="20"/>
  <c r="C260" i="20"/>
  <c r="H259" i="20"/>
  <c r="C259" i="20"/>
  <c r="H258" i="20"/>
  <c r="C258" i="20"/>
  <c r="H257" i="20"/>
  <c r="C257" i="20"/>
  <c r="H256" i="20"/>
  <c r="C256" i="20"/>
  <c r="H255" i="20"/>
  <c r="C255" i="20"/>
  <c r="H254" i="20"/>
  <c r="C254" i="20"/>
  <c r="H253" i="20"/>
  <c r="C253" i="20"/>
  <c r="H252" i="20"/>
  <c r="C252" i="20"/>
  <c r="H251" i="20"/>
  <c r="C251" i="20"/>
  <c r="H250" i="20"/>
  <c r="C250" i="20"/>
  <c r="H249" i="20"/>
  <c r="C249" i="20"/>
  <c r="H248" i="20"/>
  <c r="C248" i="20"/>
  <c r="H247" i="20"/>
  <c r="C247" i="20"/>
  <c r="H246" i="20"/>
  <c r="C246" i="20"/>
  <c r="H245" i="20"/>
  <c r="C245" i="20"/>
  <c r="H244" i="20"/>
  <c r="C244" i="20"/>
  <c r="H243" i="20"/>
  <c r="C243" i="20"/>
  <c r="H242" i="20"/>
  <c r="C242" i="20"/>
  <c r="H241" i="20"/>
  <c r="C241" i="20"/>
  <c r="H240" i="20"/>
  <c r="C240" i="20"/>
  <c r="H239" i="20"/>
  <c r="C239" i="20"/>
  <c r="H238" i="20"/>
  <c r="C238" i="20"/>
  <c r="H237" i="20"/>
  <c r="C237" i="20"/>
  <c r="H236" i="20"/>
  <c r="C236" i="20"/>
  <c r="H235" i="20"/>
  <c r="C235" i="20"/>
  <c r="H234" i="20"/>
  <c r="C234" i="20"/>
  <c r="H233" i="20"/>
  <c r="C233" i="20"/>
  <c r="H232" i="20"/>
  <c r="C232" i="20"/>
  <c r="H231" i="20"/>
  <c r="C231" i="20"/>
  <c r="H230" i="20"/>
  <c r="C230" i="20"/>
  <c r="H229" i="20"/>
  <c r="C229" i="20"/>
  <c r="H228" i="20"/>
  <c r="C228" i="20"/>
  <c r="H227" i="20"/>
  <c r="C227" i="20"/>
  <c r="H226" i="20"/>
  <c r="C226" i="20"/>
  <c r="H225" i="20"/>
  <c r="C225" i="20"/>
  <c r="H224" i="20"/>
  <c r="C224" i="20"/>
  <c r="H223" i="20"/>
  <c r="C223" i="20"/>
  <c r="H222" i="20"/>
  <c r="C222" i="20"/>
  <c r="H221" i="20"/>
  <c r="C221" i="20"/>
  <c r="H220" i="20"/>
  <c r="C220" i="20"/>
  <c r="H219" i="20"/>
  <c r="C219" i="20"/>
  <c r="H218" i="20"/>
  <c r="C218" i="20"/>
  <c r="H217" i="20"/>
  <c r="C217" i="20"/>
  <c r="H216" i="20"/>
  <c r="C216" i="20"/>
  <c r="H215" i="20"/>
  <c r="C215" i="20"/>
  <c r="H214" i="20"/>
  <c r="C214" i="20"/>
  <c r="H213" i="20"/>
  <c r="C213" i="20"/>
  <c r="H212" i="20"/>
  <c r="C212" i="20"/>
  <c r="H211" i="20"/>
  <c r="C211" i="20"/>
  <c r="H210" i="20"/>
  <c r="C210" i="20"/>
  <c r="H209" i="20"/>
  <c r="C209" i="20"/>
  <c r="H208" i="20"/>
  <c r="C208" i="20"/>
  <c r="H207" i="20"/>
  <c r="C207" i="20"/>
  <c r="H206" i="20"/>
  <c r="C206" i="20"/>
  <c r="H205" i="20"/>
  <c r="C205" i="20"/>
  <c r="H204" i="20"/>
  <c r="C204" i="20"/>
  <c r="H203" i="20"/>
  <c r="C203" i="20"/>
  <c r="H202" i="20"/>
  <c r="C202" i="20"/>
  <c r="H201" i="20"/>
  <c r="C201" i="20"/>
  <c r="H200" i="20"/>
  <c r="C200" i="20"/>
  <c r="H199" i="20"/>
  <c r="C199" i="20"/>
  <c r="H198" i="20"/>
  <c r="C198" i="20"/>
  <c r="H197" i="20"/>
  <c r="C197" i="20"/>
  <c r="H196" i="20"/>
  <c r="C196" i="20"/>
  <c r="H195" i="20"/>
  <c r="C195" i="20"/>
  <c r="H194" i="20"/>
  <c r="C194" i="20"/>
  <c r="H193" i="20"/>
  <c r="C193" i="20"/>
  <c r="H192" i="20"/>
  <c r="C192" i="20"/>
  <c r="H191" i="20"/>
  <c r="C191" i="20"/>
  <c r="H190" i="20"/>
  <c r="C190" i="20"/>
  <c r="H189" i="20"/>
  <c r="C189" i="20"/>
  <c r="H188" i="20"/>
  <c r="C188" i="20"/>
  <c r="H187" i="20"/>
  <c r="C187" i="20"/>
  <c r="H186" i="20"/>
  <c r="C186" i="20"/>
  <c r="H185" i="20"/>
  <c r="C185" i="20"/>
  <c r="H184" i="20"/>
  <c r="C184" i="20"/>
  <c r="H183" i="20"/>
  <c r="C183" i="20"/>
  <c r="H182" i="20"/>
  <c r="C182" i="20"/>
  <c r="H181" i="20"/>
  <c r="C181" i="20"/>
  <c r="H180" i="20"/>
  <c r="C180" i="20"/>
  <c r="H179" i="20"/>
  <c r="C179" i="20"/>
  <c r="H178" i="20"/>
  <c r="C178" i="20"/>
  <c r="H177" i="20"/>
  <c r="C177" i="20"/>
  <c r="H176" i="20"/>
  <c r="C176" i="20"/>
  <c r="H175" i="20"/>
  <c r="C175" i="20"/>
  <c r="H174" i="20"/>
  <c r="C174" i="20"/>
  <c r="H173" i="20"/>
  <c r="C173" i="20"/>
  <c r="H172" i="20"/>
  <c r="C172" i="20"/>
  <c r="H171" i="20"/>
  <c r="C171" i="20"/>
  <c r="H170" i="20"/>
  <c r="C170" i="20"/>
  <c r="H169" i="20"/>
  <c r="C169" i="20"/>
  <c r="H168" i="20"/>
  <c r="C168" i="20"/>
  <c r="H167" i="20"/>
  <c r="C167" i="20"/>
  <c r="H166" i="20"/>
  <c r="C166" i="20"/>
  <c r="H165" i="20"/>
  <c r="C165" i="20"/>
  <c r="H164" i="20"/>
  <c r="C164" i="20"/>
  <c r="H163" i="20"/>
  <c r="C163" i="20"/>
  <c r="H162" i="20"/>
  <c r="C162" i="20"/>
  <c r="H161" i="20"/>
  <c r="C161" i="20"/>
  <c r="H160" i="20"/>
  <c r="C160" i="20"/>
  <c r="H159" i="20"/>
  <c r="C159" i="20"/>
  <c r="H158" i="20"/>
  <c r="C158" i="20"/>
  <c r="H157" i="20"/>
  <c r="C157" i="20"/>
  <c r="H156" i="20"/>
  <c r="C156" i="20"/>
  <c r="H155" i="20"/>
  <c r="C155" i="20"/>
  <c r="H154" i="20"/>
  <c r="C154" i="20"/>
  <c r="H153" i="20"/>
  <c r="C153" i="20"/>
  <c r="H152" i="20"/>
  <c r="C152" i="20"/>
  <c r="H151" i="20"/>
  <c r="C151" i="20"/>
  <c r="H150" i="20"/>
  <c r="C150" i="20"/>
  <c r="H149" i="20"/>
  <c r="C149" i="20"/>
  <c r="H148" i="20"/>
  <c r="C148" i="20"/>
  <c r="H147" i="20"/>
  <c r="C147" i="20"/>
  <c r="H146" i="20"/>
  <c r="C146" i="20"/>
  <c r="H145" i="20"/>
  <c r="C145" i="20"/>
  <c r="H144" i="20"/>
  <c r="C144" i="20"/>
  <c r="H143" i="20"/>
  <c r="C143" i="20"/>
  <c r="H142" i="20"/>
  <c r="C142" i="20"/>
  <c r="H141" i="20"/>
  <c r="C141" i="20"/>
  <c r="H140" i="20"/>
  <c r="C140" i="20"/>
  <c r="H139" i="20"/>
  <c r="C139" i="20"/>
  <c r="H138" i="20"/>
  <c r="C138" i="20"/>
  <c r="H137" i="20"/>
  <c r="C137" i="20"/>
  <c r="H136" i="20"/>
  <c r="C136" i="20"/>
  <c r="H135" i="20"/>
  <c r="C135" i="20"/>
  <c r="H134" i="20"/>
  <c r="C134" i="20"/>
  <c r="H133" i="20"/>
  <c r="C133" i="20"/>
  <c r="H132" i="20"/>
  <c r="C132" i="20"/>
  <c r="H131" i="20"/>
  <c r="C131" i="20"/>
  <c r="H130" i="20"/>
  <c r="C130" i="20"/>
  <c r="H129" i="20"/>
  <c r="C129" i="20"/>
  <c r="H128" i="20"/>
  <c r="C128" i="20"/>
  <c r="H127" i="20"/>
  <c r="C127" i="20"/>
  <c r="H126" i="20"/>
  <c r="C126" i="20"/>
  <c r="H125" i="20"/>
  <c r="C125" i="20"/>
  <c r="H124" i="20"/>
  <c r="C124" i="20"/>
  <c r="H123" i="20"/>
  <c r="C123" i="20"/>
  <c r="H122" i="20"/>
  <c r="C122" i="20"/>
  <c r="H121" i="20"/>
  <c r="C121" i="20"/>
  <c r="H120" i="20"/>
  <c r="C120" i="20"/>
  <c r="H119" i="20"/>
  <c r="C119" i="20"/>
  <c r="H118" i="20"/>
  <c r="C118" i="20"/>
  <c r="H117" i="20"/>
  <c r="C117" i="20"/>
  <c r="H116" i="20"/>
  <c r="C116" i="20"/>
  <c r="H115" i="20"/>
  <c r="C115" i="20"/>
  <c r="H114" i="20"/>
  <c r="C114" i="20"/>
  <c r="H113" i="20"/>
  <c r="C113" i="20"/>
  <c r="H112" i="20"/>
  <c r="C112" i="20"/>
  <c r="H111" i="20"/>
  <c r="C111" i="20"/>
  <c r="H110" i="20"/>
  <c r="C110" i="20"/>
  <c r="H109" i="20"/>
  <c r="C109" i="20"/>
  <c r="H108" i="20"/>
  <c r="C108" i="20"/>
  <c r="H107" i="20"/>
  <c r="C107" i="20"/>
  <c r="H106" i="20"/>
  <c r="C106" i="20"/>
  <c r="H105" i="20"/>
  <c r="C105" i="20"/>
  <c r="H104" i="20"/>
  <c r="C104" i="20"/>
  <c r="H103" i="20"/>
  <c r="C103" i="20"/>
  <c r="H102" i="20"/>
  <c r="C102" i="20"/>
  <c r="H101" i="20"/>
  <c r="C101" i="20"/>
  <c r="H100" i="20"/>
  <c r="C100" i="20"/>
  <c r="H99" i="20"/>
  <c r="C99" i="20"/>
  <c r="H98" i="20"/>
  <c r="C98" i="20"/>
  <c r="H97" i="20"/>
  <c r="C97" i="20"/>
  <c r="H96" i="20"/>
  <c r="C96" i="20"/>
  <c r="H95" i="20"/>
  <c r="C95" i="20"/>
  <c r="H94" i="20"/>
  <c r="C94" i="20"/>
  <c r="H93" i="20"/>
  <c r="C93" i="20"/>
  <c r="H92" i="20"/>
  <c r="C92" i="20"/>
  <c r="H91" i="20"/>
  <c r="C91" i="20"/>
  <c r="H90" i="20"/>
  <c r="C90" i="20"/>
  <c r="H89" i="20"/>
  <c r="C89" i="20"/>
  <c r="H88" i="20"/>
  <c r="C88" i="20"/>
  <c r="H87" i="20"/>
  <c r="C87" i="20"/>
  <c r="H86" i="20"/>
  <c r="C86" i="20"/>
  <c r="H85" i="20"/>
  <c r="C85" i="20"/>
  <c r="H84" i="20"/>
  <c r="C84" i="20"/>
  <c r="H83" i="20"/>
  <c r="C83" i="20"/>
  <c r="H82" i="20"/>
  <c r="C82" i="20"/>
  <c r="H81" i="20"/>
  <c r="C81" i="20"/>
  <c r="H80" i="20"/>
  <c r="C80" i="20"/>
  <c r="H79" i="20"/>
  <c r="C79" i="20"/>
  <c r="H78" i="20"/>
  <c r="C78" i="20"/>
  <c r="H77" i="20"/>
  <c r="C77" i="20"/>
  <c r="H76" i="20"/>
  <c r="C76" i="20"/>
  <c r="H75" i="20"/>
  <c r="C75" i="20"/>
  <c r="H74" i="20"/>
  <c r="C74" i="20"/>
  <c r="H73" i="20"/>
  <c r="C73" i="20"/>
  <c r="H72" i="20"/>
  <c r="C72" i="20"/>
  <c r="H71" i="20"/>
  <c r="C71" i="20"/>
  <c r="H70" i="20"/>
  <c r="C70" i="20"/>
  <c r="H69" i="20"/>
  <c r="C69" i="20"/>
  <c r="H68" i="20"/>
  <c r="C68" i="20"/>
  <c r="H67" i="20"/>
  <c r="C67" i="20"/>
  <c r="H66" i="20"/>
  <c r="C66" i="20"/>
  <c r="H65" i="20"/>
  <c r="C65" i="20"/>
  <c r="H64" i="20"/>
  <c r="C64" i="20"/>
  <c r="H63" i="20"/>
  <c r="C63" i="20"/>
  <c r="H62" i="20"/>
  <c r="C62" i="20"/>
  <c r="H61" i="20"/>
  <c r="C61" i="20"/>
  <c r="H60" i="20"/>
  <c r="C60" i="20"/>
  <c r="H59" i="20"/>
  <c r="C59" i="20"/>
  <c r="H58" i="20"/>
  <c r="C58" i="20"/>
  <c r="H57" i="20"/>
  <c r="C57" i="20"/>
  <c r="H56" i="20"/>
  <c r="C56" i="20"/>
  <c r="H55" i="20"/>
  <c r="C55" i="20"/>
  <c r="H54" i="20"/>
  <c r="C54" i="20"/>
  <c r="H53" i="20"/>
  <c r="C53" i="20"/>
  <c r="H52" i="20"/>
  <c r="C52" i="20"/>
  <c r="H51" i="20"/>
  <c r="C51" i="20"/>
  <c r="H50" i="20"/>
  <c r="C50" i="20"/>
  <c r="H49" i="20"/>
  <c r="C49" i="20"/>
  <c r="H48" i="20"/>
  <c r="C48" i="20"/>
  <c r="H47" i="20"/>
  <c r="C47" i="20"/>
  <c r="H46" i="20"/>
  <c r="C46" i="20"/>
  <c r="H45" i="20"/>
  <c r="C45" i="20"/>
  <c r="H44" i="20"/>
  <c r="C44" i="20"/>
  <c r="H43" i="20"/>
  <c r="C43" i="20"/>
  <c r="H42" i="20"/>
  <c r="C42" i="20"/>
  <c r="H41" i="20"/>
  <c r="C41" i="20"/>
  <c r="H40" i="20"/>
  <c r="C40" i="20"/>
  <c r="H39" i="20"/>
  <c r="C39" i="20"/>
  <c r="H38" i="20"/>
  <c r="C38" i="20"/>
  <c r="H37" i="20"/>
  <c r="C37" i="20"/>
  <c r="H36" i="20"/>
  <c r="C36" i="20"/>
  <c r="H35" i="20"/>
  <c r="C35" i="20"/>
  <c r="H34" i="20"/>
  <c r="C34" i="20"/>
  <c r="H33" i="20"/>
  <c r="C33" i="20"/>
  <c r="H32" i="20"/>
  <c r="C32" i="20"/>
  <c r="H31" i="20"/>
  <c r="C31" i="20"/>
  <c r="H30" i="20"/>
  <c r="C30" i="20"/>
  <c r="H29" i="20"/>
  <c r="C29" i="20"/>
  <c r="H28" i="20"/>
  <c r="C28" i="20"/>
  <c r="H27" i="20"/>
  <c r="C27" i="20"/>
  <c r="H26" i="20"/>
  <c r="C26" i="20"/>
  <c r="H25" i="20"/>
  <c r="C25" i="20"/>
  <c r="H24" i="20"/>
  <c r="C24" i="20"/>
  <c r="H23" i="20"/>
  <c r="C23" i="20"/>
  <c r="H22" i="20"/>
  <c r="C22" i="20"/>
  <c r="H21" i="20"/>
  <c r="C21" i="20"/>
  <c r="H20" i="20"/>
  <c r="C20" i="20"/>
  <c r="H19" i="20"/>
  <c r="C19" i="20"/>
  <c r="H18" i="20"/>
  <c r="C18" i="20"/>
  <c r="H17" i="20"/>
  <c r="C17" i="20"/>
  <c r="H16" i="20"/>
  <c r="C16" i="20"/>
  <c r="H15" i="20"/>
  <c r="C15" i="20"/>
  <c r="H14" i="20"/>
  <c r="C14" i="20"/>
  <c r="H13" i="20"/>
  <c r="C13" i="20"/>
  <c r="H12" i="20"/>
  <c r="C12" i="20"/>
  <c r="H11" i="20"/>
  <c r="C11" i="20"/>
  <c r="H10" i="20"/>
  <c r="C10" i="20"/>
  <c r="H9" i="20"/>
  <c r="C9" i="20"/>
  <c r="H8" i="20"/>
  <c r="C8" i="20"/>
  <c r="H7" i="20"/>
  <c r="C7" i="20"/>
  <c r="H6" i="20"/>
  <c r="C6" i="20"/>
  <c r="H5" i="20"/>
  <c r="C5" i="20"/>
  <c r="H4" i="20"/>
  <c r="C4" i="20"/>
  <c r="H3" i="20"/>
  <c r="C3" i="20"/>
  <c r="H2" i="20"/>
  <c r="C2" i="20"/>
  <c r="C79" i="10" l="1"/>
  <c r="D79" i="10"/>
  <c r="F79" i="10"/>
  <c r="G79" i="10"/>
  <c r="F80" i="10"/>
  <c r="G80" i="10"/>
  <c r="C80" i="10"/>
  <c r="D80" i="10"/>
  <c r="C81" i="10"/>
  <c r="D81" i="10"/>
  <c r="F81" i="10"/>
  <c r="G81" i="10"/>
  <c r="F71" i="10"/>
  <c r="G71" i="10"/>
  <c r="C71" i="10"/>
  <c r="D71" i="10"/>
  <c r="C70" i="10"/>
  <c r="D70" i="10"/>
  <c r="F70" i="10"/>
  <c r="G70" i="10"/>
  <c r="F69" i="10"/>
  <c r="G69" i="10"/>
  <c r="C69" i="10"/>
  <c r="D69" i="10"/>
  <c r="C37" i="10"/>
  <c r="D37" i="10"/>
  <c r="E37" i="10"/>
  <c r="F37" i="10"/>
  <c r="G37" i="10"/>
  <c r="H37" i="10"/>
  <c r="I37" i="10"/>
  <c r="J37" i="10"/>
  <c r="K37" i="10"/>
  <c r="C38" i="10"/>
  <c r="D38" i="10"/>
  <c r="E38" i="10"/>
  <c r="F38" i="10"/>
  <c r="G38" i="10"/>
  <c r="H38" i="10"/>
  <c r="I38" i="10"/>
  <c r="J38" i="10"/>
  <c r="K38" i="10"/>
  <c r="C39" i="10"/>
  <c r="D39" i="10"/>
  <c r="E39" i="10"/>
  <c r="F39" i="10"/>
  <c r="G39" i="10"/>
  <c r="H39" i="10"/>
  <c r="I39" i="10"/>
  <c r="J39" i="10"/>
  <c r="K39" i="10"/>
  <c r="D36" i="10"/>
  <c r="E36" i="10"/>
  <c r="F36" i="10"/>
  <c r="G36" i="10"/>
  <c r="H36" i="10"/>
  <c r="I36" i="10"/>
  <c r="J36" i="10"/>
  <c r="K36" i="10"/>
  <c r="C36" i="10"/>
  <c r="H29" i="17" l="1"/>
  <c r="H30" i="17"/>
  <c r="I30" i="17"/>
  <c r="I29" i="17"/>
  <c r="G30" i="17"/>
  <c r="G29" i="17"/>
  <c r="W37" i="15" l="1"/>
  <c r="W38" i="15"/>
  <c r="W39" i="15"/>
  <c r="W40" i="15"/>
  <c r="W41" i="15"/>
  <c r="W42" i="15"/>
  <c r="W43" i="15"/>
  <c r="W44" i="15"/>
  <c r="W45" i="15"/>
  <c r="W46" i="15"/>
  <c r="W47" i="15"/>
  <c r="W48" i="15"/>
  <c r="W49" i="15"/>
  <c r="W50" i="15"/>
  <c r="W51" i="15"/>
  <c r="W52" i="15"/>
  <c r="W53" i="15"/>
  <c r="W54" i="15"/>
  <c r="W55" i="15"/>
  <c r="W56" i="15"/>
  <c r="W57" i="15"/>
  <c r="W58" i="15"/>
  <c r="W36" i="15"/>
  <c r="Z3" i="16" l="1"/>
  <c r="Z4" i="16"/>
  <c r="Z5" i="16"/>
  <c r="Z6" i="16"/>
  <c r="Z7" i="16"/>
  <c r="Z8" i="16"/>
  <c r="Z9" i="16"/>
  <c r="Z10" i="16"/>
  <c r="Z11" i="16"/>
  <c r="Z12" i="16"/>
  <c r="Z13" i="16"/>
  <c r="Z14" i="16"/>
  <c r="Z15" i="16"/>
  <c r="Z16" i="16"/>
  <c r="Z17" i="16"/>
  <c r="Z18" i="16"/>
  <c r="Z19" i="16"/>
  <c r="Z20" i="16"/>
  <c r="Z21" i="16"/>
  <c r="Z22" i="16"/>
  <c r="Z23" i="16"/>
  <c r="Z24" i="16"/>
  <c r="Z25" i="16"/>
  <c r="Z26" i="16"/>
  <c r="Z27" i="16"/>
  <c r="Z28" i="16"/>
  <c r="Z29" i="16"/>
  <c r="Z30" i="16"/>
  <c r="Z31" i="16"/>
  <c r="Z32" i="16"/>
  <c r="Z33" i="16"/>
  <c r="Z34" i="16"/>
  <c r="Z35" i="16"/>
  <c r="Z36" i="16"/>
  <c r="Z37" i="16"/>
  <c r="Z38" i="16"/>
  <c r="Z39" i="16"/>
  <c r="Z40" i="16"/>
  <c r="Z41" i="16"/>
  <c r="Z42" i="16"/>
  <c r="Z43" i="16"/>
  <c r="Z44" i="16"/>
  <c r="Z45" i="16"/>
  <c r="Z46" i="16"/>
  <c r="Z47" i="16"/>
  <c r="Z48" i="16"/>
  <c r="Z49" i="16"/>
  <c r="Z50" i="16"/>
  <c r="Z51" i="16"/>
  <c r="Z52" i="16"/>
  <c r="Z53" i="16"/>
  <c r="Z54" i="16"/>
  <c r="Z55" i="16"/>
  <c r="Z56" i="16"/>
  <c r="Z57" i="16"/>
  <c r="Z58" i="16"/>
  <c r="Z59" i="16"/>
  <c r="Z60" i="16"/>
  <c r="Z61" i="16"/>
  <c r="Z62" i="16"/>
  <c r="Z63" i="16"/>
  <c r="Z64" i="16"/>
  <c r="Z65" i="16"/>
  <c r="Z66" i="16"/>
  <c r="Z67" i="16"/>
  <c r="Z68" i="16"/>
  <c r="Z69" i="16"/>
  <c r="Z70" i="16"/>
  <c r="Z71" i="16"/>
  <c r="Z72" i="16"/>
  <c r="Z73" i="16"/>
  <c r="Z74" i="16"/>
  <c r="Z75" i="16"/>
  <c r="Z76" i="16"/>
  <c r="Z77" i="16"/>
  <c r="Z78" i="16"/>
  <c r="Z79" i="16"/>
  <c r="Z80" i="16"/>
  <c r="Z81" i="16"/>
  <c r="Z82" i="16"/>
  <c r="Z83" i="16"/>
  <c r="Z84" i="16"/>
  <c r="Z85" i="16"/>
  <c r="Z86" i="16"/>
  <c r="Z87" i="16"/>
  <c r="Z88" i="16"/>
  <c r="Z89" i="16"/>
  <c r="Z90" i="16"/>
  <c r="Z91" i="16"/>
  <c r="Z92" i="16"/>
  <c r="Z93" i="16"/>
  <c r="Z94" i="16"/>
  <c r="Z95" i="16"/>
  <c r="Z96" i="16"/>
  <c r="Z97" i="16"/>
  <c r="Z98" i="16"/>
  <c r="Z99" i="16"/>
  <c r="Z100" i="16"/>
  <c r="Z101" i="16"/>
  <c r="Z102" i="16"/>
  <c r="Z103" i="16"/>
  <c r="Z104" i="16"/>
  <c r="Z105" i="16"/>
  <c r="Z106" i="16"/>
  <c r="Z107" i="16"/>
  <c r="Z108" i="16"/>
  <c r="Z109" i="16"/>
  <c r="Z110" i="16"/>
  <c r="Z111" i="16"/>
  <c r="Z112" i="16"/>
  <c r="Z113" i="16"/>
  <c r="Z114" i="16"/>
  <c r="Z115" i="16"/>
  <c r="Z116" i="16"/>
  <c r="Z117" i="16"/>
  <c r="Z118" i="16"/>
  <c r="Z119" i="16"/>
  <c r="Z120" i="16"/>
  <c r="Z121" i="16"/>
  <c r="Z122" i="16"/>
  <c r="Z123" i="16"/>
  <c r="Z124" i="16"/>
  <c r="Z125" i="16"/>
  <c r="Z126" i="16"/>
  <c r="Z127" i="16"/>
  <c r="Z128" i="16"/>
  <c r="Z129" i="16"/>
  <c r="Z130" i="16"/>
  <c r="Z131" i="16"/>
  <c r="Z132" i="16"/>
  <c r="Z133" i="16"/>
  <c r="Z134" i="16"/>
  <c r="Z135" i="16"/>
  <c r="Z136" i="16"/>
  <c r="Z137" i="16"/>
  <c r="Z138" i="16"/>
  <c r="Z139" i="16"/>
  <c r="Z140" i="16"/>
  <c r="Z141" i="16"/>
  <c r="Z142" i="16"/>
  <c r="Z143" i="16"/>
  <c r="Z144" i="16"/>
  <c r="Z145" i="16"/>
  <c r="Z146" i="16"/>
  <c r="Z147" i="16"/>
  <c r="Z148" i="16"/>
  <c r="Z149" i="16"/>
  <c r="Z150" i="16"/>
  <c r="Z151" i="16"/>
  <c r="Z152" i="16"/>
  <c r="Z153" i="16"/>
  <c r="Z154" i="16"/>
  <c r="Z155" i="16"/>
  <c r="Z156" i="16"/>
  <c r="Z157" i="16"/>
  <c r="Z158" i="16"/>
  <c r="Z159" i="16"/>
  <c r="Z160" i="16"/>
  <c r="Z161" i="16"/>
  <c r="Z162" i="16"/>
  <c r="Z163" i="16"/>
  <c r="Z164" i="16"/>
  <c r="Z165" i="16"/>
  <c r="Z166" i="16"/>
  <c r="Z167" i="16"/>
  <c r="Z168" i="16"/>
  <c r="Z169" i="16"/>
  <c r="Z170" i="16"/>
  <c r="Z171" i="16"/>
  <c r="Z172" i="16"/>
  <c r="Z173" i="16"/>
  <c r="Z174" i="16"/>
  <c r="Z175" i="16"/>
  <c r="Z176" i="16"/>
  <c r="Z177" i="16"/>
  <c r="Z178" i="16"/>
  <c r="Z179" i="16"/>
  <c r="Z180" i="16"/>
  <c r="Z181" i="16"/>
  <c r="Z182" i="16"/>
  <c r="Z183" i="16"/>
  <c r="Z184" i="16"/>
  <c r="Z185" i="16"/>
  <c r="Z186" i="16"/>
  <c r="Z187" i="16"/>
  <c r="Z188" i="16"/>
  <c r="Z189" i="16"/>
  <c r="Z190" i="16"/>
  <c r="Z191" i="16"/>
  <c r="Z192" i="16"/>
  <c r="Z193" i="16"/>
  <c r="Z194" i="16"/>
  <c r="Z195" i="16"/>
  <c r="Z196" i="16"/>
  <c r="Z197" i="16"/>
  <c r="Z198" i="16"/>
  <c r="Z199" i="16"/>
  <c r="Z200" i="16"/>
  <c r="Z201" i="16"/>
  <c r="Z202" i="16"/>
  <c r="Z203" i="16"/>
  <c r="Z204" i="16"/>
  <c r="Z205" i="16"/>
  <c r="Z206" i="16"/>
  <c r="Z207" i="16"/>
  <c r="Z208" i="16"/>
  <c r="Z209" i="16"/>
  <c r="Z210" i="16"/>
  <c r="Z211" i="16"/>
  <c r="Z212" i="16"/>
  <c r="Z213" i="16"/>
  <c r="Z214" i="16"/>
  <c r="Z215" i="16"/>
  <c r="Z216" i="16"/>
  <c r="Z217" i="16"/>
  <c r="Z218" i="16"/>
  <c r="Z219" i="16"/>
  <c r="Z220" i="16"/>
  <c r="Z221" i="16"/>
  <c r="Z222" i="16"/>
  <c r="Z223" i="16"/>
  <c r="Z224" i="16"/>
  <c r="Z225" i="16"/>
  <c r="Z226" i="16"/>
  <c r="Z227" i="16"/>
  <c r="Z228" i="16"/>
  <c r="Z229" i="16"/>
  <c r="Z230" i="16"/>
  <c r="Z231" i="16"/>
  <c r="Z232" i="16"/>
  <c r="Z233" i="16"/>
  <c r="Z234" i="16"/>
  <c r="Z235" i="16"/>
  <c r="Z236" i="16"/>
  <c r="Z237" i="16"/>
  <c r="Z238" i="16"/>
  <c r="Z239" i="16"/>
  <c r="Z240" i="16"/>
  <c r="Z241" i="16"/>
  <c r="Z242" i="16"/>
  <c r="Z243" i="16"/>
  <c r="Z244" i="16"/>
  <c r="Z245" i="16"/>
  <c r="Z246" i="16"/>
  <c r="Z247" i="16"/>
  <c r="Z248" i="16"/>
  <c r="Z249" i="16"/>
  <c r="Z250" i="16"/>
  <c r="Z251" i="16"/>
  <c r="Z252" i="16"/>
  <c r="Z253" i="16"/>
  <c r="Z254" i="16"/>
  <c r="Z255" i="16"/>
  <c r="Z256" i="16"/>
  <c r="Z257" i="16"/>
  <c r="Z258" i="16"/>
  <c r="Z259" i="16"/>
  <c r="Z260" i="16"/>
  <c r="Z261" i="16"/>
  <c r="Z262" i="16"/>
  <c r="Z263" i="16"/>
  <c r="Z264" i="16"/>
  <c r="Z265" i="16"/>
  <c r="Z266" i="16"/>
  <c r="Z267" i="16"/>
  <c r="Z268" i="16"/>
  <c r="Z269" i="16"/>
  <c r="Z270" i="16"/>
  <c r="Z271" i="16"/>
  <c r="Z272" i="16"/>
  <c r="Z273" i="16"/>
  <c r="Z274" i="16"/>
  <c r="Z275" i="16"/>
  <c r="Z276" i="16"/>
  <c r="Z277" i="16"/>
  <c r="Z278" i="16"/>
  <c r="Z279" i="16"/>
  <c r="Z280" i="16"/>
  <c r="Z281" i="16"/>
  <c r="Z282" i="16"/>
  <c r="Z283" i="16"/>
  <c r="Z284" i="16"/>
  <c r="Z285" i="16"/>
  <c r="Z286" i="16"/>
  <c r="Z2" i="16"/>
  <c r="C5" i="10" l="1"/>
  <c r="C6" i="10"/>
</calcChain>
</file>

<file path=xl/sharedStrings.xml><?xml version="1.0" encoding="utf-8"?>
<sst xmlns="http://schemas.openxmlformats.org/spreadsheetml/2006/main" count="1585" uniqueCount="747">
  <si>
    <t>为了实验方便，只写1M数据</t>
    <phoneticPr fontId="1" type="noConversion"/>
  </si>
  <si>
    <t>Leveldb默认4Mbuffer2MSST</t>
    <phoneticPr fontId="1" type="noConversion"/>
  </si>
  <si>
    <t>RocksDB还有一些多线程优化参数，默认值没有改动，但是改了作用其实并不大：
后台jobs为2，一个flush一个compaction
L0compaction，slowdown，stop阈值：4,20,36</t>
    <phoneticPr fontId="1" type="noConversion"/>
  </si>
  <si>
    <t>LevelDB为8,12,16</t>
    <phoneticPr fontId="1" type="noConversion"/>
  </si>
  <si>
    <t xml:space="preserve">其他默认值：
层放大系数10
单column
</t>
    <phoneticPr fontId="1" type="noConversion"/>
  </si>
  <si>
    <t>一些规定好的参数：（db_bench参数设置)
key_size=16 value_size变动 batch=1
rocksdb默认的writebuffer和file size为64M，禁用压缩
禁用pipelinewrite，并行memtable（这是非默认，但是对性能影响不大）</t>
    <phoneticPr fontId="1" type="noConversion"/>
  </si>
  <si>
    <t>HDD</t>
    <phoneticPr fontId="1" type="noConversion"/>
  </si>
  <si>
    <t>OptaneSSD</t>
    <phoneticPr fontId="1" type="noConversion"/>
  </si>
  <si>
    <t>ramdisk</t>
    <phoneticPr fontId="1" type="noConversion"/>
  </si>
  <si>
    <t>seq</t>
    <phoneticPr fontId="1" type="noConversion"/>
  </si>
  <si>
    <t>ValueLen</t>
    <phoneticPr fontId="1" type="noConversion"/>
  </si>
  <si>
    <t>100B</t>
    <phoneticPr fontId="1" type="noConversion"/>
  </si>
  <si>
    <t>45MB/s</t>
    <phoneticPr fontId="1" type="noConversion"/>
  </si>
  <si>
    <t>512B</t>
    <phoneticPr fontId="1" type="noConversion"/>
  </si>
  <si>
    <t>1KB</t>
    <phoneticPr fontId="1" type="noConversion"/>
  </si>
  <si>
    <t>4KB</t>
    <phoneticPr fontId="1" type="noConversion"/>
  </si>
  <si>
    <t>170MB/s</t>
    <phoneticPr fontId="1" type="noConversion"/>
  </si>
  <si>
    <t>256B</t>
    <phoneticPr fontId="1" type="noConversion"/>
  </si>
  <si>
    <t>95MB/s</t>
    <phoneticPr fontId="1" type="noConversion"/>
  </si>
  <si>
    <t>16KB</t>
    <phoneticPr fontId="1" type="noConversion"/>
  </si>
  <si>
    <t>260MB/s</t>
    <phoneticPr fontId="1" type="noConversion"/>
  </si>
  <si>
    <t>520MB/s</t>
    <phoneticPr fontId="1" type="noConversion"/>
  </si>
  <si>
    <t>655MB/s</t>
    <phoneticPr fontId="1" type="noConversion"/>
  </si>
  <si>
    <t>432MB/s</t>
    <phoneticPr fontId="1" type="noConversion"/>
  </si>
  <si>
    <t>NVMeSSD
SLC空</t>
    <phoneticPr fontId="1" type="noConversion"/>
  </si>
  <si>
    <t>NVMeSSD
SLC满</t>
    <phoneticPr fontId="1" type="noConversion"/>
  </si>
  <si>
    <t>最后一个是因为会写到掉速</t>
    <phoneticPr fontId="1" type="noConversion"/>
  </si>
  <si>
    <t>277MB/s</t>
    <phoneticPr fontId="1" type="noConversion"/>
  </si>
  <si>
    <t>514MB/s</t>
    <phoneticPr fontId="1" type="noConversion"/>
  </si>
  <si>
    <t>168MB/s</t>
    <phoneticPr fontId="1" type="noConversion"/>
  </si>
  <si>
    <t>46MB/s</t>
    <phoneticPr fontId="1" type="noConversion"/>
  </si>
  <si>
    <t>93MB/s</t>
    <phoneticPr fontId="1" type="noConversion"/>
  </si>
  <si>
    <t>44.8MB/s</t>
    <phoneticPr fontId="1" type="noConversion"/>
  </si>
  <si>
    <t>99MB/s</t>
    <phoneticPr fontId="1" type="noConversion"/>
  </si>
  <si>
    <t>65MB/s</t>
    <phoneticPr fontId="1" type="noConversion"/>
  </si>
  <si>
    <t>128MB/s</t>
    <phoneticPr fontId="1" type="noConversion"/>
  </si>
  <si>
    <t>247MB/s</t>
    <phoneticPr fontId="1" type="noConversion"/>
  </si>
  <si>
    <t>834MB/s</t>
    <phoneticPr fontId="1" type="noConversion"/>
  </si>
  <si>
    <t>370MB/s</t>
    <phoneticPr fontId="1" type="noConversion"/>
  </si>
  <si>
    <t>2.47us/op</t>
  </si>
  <si>
    <t>2.6us/op</t>
  </si>
  <si>
    <t>2.4us/op</t>
  </si>
  <si>
    <t>2.77us/op</t>
  </si>
  <si>
    <t>2.98us/op</t>
  </si>
  <si>
    <t>3.6us/op</t>
  </si>
  <si>
    <t>7.6us/op</t>
  </si>
  <si>
    <t>36.1us/op</t>
  </si>
  <si>
    <t>2.45us/op</t>
  </si>
  <si>
    <t>2.74us/op</t>
  </si>
  <si>
    <t>2.93us/op</t>
  </si>
  <si>
    <t>3.8us/op</t>
  </si>
  <si>
    <t>7.5us/op</t>
  </si>
  <si>
    <t>23.9us/op</t>
  </si>
  <si>
    <t>1.7us/op</t>
  </si>
  <si>
    <t>2.0us/op</t>
  </si>
  <si>
    <t>2.68us/op</t>
  </si>
  <si>
    <t>4.7us/op</t>
  </si>
  <si>
    <t>1224MB/s</t>
    <phoneticPr fontId="1" type="noConversion"/>
  </si>
  <si>
    <t>12.8us/op</t>
    <phoneticPr fontId="1" type="noConversion"/>
  </si>
  <si>
    <t>random</t>
    <phoneticPr fontId="1" type="noConversion"/>
  </si>
  <si>
    <t>258MB/s</t>
    <phoneticPr fontId="1" type="noConversion"/>
  </si>
  <si>
    <t>60us/op</t>
    <phoneticPr fontId="1" type="noConversion"/>
  </si>
  <si>
    <t>427MB/s</t>
    <phoneticPr fontId="1" type="noConversion"/>
  </si>
  <si>
    <t>9.2us/op</t>
    <phoneticPr fontId="1" type="noConversion"/>
  </si>
  <si>
    <t>283MB/s</t>
    <phoneticPr fontId="1" type="noConversion"/>
  </si>
  <si>
    <t>3.5us/op</t>
    <phoneticPr fontId="1" type="noConversion"/>
  </si>
  <si>
    <t>156MB/s</t>
    <phoneticPr fontId="1" type="noConversion"/>
  </si>
  <si>
    <t>3.2us/op</t>
    <phoneticPr fontId="1" type="noConversion"/>
  </si>
  <si>
    <t>92MB/s</t>
    <phoneticPr fontId="1" type="noConversion"/>
  </si>
  <si>
    <t>2.8us/op</t>
    <phoneticPr fontId="1" type="noConversion"/>
  </si>
  <si>
    <t>41MB/s</t>
    <phoneticPr fontId="1" type="noConversion"/>
  </si>
  <si>
    <t>2.7us/op</t>
    <phoneticPr fontId="1" type="noConversion"/>
  </si>
  <si>
    <t>31MB/s</t>
    <phoneticPr fontId="1" type="noConversion"/>
  </si>
  <si>
    <t>3.56us/op</t>
    <phoneticPr fontId="1" type="noConversion"/>
  </si>
  <si>
    <t>3.7us/op</t>
    <phoneticPr fontId="1" type="noConversion"/>
  </si>
  <si>
    <t>70MB/s</t>
    <phoneticPr fontId="1" type="noConversion"/>
  </si>
  <si>
    <t>124MB/s</t>
    <phoneticPr fontId="1" type="noConversion"/>
  </si>
  <si>
    <t>4.0us/op</t>
    <phoneticPr fontId="1" type="noConversion"/>
  </si>
  <si>
    <t>210MB/s</t>
    <phoneticPr fontId="1" type="noConversion"/>
  </si>
  <si>
    <t>4.7us/op</t>
    <phoneticPr fontId="1" type="noConversion"/>
  </si>
  <si>
    <t>270MB/s</t>
    <phoneticPr fontId="1" type="noConversion"/>
  </si>
  <si>
    <t>14.4us/op</t>
    <phoneticPr fontId="1" type="noConversion"/>
  </si>
  <si>
    <t>162MB/s</t>
    <phoneticPr fontId="1" type="noConversion"/>
  </si>
  <si>
    <t>96us/op</t>
    <phoneticPr fontId="1" type="noConversion"/>
  </si>
  <si>
    <t>这一列是由于固定sst大小而KV过大，导致compaction过于频繁且没有必要，需要做键值分离或增大SST大小</t>
    <phoneticPr fontId="1" type="noConversion"/>
  </si>
  <si>
    <t>55MB/s</t>
    <phoneticPr fontId="1" type="noConversion"/>
  </si>
  <si>
    <t>284us/op</t>
    <phoneticPr fontId="1" type="noConversion"/>
  </si>
  <si>
    <t>15us/op</t>
    <phoneticPr fontId="1" type="noConversion"/>
  </si>
  <si>
    <t>216MB/s</t>
    <phoneticPr fontId="1" type="noConversion"/>
  </si>
  <si>
    <t>4.6us/op</t>
    <phoneticPr fontId="1" type="noConversion"/>
  </si>
  <si>
    <t>122MB/s</t>
    <phoneticPr fontId="1" type="noConversion"/>
  </si>
  <si>
    <t>4.1us/op</t>
    <phoneticPr fontId="1" type="noConversion"/>
  </si>
  <si>
    <t>72MB/s</t>
    <phoneticPr fontId="1" type="noConversion"/>
  </si>
  <si>
    <t>3.6us/op</t>
    <phoneticPr fontId="1" type="noConversion"/>
  </si>
  <si>
    <t>32MB/s</t>
    <phoneticPr fontId="1" type="noConversion"/>
  </si>
  <si>
    <t>3.42us/op</t>
    <phoneticPr fontId="1" type="noConversion"/>
  </si>
  <si>
    <t>8KB</t>
    <phoneticPr fontId="1" type="noConversion"/>
  </si>
  <si>
    <t>113MB/s</t>
    <phoneticPr fontId="1" type="noConversion"/>
  </si>
  <si>
    <t>69us/op</t>
    <phoneticPr fontId="1" type="noConversion"/>
  </si>
  <si>
    <t>21us/op</t>
    <phoneticPr fontId="1" type="noConversion"/>
  </si>
  <si>
    <t>234MB/s</t>
    <phoneticPr fontId="1" type="noConversion"/>
  </si>
  <si>
    <t>33.4us/op</t>
    <phoneticPr fontId="1" type="noConversion"/>
  </si>
  <si>
    <t>638MB/s</t>
    <phoneticPr fontId="1" type="noConversion"/>
  </si>
  <si>
    <t>12.3us/op</t>
    <phoneticPr fontId="1" type="noConversion"/>
  </si>
  <si>
    <t>544MB/s</t>
    <phoneticPr fontId="1" type="noConversion"/>
  </si>
  <si>
    <t>14.3us/op</t>
    <phoneticPr fontId="1" type="noConversion"/>
  </si>
  <si>
    <t>1045MB/s</t>
    <phoneticPr fontId="1" type="noConversion"/>
  </si>
  <si>
    <t>7.5us/op</t>
    <phoneticPr fontId="1" type="noConversion"/>
  </si>
  <si>
    <t>110MB/s</t>
    <phoneticPr fontId="1" type="noConversion"/>
  </si>
  <si>
    <t>141us/op</t>
    <phoneticPr fontId="1" type="noConversion"/>
  </si>
  <si>
    <t>71us/op</t>
    <phoneticPr fontId="1" type="noConversion"/>
  </si>
  <si>
    <t>111MB/s</t>
    <phoneticPr fontId="1" type="noConversion"/>
  </si>
  <si>
    <t>35us/op</t>
    <phoneticPr fontId="1" type="noConversion"/>
  </si>
  <si>
    <t>112MB/s</t>
    <phoneticPr fontId="1" type="noConversion"/>
  </si>
  <si>
    <t>8.8us/op</t>
    <phoneticPr fontId="1" type="noConversion"/>
  </si>
  <si>
    <t>114MB/s</t>
    <phoneticPr fontId="1" type="noConversion"/>
  </si>
  <si>
    <t>4.4us/op</t>
    <phoneticPr fontId="1" type="noConversion"/>
  </si>
  <si>
    <t>103MB/s</t>
    <phoneticPr fontId="1" type="noConversion"/>
  </si>
  <si>
    <t>2.5us/op</t>
    <phoneticPr fontId="1" type="noConversion"/>
  </si>
  <si>
    <t>2KB</t>
    <phoneticPr fontId="1" type="noConversion"/>
  </si>
  <si>
    <t>17.7us/op</t>
    <phoneticPr fontId="1" type="noConversion"/>
  </si>
  <si>
    <t>27.7us/op</t>
    <phoneticPr fontId="1" type="noConversion"/>
  </si>
  <si>
    <t>因为一般SLC空也都会因为compaction到掉速，就不测了</t>
    <phoneticPr fontId="1" type="noConversion"/>
  </si>
  <si>
    <t>605MB/s</t>
    <phoneticPr fontId="1" type="noConversion"/>
  </si>
  <si>
    <t>3.25us/op</t>
    <phoneticPr fontId="1" type="noConversion"/>
  </si>
  <si>
    <t>477MB/s</t>
    <phoneticPr fontId="1" type="noConversion"/>
  </si>
  <si>
    <t>417MB/s</t>
    <phoneticPr fontId="1" type="noConversion"/>
  </si>
  <si>
    <t>323MB/s</t>
    <phoneticPr fontId="1" type="noConversion"/>
  </si>
  <si>
    <t>6.1us/op</t>
    <phoneticPr fontId="1" type="noConversion"/>
  </si>
  <si>
    <t>378MB/s</t>
    <phoneticPr fontId="1" type="noConversion"/>
  </si>
  <si>
    <t>5.3us/op</t>
    <phoneticPr fontId="1" type="noConversion"/>
  </si>
  <si>
    <t>310MB/s</t>
    <phoneticPr fontId="1" type="noConversion"/>
  </si>
  <si>
    <t>6.3us/op</t>
    <phoneticPr fontId="1" type="noConversion"/>
  </si>
  <si>
    <t>33MB/s</t>
    <phoneticPr fontId="1" type="noConversion"/>
  </si>
  <si>
    <t>3.36us/op</t>
    <phoneticPr fontId="1" type="noConversion"/>
  </si>
  <si>
    <t>要体现不同介质下KV的性能:小KV每个介质性能差不多-&gt;不同介质中容忍的KV长度不同</t>
    <phoneticPr fontId="1" type="noConversion"/>
  </si>
  <si>
    <t>对HDD来说，性能直接拉满，而对于其他介质要看块大小</t>
    <phoneticPr fontId="1" type="noConversion"/>
  </si>
  <si>
    <t>74MB/s</t>
    <phoneticPr fontId="1" type="noConversion"/>
  </si>
  <si>
    <t>86.7MB/s</t>
    <phoneticPr fontId="1" type="noConversion"/>
  </si>
  <si>
    <t>5.8us/op</t>
    <phoneticPr fontId="1" type="noConversion"/>
  </si>
  <si>
    <t>76MB/s</t>
    <phoneticPr fontId="1" type="noConversion"/>
  </si>
  <si>
    <t>13us/op</t>
    <phoneticPr fontId="1" type="noConversion"/>
  </si>
  <si>
    <t>71MB/s</t>
    <phoneticPr fontId="1" type="noConversion"/>
  </si>
  <si>
    <t>hdd开始拉满</t>
    <phoneticPr fontId="1" type="noConversion"/>
  </si>
  <si>
    <t>54MB/s</t>
    <phoneticPr fontId="1" type="noConversion"/>
  </si>
  <si>
    <t>72.6us/op</t>
    <phoneticPr fontId="1" type="noConversion"/>
  </si>
  <si>
    <t>192us/op</t>
    <phoneticPr fontId="1" type="noConversion"/>
  </si>
  <si>
    <t>29MB/s</t>
    <phoneticPr fontId="1" type="noConversion"/>
  </si>
  <si>
    <t>545us/op</t>
    <phoneticPr fontId="1" type="noConversion"/>
  </si>
  <si>
    <t>RocksDB</t>
  </si>
  <si>
    <t>16字节key</t>
  </si>
  <si>
    <t>100字节value</t>
  </si>
  <si>
    <t>数据量为10M条</t>
    <phoneticPr fontId="1" type="noConversion"/>
  </si>
  <si>
    <t>单位为：MB/s</t>
  </si>
  <si>
    <t>Throughput(MB/s)</t>
  </si>
  <si>
    <t>顺序写</t>
  </si>
  <si>
    <t>随机写</t>
  </si>
  <si>
    <t>修改</t>
  </si>
  <si>
    <t>顺序读</t>
  </si>
  <si>
    <t>随机读</t>
  </si>
  <si>
    <t>NVMeSSD</t>
    <phoneticPr fontId="1" type="noConversion"/>
  </si>
  <si>
    <t>HDD</t>
    <phoneticPr fontId="1" type="noConversion"/>
  </si>
  <si>
    <t>FAST SSD</t>
    <phoneticPr fontId="1" type="noConversion"/>
  </si>
  <si>
    <t>SATA SSD</t>
    <phoneticPr fontId="1" type="noConversion"/>
  </si>
  <si>
    <t>QLC SSD</t>
    <phoneticPr fontId="1" type="noConversion"/>
  </si>
  <si>
    <t>TLC SSD</t>
    <phoneticPr fontId="1" type="noConversion"/>
  </si>
  <si>
    <t xml:space="preserve">fio </t>
    <phoneticPr fontId="1" type="noConversion"/>
  </si>
  <si>
    <t>非sync操作</t>
    <phoneticPr fontId="1" type="noConversion"/>
  </si>
  <si>
    <t>128B</t>
    <phoneticPr fontId="1" type="noConversion"/>
  </si>
  <si>
    <t>BS</t>
    <phoneticPr fontId="1" type="noConversion"/>
  </si>
  <si>
    <t>throuput(MB/s)</t>
    <phoneticPr fontId="1" type="noConversion"/>
  </si>
  <si>
    <t>32KB</t>
    <phoneticPr fontId="1" type="noConversion"/>
  </si>
  <si>
    <t>64KB</t>
    <phoneticPr fontId="1" type="noConversion"/>
  </si>
  <si>
    <t>128KB</t>
    <phoneticPr fontId="1" type="noConversion"/>
  </si>
  <si>
    <t>256KB</t>
    <phoneticPr fontId="1" type="noConversion"/>
  </si>
  <si>
    <t>1并发</t>
    <phoneticPr fontId="1" type="noConversion"/>
  </si>
  <si>
    <t>4并发</t>
    <phoneticPr fontId="1" type="noConversion"/>
  </si>
  <si>
    <t>16并发</t>
    <phoneticPr fontId="1" type="noConversion"/>
  </si>
  <si>
    <t>64并发</t>
    <phoneticPr fontId="1" type="noConversion"/>
  </si>
  <si>
    <t>1000并发</t>
    <phoneticPr fontId="1" type="noConversion"/>
  </si>
  <si>
    <t>平均memtable插入时间（ns）</t>
    <phoneticPr fontId="1" type="noConversion"/>
  </si>
  <si>
    <t>Batch</t>
    <phoneticPr fontId="1" type="noConversion"/>
  </si>
  <si>
    <t>Column=4</t>
    <phoneticPr fontId="1" type="noConversion"/>
  </si>
  <si>
    <t>Batch=1</t>
    <phoneticPr fontId="1" type="noConversion"/>
  </si>
  <si>
    <t>Batch=8</t>
    <phoneticPr fontId="1" type="noConversion"/>
  </si>
  <si>
    <t>Batch=32</t>
    <phoneticPr fontId="1" type="noConversion"/>
  </si>
  <si>
    <t>线程数</t>
    <phoneticPr fontId="1" type="noConversion"/>
  </si>
  <si>
    <t>写入量pth</t>
    <phoneticPr fontId="1" type="noConversion"/>
  </si>
  <si>
    <t>写入量总</t>
    <phoneticPr fontId="1" type="noConversion"/>
  </si>
  <si>
    <t>吞吐量</t>
    <phoneticPr fontId="1" type="noConversion"/>
  </si>
  <si>
    <t>1GB</t>
    <phoneticPr fontId="1" type="noConversion"/>
  </si>
  <si>
    <t>1G</t>
    <phoneticPr fontId="1" type="noConversion"/>
  </si>
  <si>
    <t>300MB/s</t>
    <phoneticPr fontId="1" type="noConversion"/>
  </si>
  <si>
    <t>4G</t>
    <phoneticPr fontId="1" type="noConversion"/>
  </si>
  <si>
    <t>850MB/s</t>
    <phoneticPr fontId="1" type="noConversion"/>
  </si>
  <si>
    <t>8G</t>
    <phoneticPr fontId="1" type="noConversion"/>
  </si>
  <si>
    <t>1200MB/s</t>
    <phoneticPr fontId="1" type="noConversion"/>
  </si>
  <si>
    <t>500MB</t>
    <phoneticPr fontId="1" type="noConversion"/>
  </si>
  <si>
    <t>1300MB/s</t>
    <phoneticPr fontId="1" type="noConversion"/>
  </si>
  <si>
    <t>250MB</t>
    <phoneticPr fontId="1" type="noConversion"/>
  </si>
  <si>
    <t>NVMe</t>
    <phoneticPr fontId="1" type="noConversion"/>
  </si>
  <si>
    <t>多线程4K写</t>
    <phoneticPr fontId="1" type="noConversion"/>
  </si>
  <si>
    <t>Samsung960EVO256g</t>
    <phoneticPr fontId="1" type="noConversion"/>
  </si>
  <si>
    <t>SingleDB</t>
    <phoneticPr fontId="1" type="noConversion"/>
  </si>
  <si>
    <t>MultDB=4</t>
    <phoneticPr fontId="1" type="noConversion"/>
  </si>
  <si>
    <t>MultiDB=8</t>
    <phoneticPr fontId="1" type="noConversion"/>
  </si>
  <si>
    <t>Column=8</t>
    <phoneticPr fontId="1" type="noConversion"/>
  </si>
  <si>
    <t>SingleDB4th</t>
    <phoneticPr fontId="1" type="noConversion"/>
  </si>
  <si>
    <t>由于log阻塞，多线程单DB基本性能没有提升。
多Column并行也是如此，由于只有一个log且阻塞，性能提升有限。
多DB可以做到并行log，线程提升性能会提升。
加大batch可以有效提升写log的效率，但在单线程写log的SingleDB和Column两组实验中，也只能达到300MB/s。只有多线程写log才能使其提高写带宽。</t>
    <phoneticPr fontId="1" type="noConversion"/>
  </si>
  <si>
    <t>写性能测试</t>
    <phoneticPr fontId="1" type="noConversion"/>
  </si>
  <si>
    <t>Batch=1</t>
    <phoneticPr fontId="1" type="noConversion"/>
  </si>
  <si>
    <t>Batch=8</t>
    <phoneticPr fontId="1" type="noConversion"/>
  </si>
  <si>
    <t>Batch=32</t>
    <phoneticPr fontId="1" type="noConversion"/>
  </si>
  <si>
    <t>1th</t>
    <phoneticPr fontId="1" type="noConversion"/>
  </si>
  <si>
    <t>4th</t>
    <phoneticPr fontId="1" type="noConversion"/>
  </si>
  <si>
    <t>8th</t>
    <phoneticPr fontId="1" type="noConversion"/>
  </si>
  <si>
    <t>顺序写</t>
    <phoneticPr fontId="1" type="noConversion"/>
  </si>
  <si>
    <t>随机写</t>
    <phoneticPr fontId="1" type="noConversion"/>
  </si>
  <si>
    <t>写入量10M个KV</t>
    <phoneticPr fontId="1" type="noConversion"/>
  </si>
  <si>
    <t>28Bkey100Bvalue</t>
    <phoneticPr fontId="1" type="noConversion"/>
  </si>
  <si>
    <t>读性能测试</t>
    <phoneticPr fontId="1" type="noConversion"/>
  </si>
  <si>
    <t>读量为库总量的十分之一，1M</t>
    <phoneticPr fontId="1" type="noConversion"/>
  </si>
  <si>
    <t>顺序读</t>
    <phoneticPr fontId="1" type="noConversion"/>
  </si>
  <si>
    <t>随机读</t>
    <phoneticPr fontId="1" type="noConversion"/>
  </si>
  <si>
    <t>即scan</t>
    <phoneticPr fontId="1" type="noConversion"/>
  </si>
  <si>
    <t>由于层数变少查询效率显著增加</t>
    <phoneticPr fontId="1" type="noConversion"/>
  </si>
  <si>
    <t>1M条数据测试</t>
    <phoneticPr fontId="1" type="noConversion"/>
  </si>
  <si>
    <t>load a</t>
    <phoneticPr fontId="1" type="noConversion"/>
  </si>
  <si>
    <t>bin/ycsb load basic -P workloads/workloada -trace loada -p "fieldcount=1"</t>
  </si>
  <si>
    <t>1q1b</t>
    <phoneticPr fontId="1" type="noConversion"/>
  </si>
  <si>
    <t>q=分区数</t>
    <phoneticPr fontId="1" type="noConversion"/>
  </si>
  <si>
    <t>b=batch数</t>
    <phoneticPr fontId="1" type="noConversion"/>
  </si>
  <si>
    <t>1q32b</t>
    <phoneticPr fontId="1" type="noConversion"/>
  </si>
  <si>
    <t>4q1b</t>
    <phoneticPr fontId="1" type="noConversion"/>
  </si>
  <si>
    <t>4q32b</t>
    <phoneticPr fontId="1" type="noConversion"/>
  </si>
  <si>
    <t>a</t>
    <phoneticPr fontId="1" type="noConversion"/>
  </si>
  <si>
    <t>loadb</t>
    <phoneticPr fontId="1" type="noConversion"/>
  </si>
  <si>
    <t>b</t>
    <phoneticPr fontId="1" type="noConversion"/>
  </si>
  <si>
    <t>c</t>
    <phoneticPr fontId="1" type="noConversion"/>
  </si>
  <si>
    <t>loadc</t>
    <phoneticPr fontId="1" type="noConversion"/>
  </si>
  <si>
    <t>loadd</t>
    <phoneticPr fontId="1" type="noConversion"/>
  </si>
  <si>
    <t>d</t>
    <phoneticPr fontId="1" type="noConversion"/>
  </si>
  <si>
    <t>loade</t>
    <phoneticPr fontId="1" type="noConversion"/>
  </si>
  <si>
    <t>e</t>
    <phoneticPr fontId="1" type="noConversion"/>
  </si>
  <si>
    <t>loadf</t>
    <phoneticPr fontId="1" type="noConversion"/>
  </si>
  <si>
    <t>f</t>
    <phoneticPr fontId="1" type="noConversion"/>
  </si>
  <si>
    <t>50%read50%update</t>
    <phoneticPr fontId="1" type="noConversion"/>
  </si>
  <si>
    <t>95%read5%update</t>
    <phoneticPr fontId="1" type="noConversion"/>
  </si>
  <si>
    <t>100%read</t>
    <phoneticPr fontId="1" type="noConversion"/>
  </si>
  <si>
    <t>95%read 5%insert</t>
    <phoneticPr fontId="1" type="noConversion"/>
  </si>
  <si>
    <t>95%scan 5%insert</t>
    <phoneticPr fontId="1" type="noConversion"/>
  </si>
  <si>
    <t>50%read50%readmodifywrite</t>
    <phoneticPr fontId="1" type="noConversion"/>
  </si>
  <si>
    <t>8q1b</t>
    <phoneticPr fontId="1" type="noConversion"/>
  </si>
  <si>
    <t>8q32b</t>
    <phoneticPr fontId="1" type="noConversion"/>
  </si>
  <si>
    <t>latest</t>
    <phoneticPr fontId="1" type="noConversion"/>
  </si>
  <si>
    <t>uniform</t>
    <phoneticPr fontId="1" type="noConversion"/>
  </si>
  <si>
    <t>zipfian</t>
    <phoneticPr fontId="1" type="noConversion"/>
  </si>
  <si>
    <t>在单batch过程中，线程越多性能越好，写比例多性能好</t>
    <phoneticPr fontId="1" type="noConversion"/>
  </si>
  <si>
    <t>batch对极端负载优化较好，对混合负载优化较差</t>
    <phoneticPr fontId="1" type="noConversion"/>
  </si>
  <si>
    <t>纯scan</t>
    <phoneticPr fontId="1" type="noConversion"/>
  </si>
  <si>
    <t>52k</t>
  </si>
  <si>
    <t>48k</t>
  </si>
  <si>
    <t>88k</t>
  </si>
  <si>
    <t>84k</t>
  </si>
  <si>
    <t>100k</t>
  </si>
  <si>
    <t>108k</t>
  </si>
  <si>
    <t>112k</t>
  </si>
  <si>
    <t>72k</t>
  </si>
  <si>
    <t>96k</t>
  </si>
  <si>
    <t>120k</t>
  </si>
  <si>
    <t>80k</t>
  </si>
  <si>
    <t>92k</t>
  </si>
  <si>
    <t>104k</t>
  </si>
  <si>
    <t>64k</t>
  </si>
  <si>
    <t>60k</t>
  </si>
  <si>
    <t>36k</t>
  </si>
  <si>
    <t>8q32bload</t>
    <phoneticPr fontId="1" type="noConversion"/>
  </si>
  <si>
    <t>splinterdb</t>
    <phoneticPr fontId="1" type="noConversion"/>
  </si>
  <si>
    <t>24+100</t>
    <phoneticPr fontId="1" type="noConversion"/>
  </si>
  <si>
    <t>2352kqps</t>
    <phoneticPr fontId="1" type="noConversion"/>
  </si>
  <si>
    <t>28+100</t>
    <phoneticPr fontId="1" type="noConversion"/>
  </si>
  <si>
    <t>44k</t>
  </si>
  <si>
    <t>16k</t>
  </si>
  <si>
    <t>76k</t>
  </si>
  <si>
    <t>20k</t>
  </si>
  <si>
    <t>68k</t>
  </si>
  <si>
    <t>40k</t>
  </si>
  <si>
    <t>24k</t>
  </si>
  <si>
    <t>4096B</t>
  </si>
  <si>
    <t>log</t>
    <phoneticPr fontId="1" type="noConversion"/>
  </si>
  <si>
    <t>nolog</t>
    <phoneticPr fontId="1" type="noConversion"/>
  </si>
  <si>
    <t>32k</t>
  </si>
  <si>
    <t>28k</t>
  </si>
  <si>
    <t>12k</t>
  </si>
  <si>
    <t>8192B</t>
  </si>
  <si>
    <t>dd</t>
    <phoneticPr fontId="1" type="noConversion"/>
  </si>
  <si>
    <t>fio 1M</t>
    <phoneticPr fontId="1" type="noConversion"/>
  </si>
  <si>
    <t>116k</t>
  </si>
  <si>
    <t>144k</t>
  </si>
  <si>
    <t>2488kqps</t>
    <phoneticPr fontId="1" type="noConversion"/>
  </si>
  <si>
    <t>83个G我滴妈</t>
    <phoneticPr fontId="1" type="noConversion"/>
  </si>
  <si>
    <t>16q32b</t>
    <phoneticPr fontId="1" type="noConversion"/>
  </si>
  <si>
    <t>3304kqps</t>
    <phoneticPr fontId="1" type="noConversion"/>
  </si>
  <si>
    <t>write</t>
    <phoneticPr fontId="1" type="noConversion"/>
  </si>
  <si>
    <t>read</t>
    <phoneticPr fontId="1" type="noConversion"/>
  </si>
  <si>
    <t>total</t>
    <phoneticPr fontId="1" type="noConversion"/>
  </si>
  <si>
    <t>db_bench</t>
  </si>
  <si>
    <t>1th</t>
  </si>
  <si>
    <t>4th</t>
  </si>
  <si>
    <t>8th</t>
  </si>
  <si>
    <t>multiget</t>
  </si>
  <si>
    <t>multiget</t>
    <phoneticPr fontId="1" type="noConversion"/>
  </si>
  <si>
    <t>get</t>
  </si>
  <si>
    <t>get</t>
    <phoneticPr fontId="1" type="noConversion"/>
  </si>
  <si>
    <t>db_bench</t>
    <phoneticPr fontId="1" type="noConversion"/>
  </si>
  <si>
    <t>ycsbC</t>
    <phoneticPr fontId="1" type="noConversion"/>
  </si>
  <si>
    <t>YCSB C</t>
    <phoneticPr fontId="1" type="noConversion"/>
  </si>
  <si>
    <t>没开direct</t>
    <phoneticPr fontId="1" type="noConversion"/>
  </si>
  <si>
    <t>result</t>
    <phoneticPr fontId="1" type="noConversion"/>
  </si>
  <si>
    <t>顺序写尝试拉满测试</t>
    <phoneticPr fontId="1" type="noConversion"/>
  </si>
  <si>
    <t>先用多进程测</t>
    <phoneticPr fontId="1" type="noConversion"/>
  </si>
  <si>
    <t>12q32b</t>
    <phoneticPr fontId="1" type="noConversion"/>
  </si>
  <si>
    <t>开了direct</t>
    <phoneticPr fontId="1" type="noConversion"/>
  </si>
  <si>
    <t>Kvell的论文提到了要避开pagecache</t>
    <phoneticPr fontId="1" type="noConversion"/>
  </si>
  <si>
    <t>加了directio会有20~30M的读很奇怪（8q32b）写带宽越大读也越大</t>
    <phoneticPr fontId="1" type="noConversion"/>
  </si>
  <si>
    <t>负载分布</t>
    <phoneticPr fontId="1" type="noConversion"/>
  </si>
  <si>
    <t>负载比例</t>
    <phoneticPr fontId="1" type="noConversion"/>
  </si>
  <si>
    <t>A</t>
    <phoneticPr fontId="1" type="noConversion"/>
  </si>
  <si>
    <t>B</t>
    <phoneticPr fontId="1" type="noConversion"/>
  </si>
  <si>
    <t>C</t>
    <phoneticPr fontId="1" type="noConversion"/>
  </si>
  <si>
    <t>D</t>
    <phoneticPr fontId="1" type="noConversion"/>
  </si>
  <si>
    <t>E</t>
    <phoneticPr fontId="1" type="noConversion"/>
  </si>
  <si>
    <t>F</t>
    <phoneticPr fontId="1" type="noConversion"/>
  </si>
  <si>
    <t>WAL_Bytes_per_Sync</t>
    <phoneticPr fontId="1" type="noConversion"/>
  </si>
  <si>
    <t>4k</t>
    <phoneticPr fontId="1" type="noConversion"/>
  </si>
  <si>
    <t>1M</t>
    <phoneticPr fontId="1" type="noConversion"/>
  </si>
  <si>
    <t>不设置</t>
    <phoneticPr fontId="1" type="noConversion"/>
  </si>
  <si>
    <t>底层吞吐量</t>
    <phoneticPr fontId="1" type="noConversion"/>
  </si>
  <si>
    <t>上层吞吐量</t>
    <phoneticPr fontId="1" type="noConversion"/>
  </si>
  <si>
    <t>104MB/s</t>
    <phoneticPr fontId="1" type="noConversion"/>
  </si>
  <si>
    <t>44MB/s</t>
    <phoneticPr fontId="1" type="noConversion"/>
  </si>
  <si>
    <t>111MB/s</t>
    <phoneticPr fontId="1" type="noConversion"/>
  </si>
  <si>
    <t>49MB/s</t>
    <phoneticPr fontId="1" type="noConversion"/>
  </si>
  <si>
    <t>54MB/s</t>
    <phoneticPr fontId="1" type="noConversion"/>
  </si>
  <si>
    <t>50MB/s</t>
    <phoneticPr fontId="1" type="noConversion"/>
  </si>
  <si>
    <t>direct_io</t>
    <phoneticPr fontId="1" type="noConversion"/>
  </si>
  <si>
    <t>22MB/s</t>
    <phoneticPr fontId="1" type="noConversion"/>
  </si>
  <si>
    <t>3.4MB/s</t>
    <phoneticPr fontId="1" type="noConversion"/>
  </si>
  <si>
    <t>一波巨型IO调优，log不direct，wal_sync_per_byte默认0、flush和compaction用direct避开page_cache</t>
    <phoneticPr fontId="1" type="noConversion"/>
  </si>
  <si>
    <t>写测试改为direct_IO</t>
    <phoneticPr fontId="1" type="noConversion"/>
  </si>
  <si>
    <t>12th</t>
    <phoneticPr fontId="1" type="noConversion"/>
  </si>
  <si>
    <t>多个线程并行执行scan任务</t>
    <phoneticPr fontId="1" type="noConversion"/>
  </si>
  <si>
    <t>单库</t>
    <phoneticPr fontId="1" type="noConversion"/>
  </si>
  <si>
    <t>4库</t>
    <phoneticPr fontId="1" type="noConversion"/>
  </si>
  <si>
    <t>8库</t>
    <phoneticPr fontId="1" type="noConversion"/>
  </si>
  <si>
    <t>QPS</t>
    <phoneticPr fontId="1" type="noConversion"/>
  </si>
  <si>
    <t>time/ns</t>
    <phoneticPr fontId="1" type="noConversion"/>
  </si>
  <si>
    <t>2层</t>
    <phoneticPr fontId="1" type="noConversion"/>
  </si>
  <si>
    <t>1层</t>
    <phoneticPr fontId="1" type="noConversion"/>
  </si>
  <si>
    <t>3层</t>
    <phoneticPr fontId="1" type="noConversion"/>
  </si>
  <si>
    <t>改为同层数</t>
    <phoneticPr fontId="1" type="noConversion"/>
  </si>
  <si>
    <t>0,3,17</t>
    <phoneticPr fontId="1" type="noConversion"/>
  </si>
  <si>
    <t>0,3,39,39</t>
    <phoneticPr fontId="1" type="noConversion"/>
  </si>
  <si>
    <t>8库均摊</t>
    <phoneticPr fontId="1" type="noConversion"/>
  </si>
  <si>
    <t>0,4,6</t>
    <phoneticPr fontId="1" type="noConversion"/>
  </si>
  <si>
    <t>加了赋值</t>
    <phoneticPr fontId="1" type="noConversion"/>
  </si>
  <si>
    <t>qps</t>
    <phoneticPr fontId="1" type="noConversion"/>
  </si>
  <si>
    <t>ns</t>
    <phoneticPr fontId="1" type="noConversion"/>
  </si>
  <si>
    <t>静态分配</t>
    <phoneticPr fontId="1" type="noConversion"/>
  </si>
  <si>
    <t>事先分配</t>
    <phoneticPr fontId="1" type="noConversion"/>
  </si>
  <si>
    <t>动态分配回收</t>
    <phoneticPr fontId="1" type="noConversion"/>
  </si>
  <si>
    <t>加入线程同步</t>
    <phoneticPr fontId="1" type="noConversion"/>
  </si>
  <si>
    <t>加入线程同步和状态机</t>
    <phoneticPr fontId="1" type="noConversion"/>
  </si>
  <si>
    <t>50/100</t>
    <phoneticPr fontId="1" type="noConversion"/>
  </si>
  <si>
    <t>30/100</t>
    <phoneticPr fontId="1" type="noConversion"/>
  </si>
  <si>
    <t>20/100</t>
    <phoneticPr fontId="1" type="noConversion"/>
  </si>
  <si>
    <t>10/100</t>
    <phoneticPr fontId="1" type="noConversion"/>
  </si>
  <si>
    <t>15/100</t>
    <phoneticPr fontId="1" type="noConversion"/>
  </si>
  <si>
    <t>主线程</t>
    <phoneticPr fontId="1" type="noConversion"/>
  </si>
  <si>
    <t>“+omp”</t>
    <phoneticPr fontId="1" type="noConversion"/>
  </si>
  <si>
    <t>改进e</t>
    <phoneticPr fontId="1" type="noConversion"/>
  </si>
  <si>
    <t>QPS</t>
    <phoneticPr fontId="1" type="noConversion"/>
  </si>
  <si>
    <t>没改进e</t>
    <phoneticPr fontId="1" type="noConversion"/>
  </si>
  <si>
    <t>257M</t>
  </si>
  <si>
    <t>166M</t>
  </si>
  <si>
    <t>101M</t>
  </si>
  <si>
    <t>线程同步究极优化版</t>
    <phoneticPr fontId="1" type="noConversion"/>
  </si>
  <si>
    <t>50/100</t>
    <phoneticPr fontId="1" type="noConversion"/>
  </si>
  <si>
    <t>25/100</t>
    <phoneticPr fontId="1" type="noConversion"/>
  </si>
  <si>
    <t>不加赋值100</t>
    <phoneticPr fontId="1" type="noConversion"/>
  </si>
  <si>
    <t>8库单线程</t>
    <phoneticPr fontId="1" type="noConversion"/>
  </si>
  <si>
    <t>1库单项成</t>
    <phoneticPr fontId="1" type="noConversion"/>
  </si>
  <si>
    <t>每个库容量相同</t>
    <phoneticPr fontId="1" type="noConversion"/>
  </si>
  <si>
    <t>scan100</t>
    <phoneticPr fontId="1" type="noConversion"/>
  </si>
  <si>
    <t>8库并100</t>
    <phoneticPr fontId="1" type="noConversion"/>
  </si>
  <si>
    <t>异步删iter</t>
    <phoneticPr fontId="1" type="noConversion"/>
  </si>
  <si>
    <t>（不删iter</t>
    <phoneticPr fontId="1" type="noConversion"/>
  </si>
  <si>
    <t>异步删+赋值</t>
    <phoneticPr fontId="1" type="noConversion"/>
  </si>
  <si>
    <t>将得到的key存到内存耗时间的原因是要分配内存空间</t>
    <phoneticPr fontId="1" type="noConversion"/>
  </si>
  <si>
    <t>修復bug后</t>
    <phoneticPr fontId="1" type="noConversion"/>
  </si>
  <si>
    <t>93M</t>
  </si>
  <si>
    <t>94M</t>
  </si>
  <si>
    <t>97M</t>
  </si>
  <si>
    <t>100MB</t>
  </si>
  <si>
    <t>95M</t>
  </si>
  <si>
    <t>1000个100000</t>
    <phoneticPr fontId="1" type="noConversion"/>
  </si>
  <si>
    <t>290M</t>
  </si>
  <si>
    <t>233M</t>
  </si>
  <si>
    <t>91M</t>
  </si>
  <si>
    <t>1库</t>
    <phoneticPr fontId="1" type="noConversion"/>
  </si>
  <si>
    <t>8库</t>
    <phoneticPr fontId="1" type="noConversion"/>
  </si>
  <si>
    <t>ns</t>
    <phoneticPr fontId="1" type="noConversion"/>
  </si>
  <si>
    <t>512KB</t>
    <phoneticPr fontId="1" type="noConversion"/>
  </si>
  <si>
    <t>bin/ycsb load basic -P workloads/workloada -trace loada -p "fieldcount=1"</t>
    <phoneticPr fontId="1" type="noConversion"/>
  </si>
  <si>
    <t>12q1b</t>
    <phoneticPr fontId="1" type="noConversion"/>
  </si>
  <si>
    <t>12q32b</t>
    <phoneticPr fontId="1" type="noConversion"/>
  </si>
  <si>
    <t>673M条数据测试</t>
    <phoneticPr fontId="1" type="noConversion"/>
  </si>
  <si>
    <t>24Bkey</t>
    <phoneticPr fontId="1" type="noConversion"/>
  </si>
  <si>
    <t>100Bvalue</t>
    <phoneticPr fontId="1" type="noConversion"/>
  </si>
  <si>
    <t>160M</t>
    <phoneticPr fontId="1" type="noConversion"/>
  </si>
  <si>
    <t>20M</t>
    <phoneticPr fontId="1" type="noConversion"/>
  </si>
  <si>
    <t>673M</t>
    <phoneticPr fontId="1" type="noConversion"/>
  </si>
  <si>
    <t>操作数</t>
    <phoneticPr fontId="1" type="noConversion"/>
  </si>
  <si>
    <t>LevelDB默认设置修改版</t>
    <phoneticPr fontId="1" type="noConversion"/>
  </si>
  <si>
    <t>32th</t>
    <phoneticPr fontId="1" type="noConversion"/>
  </si>
  <si>
    <t>16th</t>
    <phoneticPr fontId="1" type="noConversion"/>
  </si>
  <si>
    <t>320Mload</t>
    <phoneticPr fontId="1" type="noConversion"/>
  </si>
  <si>
    <t>10M随机读</t>
    <phoneticPr fontId="1" type="noConversion"/>
  </si>
  <si>
    <t>RocksDB</t>
    <phoneticPr fontId="1" type="noConversion"/>
  </si>
  <si>
    <t>1th</t>
    <phoneticPr fontId="1" type="noConversion"/>
  </si>
  <si>
    <t>4th</t>
    <phoneticPr fontId="1" type="noConversion"/>
  </si>
  <si>
    <t>8th</t>
    <phoneticPr fontId="1" type="noConversion"/>
  </si>
  <si>
    <t>32th</t>
    <phoneticPr fontId="1" type="noConversion"/>
  </si>
  <si>
    <t>256th</t>
    <phoneticPr fontId="1" type="noConversion"/>
  </si>
  <si>
    <t>XXX</t>
    <phoneticPr fontId="1" type="noConversion"/>
  </si>
  <si>
    <t>1库*1th</t>
    <phoneticPr fontId="1" type="noConversion"/>
  </si>
  <si>
    <t>4库*1th</t>
    <phoneticPr fontId="1" type="noConversion"/>
  </si>
  <si>
    <t>8库*1th</t>
    <phoneticPr fontId="1" type="noConversion"/>
  </si>
  <si>
    <t>8库*4th</t>
    <phoneticPr fontId="1" type="noConversion"/>
  </si>
  <si>
    <t>8库*32th</t>
    <phoneticPr fontId="1" type="noConversion"/>
  </si>
  <si>
    <t>8库*8th</t>
    <phoneticPr fontId="1" type="noConversion"/>
  </si>
  <si>
    <t>64th</t>
    <phoneticPr fontId="1" type="noConversion"/>
  </si>
  <si>
    <t>都读1M</t>
    <phoneticPr fontId="1" type="noConversion"/>
  </si>
  <si>
    <t>均分6.4M</t>
    <phoneticPr fontId="1" type="noConversion"/>
  </si>
  <si>
    <t>1库*4</t>
    <phoneticPr fontId="1" type="noConversion"/>
  </si>
  <si>
    <t>1库*8</t>
    <phoneticPr fontId="1" type="noConversion"/>
  </si>
  <si>
    <t>1库*32</t>
    <phoneticPr fontId="1" type="noConversion"/>
  </si>
  <si>
    <t>4库*4</t>
    <phoneticPr fontId="1" type="noConversion"/>
  </si>
  <si>
    <t>4库*8</t>
    <phoneticPr fontId="1" type="noConversion"/>
  </si>
  <si>
    <t>4库*32</t>
    <phoneticPr fontId="1" type="noConversion"/>
  </si>
  <si>
    <t>Optane905posix</t>
    <phoneticPr fontId="1" type="noConversion"/>
  </si>
  <si>
    <t>970proposix</t>
    <phoneticPr fontId="1" type="noConversion"/>
  </si>
  <si>
    <t>写pagecache需要读放大</t>
    <phoneticPr fontId="1" type="noConversion"/>
  </si>
  <si>
    <t>sync读写都放大</t>
    <phoneticPr fontId="1" type="noConversion"/>
  </si>
  <si>
    <t>direct_IO单纯效率低</t>
    <phoneticPr fontId="1" type="noConversion"/>
  </si>
  <si>
    <t>970pro自测</t>
    <phoneticPr fontId="1" type="noConversion"/>
  </si>
  <si>
    <t>XXX-8</t>
    <phoneticPr fontId="1" type="noConversion"/>
  </si>
  <si>
    <t>XXX-4</t>
    <phoneticPr fontId="1" type="noConversion"/>
  </si>
  <si>
    <t>底层带宽占用</t>
    <phoneticPr fontId="1" type="noConversion"/>
  </si>
  <si>
    <t>吞吐率</t>
    <phoneticPr fontId="1" type="noConversion"/>
  </si>
  <si>
    <t>100条数据顺序写</t>
  </si>
  <si>
    <t>valuesize</t>
    <phoneticPr fontId="1" type="noConversion"/>
  </si>
  <si>
    <t>2k</t>
    <phoneticPr fontId="1" type="noConversion"/>
  </si>
  <si>
    <t>4k</t>
    <phoneticPr fontId="1" type="noConversion"/>
  </si>
  <si>
    <t>不sync</t>
    <phoneticPr fontId="1" type="noConversion"/>
  </si>
  <si>
    <t>sync1m</t>
    <phoneticPr fontId="1" type="noConversion"/>
  </si>
  <si>
    <t>sync4m</t>
    <phoneticPr fontId="1" type="noConversion"/>
  </si>
  <si>
    <t>强制sync</t>
    <phoneticPr fontId="1" type="noConversion"/>
  </si>
  <si>
    <t>1q4b</t>
    <phoneticPr fontId="1" type="noConversion"/>
  </si>
  <si>
    <t>4q4b</t>
    <phoneticPr fontId="1" type="noConversion"/>
  </si>
  <si>
    <t>8q4b</t>
    <phoneticPr fontId="1" type="noConversion"/>
  </si>
  <si>
    <t>开启了direct_reads</t>
    <phoneticPr fontId="1" type="noConversion"/>
  </si>
  <si>
    <t>1KBvalue</t>
    <phoneticPr fontId="1" type="noConversion"/>
  </si>
  <si>
    <t>对1kvalue来看，写batch=4和写batch=32都超过了4kb写IO，因此差别不大，32只比4高20%，4比1高100%</t>
    <phoneticPr fontId="1" type="noConversion"/>
  </si>
  <si>
    <t>对于读来说，还是并行越多越好。毕竟每个读请求并行下都能被multiget优化</t>
    <phoneticPr fontId="1" type="noConversion"/>
  </si>
  <si>
    <t>实验做错了作废</t>
    <phoneticPr fontId="1" type="noConversion"/>
  </si>
  <si>
    <t>使用disablememtable方法单测log</t>
    <phoneticPr fontId="1" type="noConversion"/>
  </si>
  <si>
    <t>8k</t>
    <phoneticPr fontId="1" type="noConversion"/>
  </si>
  <si>
    <t>16k</t>
    <phoneticPr fontId="1" type="noConversion"/>
  </si>
  <si>
    <t>1M条</t>
    <phoneticPr fontId="1" type="noConversion"/>
  </si>
  <si>
    <t>1m</t>
    <phoneticPr fontId="1" type="noConversion"/>
  </si>
  <si>
    <t>QPS</t>
    <phoneticPr fontId="1" type="noConversion"/>
  </si>
  <si>
    <t>us</t>
    <phoneticPr fontId="1" type="noConversion"/>
  </si>
  <si>
    <t>执行时间us</t>
    <phoneticPr fontId="1" type="noConversion"/>
  </si>
  <si>
    <t>吞吐率MB/s</t>
    <phoneticPr fontId="1" type="noConversion"/>
  </si>
  <si>
    <t>完全前端时间</t>
    <phoneticPr fontId="1" type="noConversion"/>
  </si>
  <si>
    <t>不进行任何实际写，收到请求即返回</t>
    <phoneticPr fontId="1" type="noConversion"/>
  </si>
  <si>
    <t>128B</t>
    <phoneticPr fontId="1" type="noConversion"/>
  </si>
  <si>
    <t>1k</t>
    <phoneticPr fontId="1" type="noConversion"/>
  </si>
  <si>
    <t>1m</t>
    <phoneticPr fontId="1" type="noConversion"/>
  </si>
  <si>
    <t>batch</t>
    <phoneticPr fontId="1" type="noConversion"/>
  </si>
  <si>
    <t>使用nowal方法直接测memtable及下刷组件</t>
    <phoneticPr fontId="1" type="noConversion"/>
  </si>
  <si>
    <t>不开并行跳表</t>
    <phoneticPr fontId="1" type="noConversion"/>
  </si>
  <si>
    <t>1线程</t>
    <phoneticPr fontId="1" type="noConversion"/>
  </si>
  <si>
    <t>开并行跳表</t>
    <phoneticPr fontId="1" type="noConversion"/>
  </si>
  <si>
    <t xml:space="preserve"> 8.423 micros/op</t>
  </si>
  <si>
    <t>nolog</t>
    <phoneticPr fontId="1" type="noConversion"/>
  </si>
  <si>
    <t>57.7 MB/s</t>
  </si>
  <si>
    <t>4线程</t>
    <phoneticPr fontId="1" type="noConversion"/>
  </si>
  <si>
    <t>0.528 micros</t>
  </si>
  <si>
    <t>231.1 MB/s</t>
  </si>
  <si>
    <t>再开await_state优化</t>
    <phoneticPr fontId="1" type="noConversion"/>
  </si>
  <si>
    <t>对于RocksDB并行性的重测
全部使用随机写测以保证公平</t>
    <phoneticPr fontId="1" type="noConversion"/>
  </si>
  <si>
    <t>10M</t>
    <phoneticPr fontId="1" type="noConversion"/>
  </si>
  <si>
    <t>128BKV</t>
    <phoneticPr fontId="1" type="noConversion"/>
  </si>
  <si>
    <t>单线程</t>
    <phoneticPr fontId="1" type="noConversion"/>
  </si>
  <si>
    <t>8线程竞争</t>
    <phoneticPr fontId="1" type="noConversion"/>
  </si>
  <si>
    <t>4线程竞争</t>
    <phoneticPr fontId="1" type="noConversion"/>
  </si>
  <si>
    <t>8线程并发</t>
    <phoneticPr fontId="1" type="noConversion"/>
  </si>
  <si>
    <t>4线程并发</t>
    <phoneticPr fontId="1" type="noConversion"/>
  </si>
  <si>
    <t>打开pipelinewrite使其支持并发写，之后出现竞争，性能不如单线程。在nolog下（nolog下不开pipeline没区别）有两个优化：
①allow_concurrent_memtable_write
全部开启后8线程下终于能高一点，但也没有提升太多。</t>
    <phoneticPr fontId="1" type="noConversion"/>
  </si>
  <si>
    <t>16线程竞争</t>
    <phoneticPr fontId="1" type="noConversion"/>
  </si>
  <si>
    <t>16线程并发</t>
    <phoneticPr fontId="1" type="noConversion"/>
  </si>
  <si>
    <t>1KBkv</t>
    <phoneticPr fontId="1" type="noConversion"/>
  </si>
  <si>
    <t>1M</t>
    <phoneticPr fontId="1" type="noConversion"/>
  </si>
  <si>
    <t>Log环节和memtable环节在多线程写下的影响</t>
    <phoneticPr fontId="1" type="noConversion"/>
  </si>
  <si>
    <t>Latency(us</t>
    <phoneticPr fontId="1" type="noConversion"/>
  </si>
  <si>
    <t>MB/s</t>
    <phoneticPr fontId="1" type="noConversion"/>
  </si>
  <si>
    <t>使用1MB的wal_sync</t>
    <phoneticPr fontId="1" type="noConversion"/>
  </si>
  <si>
    <t>8线程</t>
    <phoneticPr fontId="1" type="noConversion"/>
  </si>
  <si>
    <t>16线程</t>
    <phoneticPr fontId="1" type="noConversion"/>
  </si>
  <si>
    <t>disablememtable之后不能开pipeline</t>
    <phoneticPr fontId="1" type="noConversion"/>
  </si>
  <si>
    <t>without memtable</t>
    <phoneticPr fontId="1" type="noConversion"/>
  </si>
  <si>
    <t>without log</t>
    <phoneticPr fontId="1" type="noConversion"/>
  </si>
  <si>
    <t>使用pipeline和并行跳表</t>
    <phoneticPr fontId="1" type="noConversion"/>
  </si>
  <si>
    <t>反正log瓶颈住了</t>
    <phoneticPr fontId="1" type="noConversion"/>
  </si>
  <si>
    <t>log + memtable</t>
    <phoneticPr fontId="1" type="noConversion"/>
  </si>
  <si>
    <t>不开pipeline</t>
    <phoneticPr fontId="1" type="noConversion"/>
  </si>
  <si>
    <t>4个</t>
    <phoneticPr fontId="1" type="noConversion"/>
  </si>
  <si>
    <t>8个</t>
    <phoneticPr fontId="1" type="noConversion"/>
  </si>
  <si>
    <t>16个</t>
    <phoneticPr fontId="1" type="noConversion"/>
  </si>
  <si>
    <t>这个数据是在忙的时候测的，CPU空闲时可能高点，单线程七十几MB/s</t>
    <phoneticPr fontId="1" type="noConversion"/>
  </si>
  <si>
    <t>970pro</t>
    <phoneticPr fontId="1" type="noConversion"/>
  </si>
  <si>
    <t>，</t>
    <phoneticPr fontId="1" type="noConversion"/>
  </si>
  <si>
    <t>8q8B</t>
    <phoneticPr fontId="1" type="noConversion"/>
  </si>
  <si>
    <t>8q16B</t>
    <phoneticPr fontId="1" type="noConversion"/>
  </si>
  <si>
    <t>d</t>
    <phoneticPr fontId="1" type="noConversion"/>
  </si>
  <si>
    <t>Seq Write</t>
    <phoneticPr fontId="1" type="noConversion"/>
  </si>
  <si>
    <t>Rand Write</t>
    <phoneticPr fontId="1" type="noConversion"/>
  </si>
  <si>
    <t>Update</t>
    <phoneticPr fontId="1" type="noConversion"/>
  </si>
  <si>
    <t>Seq Read</t>
    <phoneticPr fontId="1" type="noConversion"/>
  </si>
  <si>
    <t>Rand Read</t>
    <phoneticPr fontId="1" type="noConversion"/>
  </si>
  <si>
    <t>1thread</t>
  </si>
  <si>
    <t>4threads</t>
  </si>
  <si>
    <t>8threads</t>
  </si>
  <si>
    <t>16threads</t>
  </si>
  <si>
    <t>sudo fio -directory=/mnt/optanessd -direct=1 -iodepth 1 -thread -rw=write -ioengine=libaio  -bs=1k -size=500M -numjobs=32 -runtime=20 -group_reporting -name=mytest</t>
    <phoneticPr fontId="1" type="noConversion"/>
  </si>
  <si>
    <t>4个log</t>
    <phoneticPr fontId="1" type="noConversion"/>
  </si>
  <si>
    <t>8个log</t>
    <phoneticPr fontId="1" type="noConversion"/>
  </si>
  <si>
    <t>16个log</t>
    <phoneticPr fontId="1" type="noConversion"/>
  </si>
  <si>
    <t>batch=1</t>
    <phoneticPr fontId="1" type="noConversion"/>
  </si>
  <si>
    <t>batch=8</t>
    <phoneticPr fontId="1" type="noConversion"/>
  </si>
  <si>
    <t>batch=32</t>
    <phoneticPr fontId="1" type="noConversion"/>
  </si>
  <si>
    <t>XXX-8</t>
    <phoneticPr fontId="1" type="noConversion"/>
  </si>
  <si>
    <t>seek</t>
    <phoneticPr fontId="1" type="noConversion"/>
  </si>
  <si>
    <t>scan 25</t>
    <phoneticPr fontId="1" type="noConversion"/>
  </si>
  <si>
    <t>scan 50</t>
    <phoneticPr fontId="1" type="noConversion"/>
  </si>
  <si>
    <t>scan 100</t>
    <phoneticPr fontId="1" type="noConversion"/>
  </si>
  <si>
    <t>rangequery 100</t>
    <phoneticPr fontId="1" type="noConversion"/>
  </si>
  <si>
    <t>QPS</t>
    <phoneticPr fontId="1" type="noConversion"/>
  </si>
  <si>
    <t>xxx-4</t>
    <phoneticPr fontId="1" type="noConversion"/>
  </si>
  <si>
    <t>scan 1000</t>
    <phoneticPr fontId="1" type="noConversion"/>
  </si>
  <si>
    <t>xxx-8</t>
    <phoneticPr fontId="1" type="noConversion"/>
  </si>
  <si>
    <t>HDD(secondary axis)</t>
    <phoneticPr fontId="1" type="noConversion"/>
  </si>
  <si>
    <t xml:space="preserve">write 10M KV pairs of 128B size </t>
    <phoneticPr fontId="1" type="noConversion"/>
  </si>
  <si>
    <t xml:space="preserve">write 1M KV pairs of 1KB size </t>
    <phoneticPr fontId="1" type="noConversion"/>
  </si>
  <si>
    <t>write 10M KV pairs of   128B size </t>
  </si>
  <si>
    <t>write 1M KV pairs of   1KB size </t>
  </si>
  <si>
    <t>latency(us</t>
  </si>
  <si>
    <t>throuputs(MB/s)</t>
  </si>
  <si>
    <t>1KBKV</t>
    <phoneticPr fontId="1" type="noConversion"/>
  </si>
  <si>
    <t>结束</t>
    <phoneticPr fontId="1" type="noConversion"/>
  </si>
  <si>
    <t>停止写入</t>
    <phoneticPr fontId="1" type="noConversion"/>
  </si>
  <si>
    <t>sync always</t>
    <phoneticPr fontId="1" type="noConversion"/>
  </si>
  <si>
    <t>no sync</t>
    <phoneticPr fontId="1" type="noConversion"/>
  </si>
  <si>
    <t>sync every 1MB</t>
    <phoneticPr fontId="1" type="noConversion"/>
  </si>
  <si>
    <t>980PRO</t>
    <phoneticPr fontId="1" type="noConversion"/>
  </si>
  <si>
    <t>RocksDB on OptaneSSD</t>
    <phoneticPr fontId="1" type="noConversion"/>
  </si>
  <si>
    <t>PebblesDB on OptaneSSD</t>
    <phoneticPr fontId="1" type="noConversion"/>
  </si>
  <si>
    <t>pKV-8</t>
    <phoneticPr fontId="1" type="noConversion"/>
  </si>
  <si>
    <t>PebblesDB-8</t>
    <phoneticPr fontId="1" type="noConversion"/>
  </si>
  <si>
    <t>RocksDB-8</t>
    <phoneticPr fontId="1" type="noConversion"/>
  </si>
  <si>
    <t>RocksDB-4</t>
    <phoneticPr fontId="1" type="noConversion"/>
  </si>
  <si>
    <t>PebblesDB-4</t>
    <phoneticPr fontId="1" type="noConversion"/>
  </si>
  <si>
    <t>pKV-4</t>
    <phoneticPr fontId="1" type="noConversion"/>
  </si>
  <si>
    <t>100M</t>
    <phoneticPr fontId="1" type="noConversion"/>
  </si>
  <si>
    <t>pKV 100M</t>
    <phoneticPr fontId="1" type="noConversion"/>
  </si>
  <si>
    <t>q4</t>
    <phoneticPr fontId="1" type="noConversion"/>
  </si>
  <si>
    <t>q8</t>
    <phoneticPr fontId="1" type="noConversion"/>
  </si>
  <si>
    <t>q1</t>
    <phoneticPr fontId="1" type="noConversion"/>
  </si>
  <si>
    <t>Optane</t>
    <phoneticPr fontId="1" type="noConversion"/>
  </si>
  <si>
    <t>HDD</t>
    <phoneticPr fontId="1" type="noConversion"/>
  </si>
  <si>
    <t>write on SSD</t>
    <phoneticPr fontId="1" type="noConversion"/>
  </si>
  <si>
    <t>read on SSD</t>
    <phoneticPr fontId="1" type="noConversion"/>
  </si>
  <si>
    <t>write on HDD</t>
    <phoneticPr fontId="1" type="noConversion"/>
  </si>
  <si>
    <t>read on HDD</t>
    <phoneticPr fontId="1" type="noConversion"/>
  </si>
  <si>
    <t>10M写</t>
    <phoneticPr fontId="1" type="noConversion"/>
  </si>
  <si>
    <t>6.4M读</t>
    <phoneticPr fontId="1" type="noConversion"/>
  </si>
  <si>
    <t>Flash-based SSD</t>
    <phoneticPr fontId="1" type="noConversion"/>
  </si>
  <si>
    <t>Optane SSD</t>
    <phoneticPr fontId="1" type="noConversion"/>
  </si>
  <si>
    <t>1KB</t>
    <phoneticPr fontId="1" type="noConversion"/>
  </si>
  <si>
    <t>qps</t>
    <phoneticPr fontId="1" type="noConversion"/>
  </si>
  <si>
    <t>throuput</t>
    <phoneticPr fontId="1" type="noConversion"/>
  </si>
  <si>
    <t>960evo</t>
    <phoneticPr fontId="1" type="noConversion"/>
  </si>
  <si>
    <t>1M条</t>
    <phoneticPr fontId="1" type="noConversion"/>
  </si>
  <si>
    <t>128BKV</t>
    <phoneticPr fontId="1" type="noConversion"/>
  </si>
  <si>
    <t>1KBKV</t>
    <phoneticPr fontId="1" type="noConversion"/>
  </si>
  <si>
    <t>16memtables</t>
    <phoneticPr fontId="1" type="noConversion"/>
  </si>
  <si>
    <t>8memtables</t>
    <phoneticPr fontId="1" type="noConversion"/>
  </si>
  <si>
    <t>4memtables</t>
    <phoneticPr fontId="1" type="noConversion"/>
  </si>
  <si>
    <t>4log files</t>
    <phoneticPr fontId="1" type="noConversion"/>
  </si>
  <si>
    <t>8log files</t>
    <phoneticPr fontId="1" type="noConversion"/>
  </si>
  <si>
    <t>16log files</t>
    <phoneticPr fontId="1" type="noConversion"/>
  </si>
  <si>
    <t>16threads</t>
    <phoneticPr fontId="1" type="noConversion"/>
  </si>
  <si>
    <t>8threads</t>
    <phoneticPr fontId="1" type="noConversion"/>
  </si>
  <si>
    <t>4threads</t>
    <phoneticPr fontId="1" type="noConversion"/>
  </si>
  <si>
    <t>pKVS-4</t>
    <phoneticPr fontId="1" type="noConversion"/>
  </si>
  <si>
    <t>pKVS-8</t>
    <phoneticPr fontId="1" type="noConversion"/>
  </si>
  <si>
    <t>980pro</t>
    <phoneticPr fontId="1" type="noConversion"/>
  </si>
  <si>
    <t>2th</t>
    <phoneticPr fontId="1" type="noConversion"/>
  </si>
  <si>
    <t>②enable_write_thread_adaptive_yield（默认开无视了）</t>
    <phoneticPr fontId="1" type="noConversion"/>
  </si>
  <si>
    <t>生成间隔</t>
    <phoneticPr fontId="1" type="noConversion"/>
  </si>
  <si>
    <t>空循环次数</t>
    <phoneticPr fontId="1" type="noConversion"/>
  </si>
  <si>
    <t>32batch</t>
    <phoneticPr fontId="1" type="noConversion"/>
  </si>
  <si>
    <t>单库已经开始出现32batch了，8库还在0batch</t>
    <phoneticPr fontId="1" type="noConversion"/>
  </si>
  <si>
    <t>32比例相当大
RocksDB已经堆积起来了</t>
    <phoneticPr fontId="1" type="noConversion"/>
  </si>
  <si>
    <t>单库已经全是32batch了，而且已经堆积。8库在极限位置</t>
    <phoneticPr fontId="1" type="noConversion"/>
  </si>
  <si>
    <t>发送频率ops</t>
    <phoneticPr fontId="1" type="noConversion"/>
  </si>
  <si>
    <t>跳的严重</t>
    <phoneticPr fontId="1" type="noConversion"/>
  </si>
  <si>
    <t>波动啊，最高也能到10000，最低这么多</t>
    <phoneticPr fontId="1" type="noConversion"/>
  </si>
  <si>
    <t>rocksdb</t>
    <phoneticPr fontId="1" type="noConversion"/>
  </si>
  <si>
    <t>rocksdb+queue</t>
    <phoneticPr fontId="1" type="noConversion"/>
  </si>
  <si>
    <t>pkv-8</t>
    <phoneticPr fontId="1" type="noConversion"/>
  </si>
  <si>
    <t>980pro</t>
    <phoneticPr fontId="1" type="noConversion"/>
  </si>
  <si>
    <t>Rocks</t>
    <phoneticPr fontId="1" type="noConversion"/>
  </si>
  <si>
    <t>PKV-4</t>
    <phoneticPr fontId="1" type="noConversion"/>
  </si>
  <si>
    <t>PKV-8</t>
    <phoneticPr fontId="1" type="noConversion"/>
  </si>
  <si>
    <t>Pebbles</t>
    <phoneticPr fontId="1" type="noConversion"/>
  </si>
  <si>
    <t>dsk/nvme0n1</t>
  </si>
  <si>
    <t>qps</t>
    <phoneticPr fontId="1" type="noConversion"/>
  </si>
  <si>
    <t>thpt</t>
    <phoneticPr fontId="1" type="noConversion"/>
  </si>
  <si>
    <t>写放大</t>
    <phoneticPr fontId="1" type="noConversion"/>
  </si>
  <si>
    <t>总放大</t>
    <phoneticPr fontId="1" type="noConversion"/>
  </si>
  <si>
    <t>pebbles</t>
    <phoneticPr fontId="1" type="noConversion"/>
  </si>
  <si>
    <t>PebblesDB</t>
    <phoneticPr fontId="1" type="noConversion"/>
  </si>
  <si>
    <t>$p^2$KV-4</t>
    <phoneticPr fontId="1" type="noConversion"/>
  </si>
  <si>
    <t>$p^2$KV-8</t>
    <phoneticPr fontId="1" type="noConversion"/>
  </si>
  <si>
    <t>max</t>
    <phoneticPr fontId="1" type="noConversion"/>
  </si>
  <si>
    <t>avg</t>
    <phoneticPr fontId="1" type="noConversion"/>
  </si>
  <si>
    <t>mid</t>
    <phoneticPr fontId="1" type="noConversion"/>
  </si>
  <si>
    <t>生成间隔</t>
    <phoneticPr fontId="1" type="noConversion"/>
  </si>
  <si>
    <t>avg</t>
    <phoneticPr fontId="1" type="noConversion"/>
  </si>
  <si>
    <t>RocksDB</t>
    <phoneticPr fontId="1" type="noConversion"/>
  </si>
  <si>
    <t>Batching</t>
    <phoneticPr fontId="1" type="noConversion"/>
  </si>
  <si>
    <t>P2KV-8</t>
    <phoneticPr fontId="1" type="noConversion"/>
  </si>
  <si>
    <t>突变点，看什么时候堵</t>
    <phoneticPr fontId="1" type="noConversion"/>
  </si>
  <si>
    <t>循环数</t>
    <phoneticPr fontId="1" type="noConversion"/>
  </si>
  <si>
    <t>LOAD</t>
    <phoneticPr fontId="1" type="noConversion"/>
  </si>
  <si>
    <t xml:space="preserve">LOAD </t>
    <phoneticPr fontId="1" type="noConversion"/>
  </si>
  <si>
    <t>pkv-sync-4</t>
    <phoneticPr fontId="1" type="noConversion"/>
  </si>
  <si>
    <t>pkv-sync-8</t>
    <phoneticPr fontId="1" type="noConversion"/>
  </si>
  <si>
    <t>Kvell-8</t>
    <phoneticPr fontId="1" type="noConversion"/>
  </si>
  <si>
    <t>Kvell-4</t>
    <phoneticPr fontId="1" type="noConversion"/>
  </si>
  <si>
    <t>Kvell-8-4GB</t>
    <phoneticPr fontId="1" type="noConversion"/>
  </si>
  <si>
    <t>Kvell-4-4GB</t>
    <phoneticPr fontId="1" type="noConversion"/>
  </si>
  <si>
    <t>换670M合并大实验</t>
    <phoneticPr fontId="1" type="noConversion"/>
  </si>
  <si>
    <t>P2KVS-8</t>
    <phoneticPr fontId="1" type="noConversion"/>
  </si>
  <si>
    <t>P2KVS-4</t>
    <phoneticPr fontId="1" type="noConversion"/>
  </si>
  <si>
    <t>296M</t>
  </si>
  <si>
    <t>337M</t>
  </si>
  <si>
    <t>335M</t>
  </si>
  <si>
    <t>329M</t>
  </si>
  <si>
    <t>327M</t>
  </si>
  <si>
    <t>320M</t>
  </si>
  <si>
    <t>314M</t>
  </si>
  <si>
    <t>309M</t>
  </si>
  <si>
    <t>311M</t>
  </si>
  <si>
    <t>307M</t>
  </si>
  <si>
    <t>303M</t>
  </si>
  <si>
    <t>304M</t>
  </si>
  <si>
    <t>300M</t>
  </si>
  <si>
    <t>Kvell-8-30GB</t>
    <phoneticPr fontId="1" type="noConversion"/>
  </si>
  <si>
    <t>写带宽</t>
    <phoneticPr fontId="1" type="noConversion"/>
  </si>
  <si>
    <t>写100M</t>
    <phoneticPr fontId="1" type="noConversion"/>
  </si>
  <si>
    <t>301M</t>
  </si>
  <si>
    <t>298M</t>
  </si>
  <si>
    <t>294M</t>
  </si>
  <si>
    <t>293M</t>
  </si>
  <si>
    <t>297M</t>
  </si>
  <si>
    <t>289M</t>
  </si>
  <si>
    <t>288M</t>
  </si>
  <si>
    <t>283M</t>
  </si>
  <si>
    <t>287M</t>
  </si>
  <si>
    <t>284M</t>
  </si>
  <si>
    <t>279M</t>
  </si>
  <si>
    <t>208M</t>
  </si>
  <si>
    <t>内存</t>
    <phoneticPr fontId="1" type="noConversion"/>
  </si>
  <si>
    <t>31.616g</t>
  </si>
  <si>
    <t>31.828g</t>
  </si>
  <si>
    <t>32.328g</t>
  </si>
  <si>
    <t>32.828g</t>
  </si>
  <si>
    <t>33.328g</t>
  </si>
  <si>
    <t>33.828g</t>
  </si>
  <si>
    <t>34.328g</t>
  </si>
  <si>
    <t>34.828g</t>
  </si>
  <si>
    <t>CPU</t>
    <phoneticPr fontId="1" type="noConversion"/>
  </si>
  <si>
    <t>per-core</t>
    <phoneticPr fontId="1" type="noConversion"/>
  </si>
  <si>
    <t>2717KQPS</t>
    <phoneticPr fontId="1" type="noConversion"/>
  </si>
  <si>
    <t>Kvell在小KV下带宽占用也不足</t>
    <phoneticPr fontId="1" type="noConversion"/>
  </si>
  <si>
    <t>P2KVS无论在没有写放大的顺序负载还是有写放大的随机负载都可以利用全部IO带宽，将写放大问题交给底层KVS</t>
    <phoneticPr fontId="1" type="noConversion"/>
  </si>
  <si>
    <t>不会引入额外的内存占用</t>
    <phoneticPr fontId="1" type="noConversion"/>
  </si>
  <si>
    <t>per-core</t>
    <phoneticPr fontId="1" type="noConversion"/>
  </si>
  <si>
    <t>同样可以利用多核CPU,比Kvell利用的核多</t>
    <phoneticPr fontId="1" type="noConversion"/>
  </si>
  <si>
    <t>Kvell单核占用最高也达到了90%以上，有CPU瓶颈。在673M的测试中更加严峻</t>
    <phoneticPr fontId="1" type="noConversion"/>
  </si>
  <si>
    <t>问题在于内存占用，12GB数据除了pagecache还占用了近5GB内存</t>
    <phoneticPr fontId="1" type="noConversion"/>
  </si>
  <si>
    <t>load</t>
    <phoneticPr fontId="1" type="noConversion"/>
  </si>
  <si>
    <t>a</t>
    <phoneticPr fontId="1" type="noConversion"/>
  </si>
  <si>
    <t>b</t>
    <phoneticPr fontId="1" type="noConversion"/>
  </si>
  <si>
    <t>c</t>
    <phoneticPr fontId="1" type="noConversion"/>
  </si>
  <si>
    <t>d</t>
    <phoneticPr fontId="1" type="noConversion"/>
  </si>
  <si>
    <t>e</t>
    <phoneticPr fontId="1" type="noConversion"/>
  </si>
  <si>
    <t>f</t>
    <phoneticPr fontId="1" type="noConversion"/>
  </si>
  <si>
    <t>LOAD</t>
    <phoneticPr fontId="1" type="noConversion"/>
  </si>
  <si>
    <t>A</t>
    <phoneticPr fontId="1" type="noConversion"/>
  </si>
  <si>
    <t>B</t>
    <phoneticPr fontId="1" type="noConversion"/>
  </si>
  <si>
    <t>C</t>
    <phoneticPr fontId="1" type="noConversion"/>
  </si>
  <si>
    <t>D</t>
    <phoneticPr fontId="1" type="noConversion"/>
  </si>
  <si>
    <t>E</t>
    <phoneticPr fontId="1" type="noConversion"/>
  </si>
  <si>
    <t>F</t>
    <phoneticPr fontId="1" type="noConversion"/>
  </si>
  <si>
    <t>KVell-4</t>
    <phoneticPr fontId="1" type="noConversion"/>
  </si>
  <si>
    <t>KVell-8</t>
    <phoneticPr fontId="1" type="noConversion"/>
  </si>
  <si>
    <r>
      <t>p</t>
    </r>
    <r>
      <rPr>
        <sz val="11"/>
        <color theme="1"/>
        <rFont val="等线"/>
        <family val="3"/>
        <charset val="134"/>
      </rPr>
      <t>²</t>
    </r>
    <r>
      <rPr>
        <sz val="11"/>
        <color theme="1"/>
        <rFont val="等线"/>
        <family val="2"/>
        <scheme val="minor"/>
      </rPr>
      <t>KVS-4</t>
    </r>
    <phoneticPr fontId="1" type="noConversion"/>
  </si>
  <si>
    <t>p²KVS-8</t>
    <phoneticPr fontId="1" type="noConversion"/>
  </si>
  <si>
    <t>workerCPU</t>
    <phoneticPr fontId="1" type="noConversion"/>
  </si>
  <si>
    <t>写100M</t>
    <phoneticPr fontId="1" type="noConversion"/>
  </si>
  <si>
    <t>instanceCPU</t>
    <phoneticPr fontId="1" type="noConversion"/>
  </si>
  <si>
    <t>P2KVS-8(LevelDB)</t>
    <phoneticPr fontId="1" type="noConversion"/>
  </si>
  <si>
    <t>LevelDB(1 user-thread)</t>
    <phoneticPr fontId="1" type="noConversion"/>
  </si>
  <si>
    <t>leveldb(8 user-thread)</t>
    <phoneticPr fontId="1" type="noConversion"/>
  </si>
  <si>
    <t>单实例的leveldb在多用户线程下无法对负载进行排序</t>
    <phoneticPr fontId="1" type="noConversion"/>
  </si>
  <si>
    <t>Kvell-4-4gpagecache</t>
    <phoneticPr fontId="1" type="noConversion"/>
  </si>
  <si>
    <t>Kvell-8-4gpagecache</t>
    <phoneticPr fontId="1" type="noConversion"/>
  </si>
  <si>
    <t>Kvell-4(4g page cache)</t>
    <phoneticPr fontId="1" type="noConversion"/>
  </si>
  <si>
    <t>Kvell-4(30g page cache)</t>
    <phoneticPr fontId="1" type="noConversion"/>
  </si>
  <si>
    <t>Kvell-8(4g page cache)</t>
    <phoneticPr fontId="1" type="noConversion"/>
  </si>
  <si>
    <t>Kvell-8(30g page cache)</t>
    <phoneticPr fontId="1" type="noConversion"/>
  </si>
  <si>
    <t>多线程512B写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</si>
</sst>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family val="2"/>
      <scheme val="minor"/>
    </font>
    <font>
      <sz val="9"/>
      <name val="等线"/>
      <family val="3"/>
      <charset val="134"/>
      <scheme val="minor"/>
    </font>
    <font>
      <b/>
      <sz val="11"/>
      <color theme="1"/>
      <name val="等线"/>
      <family val="2"/>
      <scheme val="minor"/>
    </font>
    <font>
      <sz val="48"/>
      <color theme="1"/>
      <name val="等线"/>
      <family val="3"/>
      <charset val="134"/>
      <scheme val="minor"/>
    </font>
    <font>
      <sz val="18"/>
      <color theme="1"/>
      <name val="等线"/>
      <family val="2"/>
      <scheme val="minor"/>
    </font>
    <font>
      <sz val="10.5"/>
      <color theme="1"/>
      <name val="等线"/>
      <family val="3"/>
      <charset val="134"/>
      <scheme val="minor"/>
    </font>
    <font>
      <sz val="11"/>
      <color rgb="FF000000"/>
      <name val="等线"/>
      <family val="3"/>
      <charset val="134"/>
      <scheme val="minor"/>
    </font>
    <font>
      <sz val="12"/>
      <color theme="1"/>
      <name val="Times New Roman"/>
      <family val="1"/>
    </font>
    <font>
      <sz val="7"/>
      <color rgb="FFD4D4D4"/>
      <name val="Consolas"/>
      <family val="3"/>
    </font>
    <font>
      <sz val="11"/>
      <color theme="1"/>
      <name val="等线"/>
      <family val="3"/>
      <charset val="134"/>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1">
    <xf numFmtId="0" fontId="0" fillId="0" borderId="0"/>
  </cellStyleXfs>
  <cellXfs count="43">
    <xf numFmtId="0" fontId="0" fillId="0" borderId="0" xfId="0"/>
    <xf numFmtId="0" fontId="0" fillId="0" borderId="0" xfId="0" applyAlignment="1">
      <alignment vertical="top" wrapText="1"/>
    </xf>
    <xf numFmtId="0" fontId="0" fillId="0" borderId="0" xfId="0" applyAlignment="1">
      <alignment vertical="center"/>
    </xf>
    <xf numFmtId="0" fontId="0" fillId="0" borderId="0" xfId="0" applyAlignment="1">
      <alignment wrapText="1"/>
    </xf>
    <xf numFmtId="0" fontId="0" fillId="0" borderId="0" xfId="0" applyAlignment="1">
      <alignment vertical="center" wrapText="1"/>
    </xf>
    <xf numFmtId="9" fontId="0" fillId="0" borderId="0" xfId="0" applyNumberFormat="1"/>
    <xf numFmtId="0" fontId="0" fillId="0" borderId="0" xfId="0" applyAlignment="1">
      <alignment horizontal="right"/>
    </xf>
    <xf numFmtId="0" fontId="0" fillId="2" borderId="0" xfId="0" applyFill="1"/>
    <xf numFmtId="0" fontId="0" fillId="0" borderId="0" xfId="0" applyFill="1"/>
    <xf numFmtId="0" fontId="0" fillId="0" borderId="0" xfId="0" applyAlignment="1">
      <alignment horizontal="center"/>
    </xf>
    <xf numFmtId="0" fontId="0" fillId="0" borderId="0" xfId="0" applyAlignment="1">
      <alignment horizontal="center"/>
    </xf>
    <xf numFmtId="0" fontId="2" fillId="0" borderId="0" xfId="0" applyFont="1"/>
    <xf numFmtId="0" fontId="0" fillId="2" borderId="0" xfId="0" applyFill="1" applyAlignment="1">
      <alignment horizontal="center"/>
    </xf>
    <xf numFmtId="0" fontId="0" fillId="0" borderId="0" xfId="0" applyFill="1" applyAlignment="1">
      <alignment horizontal="center"/>
    </xf>
    <xf numFmtId="0" fontId="0" fillId="0" borderId="0" xfId="0" applyAlignment="1">
      <alignment horizontal="center"/>
    </xf>
    <xf numFmtId="0" fontId="5" fillId="0" borderId="1" xfId="0" applyFont="1" applyBorder="1" applyAlignment="1">
      <alignment horizontal="justify" vertical="center" wrapText="1"/>
    </xf>
    <xf numFmtId="0" fontId="5" fillId="0" borderId="2" xfId="0" applyFont="1" applyBorder="1" applyAlignment="1">
      <alignment horizontal="justify" vertical="center" wrapText="1"/>
    </xf>
    <xf numFmtId="0" fontId="5" fillId="0" borderId="3" xfId="0" applyFont="1" applyBorder="1" applyAlignment="1">
      <alignment horizontal="justify" vertical="center" wrapText="1"/>
    </xf>
    <xf numFmtId="0" fontId="6" fillId="0" borderId="3" xfId="0" applyFont="1" applyBorder="1" applyAlignment="1">
      <alignment horizontal="justify" vertical="center" wrapText="1"/>
    </xf>
    <xf numFmtId="0" fontId="5" fillId="0" borderId="4"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5" fillId="0" borderId="0" xfId="0" applyFont="1" applyFill="1" applyBorder="1" applyAlignment="1">
      <alignment vertical="center" wrapText="1"/>
    </xf>
    <xf numFmtId="0" fontId="6" fillId="0" borderId="0" xfId="0" applyFont="1" applyFill="1" applyBorder="1" applyAlignment="1">
      <alignment horizontal="justify" vertical="center" wrapText="1"/>
    </xf>
    <xf numFmtId="0" fontId="0" fillId="0" borderId="0" xfId="0" applyAlignment="1">
      <alignment horizontal="center" wrapText="1"/>
    </xf>
    <xf numFmtId="0" fontId="5" fillId="0" borderId="0" xfId="0" applyFont="1" applyFill="1" applyBorder="1" applyAlignment="1">
      <alignment horizontal="justify" vertical="center" wrapText="1"/>
    </xf>
    <xf numFmtId="0" fontId="7" fillId="0" borderId="0" xfId="0" applyFont="1" applyAlignment="1">
      <alignment vertical="center"/>
    </xf>
    <xf numFmtId="0" fontId="7" fillId="0" borderId="0" xfId="0" applyFont="1"/>
    <xf numFmtId="0" fontId="8" fillId="0" borderId="0" xfId="0" applyFont="1" applyAlignment="1">
      <alignment vertical="center"/>
    </xf>
    <xf numFmtId="49" fontId="0" fillId="0" borderId="0" xfId="0" applyNumberFormat="1"/>
    <xf numFmtId="0" fontId="0" fillId="0" borderId="0" xfId="0" applyAlignment="1">
      <alignment horizontal="center" wrapText="1"/>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0" fillId="0" borderId="0" xfId="0" applyAlignment="1">
      <alignment horizontal="center" vertical="top" wrapText="1"/>
    </xf>
    <xf numFmtId="0" fontId="0" fillId="0" borderId="0" xfId="0" applyAlignment="1">
      <alignment horizontal="center" vertical="center" wrapText="1"/>
    </xf>
    <xf numFmtId="0" fontId="0" fillId="0" borderId="0" xfId="0" applyAlignment="1">
      <alignment horizontal="left"/>
    </xf>
    <xf numFmtId="0" fontId="4" fillId="0" borderId="0" xfId="0" applyFont="1" applyAlignment="1">
      <alignment horizontal="center" vertical="center"/>
    </xf>
    <xf numFmtId="0" fontId="0" fillId="0" borderId="0" xfId="0" applyAlignment="1">
      <alignment horizontal="center" vertical="top"/>
    </xf>
    <xf numFmtId="0" fontId="0" fillId="2" borderId="0" xfId="0" applyFill="1" applyAlignment="1">
      <alignment horizontal="center" wrapText="1"/>
    </xf>
    <xf numFmtId="0" fontId="3" fillId="3" borderId="0" xfId="0" applyFont="1" applyFill="1" applyAlignment="1">
      <alignment horizontal="center" vertical="center" wrapText="1"/>
    </xf>
    <xf numFmtId="0" fontId="0" fillId="3" borderId="0" xfId="0" applyFill="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altLang="en-US" sz="1200" b="0" i="0" u="none" strike="noStrike" kern="1200" spc="0" baseline="0">
                <a:solidFill>
                  <a:schemeClr val="tx1"/>
                </a:solidFill>
                <a:latin typeface="+mn-lt"/>
                <a:ea typeface="+mn-ea"/>
                <a:cs typeface="+mn-cs"/>
              </a:defRPr>
            </a:pPr>
            <a:r>
              <a:rPr lang="en-US"/>
              <a:t>Fillseq Throuput (MB/s)</a:t>
            </a:r>
            <a:endParaRPr lang="zh-CN"/>
          </a:p>
        </c:rich>
      </c:tx>
      <c:overlay val="0"/>
      <c:spPr>
        <a:noFill/>
        <a:ln>
          <a:noFill/>
        </a:ln>
        <a:effectLst/>
      </c:spPr>
      <c:txPr>
        <a:bodyPr rot="0" spcFirstLastPara="1" vertOverflow="ellipsis" vert="horz" wrap="square" anchor="ctr" anchorCtr="1"/>
        <a:lstStyle/>
        <a:p>
          <a:pPr>
            <a:defRPr lang="zh-CN" altLang="en-US" sz="1200" b="0" i="0" u="none" strike="noStrike" kern="1200" spc="0" baseline="0">
              <a:solidFill>
                <a:schemeClr val="tx1"/>
              </a:solidFill>
              <a:latin typeface="+mn-lt"/>
              <a:ea typeface="+mn-ea"/>
              <a:cs typeface="+mn-cs"/>
            </a:defRPr>
          </a:pPr>
          <a:endParaRPr lang="zh-CN"/>
        </a:p>
      </c:txPr>
    </c:title>
    <c:autoTitleDeleted val="0"/>
    <c:plotArea>
      <c:layout>
        <c:manualLayout>
          <c:layoutTarget val="inner"/>
          <c:xMode val="edge"/>
          <c:yMode val="edge"/>
          <c:x val="8.6266185476815402E-2"/>
          <c:y val="0.16089129483814524"/>
          <c:w val="0.86821303587051624"/>
          <c:h val="0.55569444444444449"/>
        </c:manualLayout>
      </c:layout>
      <c:lineChart>
        <c:grouping val="standard"/>
        <c:varyColors val="0"/>
        <c:ser>
          <c:idx val="0"/>
          <c:order val="0"/>
          <c:tx>
            <c:strRef>
              <c:f>多介质下KV不同!$A$86</c:f>
              <c:strCache>
                <c:ptCount val="1"/>
                <c:pt idx="0">
                  <c:v>HDD</c:v>
                </c:pt>
              </c:strCache>
            </c:strRef>
          </c:tx>
          <c:spPr>
            <a:ln w="22225" cap="rnd">
              <a:solidFill>
                <a:schemeClr val="accent1"/>
              </a:solidFill>
              <a:round/>
            </a:ln>
            <a:effectLst/>
          </c:spPr>
          <c:marker>
            <c:symbol val="none"/>
          </c:marker>
          <c:cat>
            <c:strRef>
              <c:f>多介质下KV不同!$B$85:$I$85</c:f>
              <c:strCache>
                <c:ptCount val="8"/>
                <c:pt idx="0">
                  <c:v>100B</c:v>
                </c:pt>
                <c:pt idx="1">
                  <c:v>256B</c:v>
                </c:pt>
                <c:pt idx="2">
                  <c:v>512B</c:v>
                </c:pt>
                <c:pt idx="3">
                  <c:v>1KB</c:v>
                </c:pt>
                <c:pt idx="4">
                  <c:v>2KB</c:v>
                </c:pt>
                <c:pt idx="5">
                  <c:v>4KB</c:v>
                </c:pt>
                <c:pt idx="6">
                  <c:v>8KB</c:v>
                </c:pt>
                <c:pt idx="7">
                  <c:v>16KB</c:v>
                </c:pt>
              </c:strCache>
            </c:strRef>
          </c:cat>
          <c:val>
            <c:numRef>
              <c:f>多介质下KV不同!$B$86:$I$86</c:f>
              <c:numCache>
                <c:formatCode>General</c:formatCode>
                <c:ptCount val="8"/>
                <c:pt idx="0">
                  <c:v>45</c:v>
                </c:pt>
                <c:pt idx="1">
                  <c:v>103</c:v>
                </c:pt>
                <c:pt idx="2">
                  <c:v>114</c:v>
                </c:pt>
                <c:pt idx="3">
                  <c:v>112</c:v>
                </c:pt>
                <c:pt idx="4">
                  <c:v>111</c:v>
                </c:pt>
                <c:pt idx="5">
                  <c:v>111</c:v>
                </c:pt>
                <c:pt idx="6">
                  <c:v>110</c:v>
                </c:pt>
                <c:pt idx="7">
                  <c:v>110</c:v>
                </c:pt>
              </c:numCache>
            </c:numRef>
          </c:val>
          <c:smooth val="0"/>
          <c:extLst>
            <c:ext xmlns:c16="http://schemas.microsoft.com/office/drawing/2014/chart" uri="{C3380CC4-5D6E-409C-BE32-E72D297353CC}">
              <c16:uniqueId val="{00000000-17FF-48EF-85C6-DF8C6CB98EFE}"/>
            </c:ext>
          </c:extLst>
        </c:ser>
        <c:ser>
          <c:idx val="1"/>
          <c:order val="1"/>
          <c:tx>
            <c:strRef>
              <c:f>多介质下KV不同!$A$87</c:f>
              <c:strCache>
                <c:ptCount val="1"/>
                <c:pt idx="0">
                  <c:v>NVMeSSD
SLC满</c:v>
                </c:pt>
              </c:strCache>
            </c:strRef>
          </c:tx>
          <c:spPr>
            <a:ln w="22225" cap="rnd">
              <a:solidFill>
                <a:schemeClr val="accent2"/>
              </a:solidFill>
              <a:round/>
            </a:ln>
            <a:effectLst/>
          </c:spPr>
          <c:marker>
            <c:symbol val="none"/>
          </c:marker>
          <c:cat>
            <c:strRef>
              <c:f>多介质下KV不同!$B$85:$I$85</c:f>
              <c:strCache>
                <c:ptCount val="8"/>
                <c:pt idx="0">
                  <c:v>100B</c:v>
                </c:pt>
                <c:pt idx="1">
                  <c:v>256B</c:v>
                </c:pt>
                <c:pt idx="2">
                  <c:v>512B</c:v>
                </c:pt>
                <c:pt idx="3">
                  <c:v>1KB</c:v>
                </c:pt>
                <c:pt idx="4">
                  <c:v>2KB</c:v>
                </c:pt>
                <c:pt idx="5">
                  <c:v>4KB</c:v>
                </c:pt>
                <c:pt idx="6">
                  <c:v>8KB</c:v>
                </c:pt>
                <c:pt idx="7">
                  <c:v>16KB</c:v>
                </c:pt>
              </c:strCache>
            </c:strRef>
          </c:cat>
          <c:val>
            <c:numRef>
              <c:f>多介质下KV不同!$B$87:$I$87</c:f>
              <c:numCache>
                <c:formatCode>General</c:formatCode>
                <c:ptCount val="8"/>
                <c:pt idx="0">
                  <c:v>44.8</c:v>
                </c:pt>
                <c:pt idx="1">
                  <c:v>99</c:v>
                </c:pt>
                <c:pt idx="2">
                  <c:v>172</c:v>
                </c:pt>
                <c:pt idx="3">
                  <c:v>195</c:v>
                </c:pt>
                <c:pt idx="4">
                  <c:v>208</c:v>
                </c:pt>
                <c:pt idx="5">
                  <c:v>238</c:v>
                </c:pt>
                <c:pt idx="6">
                  <c:v>204</c:v>
                </c:pt>
                <c:pt idx="7">
                  <c:v>211</c:v>
                </c:pt>
              </c:numCache>
            </c:numRef>
          </c:val>
          <c:smooth val="0"/>
          <c:extLst>
            <c:ext xmlns:c16="http://schemas.microsoft.com/office/drawing/2014/chart" uri="{C3380CC4-5D6E-409C-BE32-E72D297353CC}">
              <c16:uniqueId val="{00000001-17FF-48EF-85C6-DF8C6CB98EFE}"/>
            </c:ext>
          </c:extLst>
        </c:ser>
        <c:ser>
          <c:idx val="2"/>
          <c:order val="2"/>
          <c:tx>
            <c:strRef>
              <c:f>多介质下KV不同!$A$88</c:f>
              <c:strCache>
                <c:ptCount val="1"/>
                <c:pt idx="0">
                  <c:v>NVMeSSD
SLC空</c:v>
                </c:pt>
              </c:strCache>
            </c:strRef>
          </c:tx>
          <c:spPr>
            <a:ln w="22225" cap="rnd">
              <a:solidFill>
                <a:schemeClr val="accent3"/>
              </a:solidFill>
              <a:round/>
            </a:ln>
            <a:effectLst/>
          </c:spPr>
          <c:marker>
            <c:symbol val="none"/>
          </c:marker>
          <c:cat>
            <c:strRef>
              <c:f>多介质下KV不同!$B$85:$I$85</c:f>
              <c:strCache>
                <c:ptCount val="8"/>
                <c:pt idx="0">
                  <c:v>100B</c:v>
                </c:pt>
                <c:pt idx="1">
                  <c:v>256B</c:v>
                </c:pt>
                <c:pt idx="2">
                  <c:v>512B</c:v>
                </c:pt>
                <c:pt idx="3">
                  <c:v>1KB</c:v>
                </c:pt>
                <c:pt idx="4">
                  <c:v>2KB</c:v>
                </c:pt>
                <c:pt idx="5">
                  <c:v>4KB</c:v>
                </c:pt>
                <c:pt idx="6">
                  <c:v>8KB</c:v>
                </c:pt>
                <c:pt idx="7">
                  <c:v>16KB</c:v>
                </c:pt>
              </c:strCache>
            </c:strRef>
          </c:cat>
          <c:val>
            <c:numRef>
              <c:f>多介质下KV不同!$B$88:$I$88</c:f>
              <c:numCache>
                <c:formatCode>General</c:formatCode>
                <c:ptCount val="8"/>
                <c:pt idx="0">
                  <c:v>46</c:v>
                </c:pt>
                <c:pt idx="1">
                  <c:v>93</c:v>
                </c:pt>
                <c:pt idx="2">
                  <c:v>168</c:v>
                </c:pt>
                <c:pt idx="3">
                  <c:v>277</c:v>
                </c:pt>
                <c:pt idx="4">
                  <c:v>417</c:v>
                </c:pt>
                <c:pt idx="5">
                  <c:v>514</c:v>
                </c:pt>
                <c:pt idx="6">
                  <c:v>544</c:v>
                </c:pt>
                <c:pt idx="7">
                  <c:v>432</c:v>
                </c:pt>
              </c:numCache>
            </c:numRef>
          </c:val>
          <c:smooth val="0"/>
          <c:extLst>
            <c:ext xmlns:c16="http://schemas.microsoft.com/office/drawing/2014/chart" uri="{C3380CC4-5D6E-409C-BE32-E72D297353CC}">
              <c16:uniqueId val="{00000002-17FF-48EF-85C6-DF8C6CB98EFE}"/>
            </c:ext>
          </c:extLst>
        </c:ser>
        <c:ser>
          <c:idx val="3"/>
          <c:order val="3"/>
          <c:tx>
            <c:strRef>
              <c:f>多介质下KV不同!$A$89</c:f>
              <c:strCache>
                <c:ptCount val="1"/>
                <c:pt idx="0">
                  <c:v>OptaneSSD</c:v>
                </c:pt>
              </c:strCache>
            </c:strRef>
          </c:tx>
          <c:spPr>
            <a:ln w="2222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zh-CN" altLang="en-US" sz="1000" b="0" i="0" u="none" strike="noStrike" kern="1200" baseline="0">
                    <a:solidFill>
                      <a:schemeClr val="tx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多介质下KV不同!$B$85:$I$85</c:f>
              <c:strCache>
                <c:ptCount val="8"/>
                <c:pt idx="0">
                  <c:v>100B</c:v>
                </c:pt>
                <c:pt idx="1">
                  <c:v>256B</c:v>
                </c:pt>
                <c:pt idx="2">
                  <c:v>512B</c:v>
                </c:pt>
                <c:pt idx="3">
                  <c:v>1KB</c:v>
                </c:pt>
                <c:pt idx="4">
                  <c:v>2KB</c:v>
                </c:pt>
                <c:pt idx="5">
                  <c:v>4KB</c:v>
                </c:pt>
                <c:pt idx="6">
                  <c:v>8KB</c:v>
                </c:pt>
                <c:pt idx="7">
                  <c:v>16KB</c:v>
                </c:pt>
              </c:strCache>
            </c:strRef>
          </c:cat>
          <c:val>
            <c:numRef>
              <c:f>多介质下KV不同!$B$89:$I$89</c:f>
              <c:numCache>
                <c:formatCode>General</c:formatCode>
                <c:ptCount val="8"/>
                <c:pt idx="0">
                  <c:v>45</c:v>
                </c:pt>
                <c:pt idx="1">
                  <c:v>95</c:v>
                </c:pt>
                <c:pt idx="2">
                  <c:v>170</c:v>
                </c:pt>
                <c:pt idx="3">
                  <c:v>260</c:v>
                </c:pt>
                <c:pt idx="4">
                  <c:v>378</c:v>
                </c:pt>
                <c:pt idx="5">
                  <c:v>520</c:v>
                </c:pt>
                <c:pt idx="6">
                  <c:v>638</c:v>
                </c:pt>
                <c:pt idx="7">
                  <c:v>782</c:v>
                </c:pt>
              </c:numCache>
            </c:numRef>
          </c:val>
          <c:smooth val="0"/>
          <c:extLst>
            <c:ext xmlns:c16="http://schemas.microsoft.com/office/drawing/2014/chart" uri="{C3380CC4-5D6E-409C-BE32-E72D297353CC}">
              <c16:uniqueId val="{00000003-17FF-48EF-85C6-DF8C6CB98EFE}"/>
            </c:ext>
          </c:extLst>
        </c:ser>
        <c:ser>
          <c:idx val="4"/>
          <c:order val="4"/>
          <c:tx>
            <c:strRef>
              <c:f>多介质下KV不同!$A$90</c:f>
              <c:strCache>
                <c:ptCount val="1"/>
                <c:pt idx="0">
                  <c:v>ramdisk</c:v>
                </c:pt>
              </c:strCache>
            </c:strRef>
          </c:tx>
          <c:spPr>
            <a:ln w="22225" cap="rnd">
              <a:solidFill>
                <a:schemeClr val="accent5"/>
              </a:solidFill>
              <a:round/>
            </a:ln>
            <a:effectLst/>
          </c:spPr>
          <c:marker>
            <c:symbol val="none"/>
          </c:marker>
          <c:cat>
            <c:strRef>
              <c:f>多介质下KV不同!$B$85:$I$85</c:f>
              <c:strCache>
                <c:ptCount val="8"/>
                <c:pt idx="0">
                  <c:v>100B</c:v>
                </c:pt>
                <c:pt idx="1">
                  <c:v>256B</c:v>
                </c:pt>
                <c:pt idx="2">
                  <c:v>512B</c:v>
                </c:pt>
                <c:pt idx="3">
                  <c:v>1KB</c:v>
                </c:pt>
                <c:pt idx="4">
                  <c:v>2KB</c:v>
                </c:pt>
                <c:pt idx="5">
                  <c:v>4KB</c:v>
                </c:pt>
                <c:pt idx="6">
                  <c:v>8KB</c:v>
                </c:pt>
                <c:pt idx="7">
                  <c:v>16KB</c:v>
                </c:pt>
              </c:strCache>
            </c:strRef>
          </c:cat>
          <c:val>
            <c:numRef>
              <c:f>多介质下KV不同!$B$90:$I$90</c:f>
              <c:numCache>
                <c:formatCode>General</c:formatCode>
                <c:ptCount val="8"/>
                <c:pt idx="0">
                  <c:v>65</c:v>
                </c:pt>
                <c:pt idx="1">
                  <c:v>128</c:v>
                </c:pt>
                <c:pt idx="2">
                  <c:v>247</c:v>
                </c:pt>
                <c:pt idx="3">
                  <c:v>370</c:v>
                </c:pt>
                <c:pt idx="4">
                  <c:v>605</c:v>
                </c:pt>
                <c:pt idx="5">
                  <c:v>834</c:v>
                </c:pt>
                <c:pt idx="6">
                  <c:v>1045</c:v>
                </c:pt>
                <c:pt idx="7">
                  <c:v>1224</c:v>
                </c:pt>
              </c:numCache>
            </c:numRef>
          </c:val>
          <c:smooth val="0"/>
          <c:extLst>
            <c:ext xmlns:c16="http://schemas.microsoft.com/office/drawing/2014/chart" uri="{C3380CC4-5D6E-409C-BE32-E72D297353CC}">
              <c16:uniqueId val="{00000004-17FF-48EF-85C6-DF8C6CB98EFE}"/>
            </c:ext>
          </c:extLst>
        </c:ser>
        <c:dLbls>
          <c:showLegendKey val="0"/>
          <c:showVal val="0"/>
          <c:showCatName val="0"/>
          <c:showSerName val="0"/>
          <c:showPercent val="0"/>
          <c:showBubbleSize val="0"/>
        </c:dLbls>
        <c:smooth val="0"/>
        <c:axId val="284750464"/>
        <c:axId val="283378272"/>
      </c:lineChart>
      <c:catAx>
        <c:axId val="28475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altLang="en-US" sz="1000" b="0" i="0" u="none" strike="noStrike" kern="1200" baseline="0">
                <a:solidFill>
                  <a:schemeClr val="tx1"/>
                </a:solidFill>
                <a:latin typeface="+mn-lt"/>
                <a:ea typeface="+mn-ea"/>
                <a:cs typeface="+mn-cs"/>
              </a:defRPr>
            </a:pPr>
            <a:endParaRPr lang="zh-CN"/>
          </a:p>
        </c:txPr>
        <c:crossAx val="283378272"/>
        <c:crosses val="autoZero"/>
        <c:auto val="1"/>
        <c:lblAlgn val="ctr"/>
        <c:lblOffset val="100"/>
        <c:noMultiLvlLbl val="0"/>
      </c:catAx>
      <c:valAx>
        <c:axId val="283378272"/>
        <c:scaling>
          <c:orientation val="minMax"/>
          <c:max val="1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altLang="en-US" sz="1000" b="0" i="0" u="none" strike="noStrike" kern="1200" baseline="0">
                <a:solidFill>
                  <a:schemeClr val="tx1"/>
                </a:solidFill>
                <a:latin typeface="+mn-lt"/>
                <a:ea typeface="+mn-ea"/>
                <a:cs typeface="+mn-cs"/>
              </a:defRPr>
            </a:pPr>
            <a:endParaRPr lang="zh-CN"/>
          </a:p>
        </c:txPr>
        <c:crossAx val="2847504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altLang="en-US" sz="1000" b="0" i="0" u="none" strike="noStrike" kern="1200" baseline="0">
              <a:solidFill>
                <a:schemeClr val="tx1"/>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zh-CN" altLang="en-US" sz="1000" b="0" i="0" u="none" strike="noStrike" kern="1200" baseline="0">
          <a:solidFill>
            <a:schemeClr val="tx1"/>
          </a:solidFill>
          <a:latin typeface="+mn-lt"/>
          <a:ea typeface="+mn-ea"/>
          <a:cs typeface="+mn-cs"/>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82522132919915"/>
          <c:y val="7.2314776854302029E-2"/>
          <c:w val="0.75617477867080085"/>
          <c:h val="0.76728928809544517"/>
        </c:manualLayout>
      </c:layout>
      <c:barChart>
        <c:barDir val="col"/>
        <c:grouping val="clustered"/>
        <c:varyColors val="0"/>
        <c:ser>
          <c:idx val="0"/>
          <c:order val="0"/>
          <c:tx>
            <c:strRef>
              <c:f>多介质下KV不同!$A$45</c:f>
              <c:strCache>
                <c:ptCount val="1"/>
                <c:pt idx="0">
                  <c:v>HDD</c:v>
                </c:pt>
              </c:strCache>
            </c:strRef>
          </c:tx>
          <c:spPr>
            <a:solidFill>
              <a:schemeClr val="accent1"/>
            </a:solidFill>
            <a:ln>
              <a:noFill/>
            </a:ln>
            <a:effectLst/>
          </c:spPr>
          <c:invertIfNegative val="0"/>
          <c:cat>
            <c:strRef>
              <c:f>多介质下KV不同!$E$44</c:f>
              <c:strCache>
                <c:ptCount val="1"/>
                <c:pt idx="0">
                  <c:v>Seq Read</c:v>
                </c:pt>
              </c:strCache>
            </c:strRef>
          </c:cat>
          <c:val>
            <c:numRef>
              <c:f>多介质下KV不同!$E$45</c:f>
              <c:numCache>
                <c:formatCode>General</c:formatCode>
                <c:ptCount val="1"/>
                <c:pt idx="0">
                  <c:v>52.9</c:v>
                </c:pt>
              </c:numCache>
            </c:numRef>
          </c:val>
          <c:extLst>
            <c:ext xmlns:c16="http://schemas.microsoft.com/office/drawing/2014/chart" uri="{C3380CC4-5D6E-409C-BE32-E72D297353CC}">
              <c16:uniqueId val="{00000000-6A4B-4FF8-8691-4FD27A6562DE}"/>
            </c:ext>
          </c:extLst>
        </c:ser>
        <c:ser>
          <c:idx val="1"/>
          <c:order val="1"/>
          <c:tx>
            <c:strRef>
              <c:f>多介质下KV不同!$A$46</c:f>
              <c:strCache>
                <c:ptCount val="1"/>
                <c:pt idx="0">
                  <c:v>Flash-based SSD</c:v>
                </c:pt>
              </c:strCache>
            </c:strRef>
          </c:tx>
          <c:spPr>
            <a:solidFill>
              <a:schemeClr val="accent2"/>
            </a:solidFill>
            <a:ln>
              <a:noFill/>
            </a:ln>
            <a:effectLst/>
          </c:spPr>
          <c:invertIfNegative val="0"/>
          <c:cat>
            <c:strRef>
              <c:f>多介质下KV不同!$E$44</c:f>
              <c:strCache>
                <c:ptCount val="1"/>
                <c:pt idx="0">
                  <c:v>Seq Read</c:v>
                </c:pt>
              </c:strCache>
            </c:strRef>
          </c:cat>
          <c:val>
            <c:numRef>
              <c:f>多介质下KV不同!$E$49</c:f>
              <c:numCache>
                <c:formatCode>General</c:formatCode>
                <c:ptCount val="1"/>
                <c:pt idx="0">
                  <c:v>255.6</c:v>
                </c:pt>
              </c:numCache>
            </c:numRef>
          </c:val>
          <c:extLst>
            <c:ext xmlns:c16="http://schemas.microsoft.com/office/drawing/2014/chart" uri="{C3380CC4-5D6E-409C-BE32-E72D297353CC}">
              <c16:uniqueId val="{00000001-6A4B-4FF8-8691-4FD27A6562DE}"/>
            </c:ext>
          </c:extLst>
        </c:ser>
        <c:ser>
          <c:idx val="2"/>
          <c:order val="2"/>
          <c:tx>
            <c:strRef>
              <c:f>多介质下KV不同!$A$47</c:f>
              <c:strCache>
                <c:ptCount val="1"/>
                <c:pt idx="0">
                  <c:v>OptaneSSD</c:v>
                </c:pt>
              </c:strCache>
            </c:strRef>
          </c:tx>
          <c:spPr>
            <a:solidFill>
              <a:schemeClr val="accent3"/>
            </a:solidFill>
            <a:ln>
              <a:noFill/>
            </a:ln>
            <a:effectLst/>
          </c:spPr>
          <c:invertIfNegative val="0"/>
          <c:cat>
            <c:strRef>
              <c:f>多介质下KV不同!$E$44</c:f>
              <c:strCache>
                <c:ptCount val="1"/>
                <c:pt idx="0">
                  <c:v>Seq Read</c:v>
                </c:pt>
              </c:strCache>
            </c:strRef>
          </c:cat>
          <c:val>
            <c:numRef>
              <c:f>多介质下KV不同!$E$47</c:f>
              <c:numCache>
                <c:formatCode>General</c:formatCode>
                <c:ptCount val="1"/>
                <c:pt idx="0">
                  <c:v>240.7</c:v>
                </c:pt>
              </c:numCache>
            </c:numRef>
          </c:val>
          <c:extLst>
            <c:ext xmlns:c16="http://schemas.microsoft.com/office/drawing/2014/chart" uri="{C3380CC4-5D6E-409C-BE32-E72D297353CC}">
              <c16:uniqueId val="{00000002-6A4B-4FF8-8691-4FD27A6562DE}"/>
            </c:ext>
          </c:extLst>
        </c:ser>
        <c:dLbls>
          <c:showLegendKey val="0"/>
          <c:showVal val="0"/>
          <c:showCatName val="0"/>
          <c:showSerName val="0"/>
          <c:showPercent val="0"/>
          <c:showBubbleSize val="0"/>
        </c:dLbls>
        <c:gapWidth val="219"/>
        <c:overlap val="-27"/>
        <c:axId val="339772720"/>
        <c:axId val="475430480"/>
      </c:barChart>
      <c:catAx>
        <c:axId val="33977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altLang="en-US" sz="900" b="0" i="0" u="none" strike="noStrike" kern="1200" baseline="0">
                <a:solidFill>
                  <a:schemeClr val="tx2"/>
                </a:solidFill>
                <a:latin typeface="+mn-lt"/>
                <a:ea typeface="+mn-ea"/>
                <a:cs typeface="+mn-cs"/>
              </a:defRPr>
            </a:pPr>
            <a:endParaRPr lang="zh-CN"/>
          </a:p>
        </c:txPr>
        <c:crossAx val="475430480"/>
        <c:crosses val="autoZero"/>
        <c:auto val="1"/>
        <c:lblAlgn val="ctr"/>
        <c:lblOffset val="100"/>
        <c:noMultiLvlLbl val="0"/>
      </c:catAx>
      <c:valAx>
        <c:axId val="47543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altLang="en-US" sz="900" b="0" i="0" u="none" strike="noStrike" kern="1200" baseline="0">
                <a:solidFill>
                  <a:schemeClr val="tx2"/>
                </a:solidFill>
                <a:latin typeface="+mn-lt"/>
                <a:ea typeface="+mn-ea"/>
                <a:cs typeface="+mn-cs"/>
              </a:defRPr>
            </a:pPr>
            <a:endParaRPr lang="zh-CN"/>
          </a:p>
        </c:txPr>
        <c:crossAx val="33977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27000"/>
    </a:effectLst>
  </c:spPr>
  <c:txPr>
    <a:bodyPr/>
    <a:lstStyle/>
    <a:p>
      <a:pPr>
        <a:defRPr lang="zh-CN" altLang="en-US" sz="900" b="0" i="0" u="none" strike="noStrike" kern="1200" baseline="0">
          <a:solidFill>
            <a:schemeClr val="tx2"/>
          </a:solidFill>
          <a:latin typeface="+mn-lt"/>
          <a:ea typeface="+mn-ea"/>
          <a:cs typeface="+mn-cs"/>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45334450793566"/>
          <c:y val="6.8429237947122856E-2"/>
          <c:w val="0.84754665549206432"/>
          <c:h val="0.77979304686447626"/>
        </c:manualLayout>
      </c:layout>
      <c:barChart>
        <c:barDir val="col"/>
        <c:grouping val="clustered"/>
        <c:varyColors val="0"/>
        <c:ser>
          <c:idx val="0"/>
          <c:order val="0"/>
          <c:tx>
            <c:strRef>
              <c:f>多介质下KV不同!$A$45</c:f>
              <c:strCache>
                <c:ptCount val="1"/>
                <c:pt idx="0">
                  <c:v>HDD</c:v>
                </c:pt>
              </c:strCache>
            </c:strRef>
          </c:tx>
          <c:spPr>
            <a:solidFill>
              <a:schemeClr val="accent1"/>
            </a:solidFill>
            <a:ln>
              <a:noFill/>
            </a:ln>
            <a:effectLst/>
          </c:spPr>
          <c:invertIfNegative val="0"/>
          <c:cat>
            <c:strRef>
              <c:f>多介质下KV不同!$F$44</c:f>
              <c:strCache>
                <c:ptCount val="1"/>
                <c:pt idx="0">
                  <c:v>Rand Read</c:v>
                </c:pt>
              </c:strCache>
            </c:strRef>
          </c:cat>
          <c:val>
            <c:numRef>
              <c:f>多介质下KV不同!$F$45</c:f>
              <c:numCache>
                <c:formatCode>General</c:formatCode>
                <c:ptCount val="1"/>
                <c:pt idx="0">
                  <c:v>0.3</c:v>
                </c:pt>
              </c:numCache>
            </c:numRef>
          </c:val>
          <c:extLst>
            <c:ext xmlns:c16="http://schemas.microsoft.com/office/drawing/2014/chart" uri="{C3380CC4-5D6E-409C-BE32-E72D297353CC}">
              <c16:uniqueId val="{00000000-4DFA-4188-BBE7-F0F2B2EBF9AC}"/>
            </c:ext>
          </c:extLst>
        </c:ser>
        <c:ser>
          <c:idx val="1"/>
          <c:order val="1"/>
          <c:tx>
            <c:strRef>
              <c:f>多介质下KV不同!$A$46</c:f>
              <c:strCache>
                <c:ptCount val="1"/>
                <c:pt idx="0">
                  <c:v>Flash-based SSD</c:v>
                </c:pt>
              </c:strCache>
            </c:strRef>
          </c:tx>
          <c:spPr>
            <a:solidFill>
              <a:schemeClr val="accent2"/>
            </a:solidFill>
            <a:ln>
              <a:noFill/>
            </a:ln>
            <a:effectLst/>
          </c:spPr>
          <c:invertIfNegative val="0"/>
          <c:cat>
            <c:strRef>
              <c:f>多介质下KV不同!$F$44</c:f>
              <c:strCache>
                <c:ptCount val="1"/>
                <c:pt idx="0">
                  <c:v>Rand Read</c:v>
                </c:pt>
              </c:strCache>
            </c:strRef>
          </c:cat>
          <c:val>
            <c:numRef>
              <c:f>多介质下KV不同!$F$49</c:f>
              <c:numCache>
                <c:formatCode>General</c:formatCode>
                <c:ptCount val="1"/>
                <c:pt idx="0">
                  <c:v>1</c:v>
                </c:pt>
              </c:numCache>
            </c:numRef>
          </c:val>
          <c:extLst>
            <c:ext xmlns:c16="http://schemas.microsoft.com/office/drawing/2014/chart" uri="{C3380CC4-5D6E-409C-BE32-E72D297353CC}">
              <c16:uniqueId val="{00000001-4DFA-4188-BBE7-F0F2B2EBF9AC}"/>
            </c:ext>
          </c:extLst>
        </c:ser>
        <c:ser>
          <c:idx val="2"/>
          <c:order val="2"/>
          <c:tx>
            <c:strRef>
              <c:f>多介质下KV不同!$A$47</c:f>
              <c:strCache>
                <c:ptCount val="1"/>
                <c:pt idx="0">
                  <c:v>OptaneSSD</c:v>
                </c:pt>
              </c:strCache>
            </c:strRef>
          </c:tx>
          <c:spPr>
            <a:solidFill>
              <a:schemeClr val="accent3"/>
            </a:solidFill>
            <a:ln>
              <a:noFill/>
            </a:ln>
            <a:effectLst/>
          </c:spPr>
          <c:invertIfNegative val="0"/>
          <c:cat>
            <c:strRef>
              <c:f>多介质下KV不同!$F$44</c:f>
              <c:strCache>
                <c:ptCount val="1"/>
                <c:pt idx="0">
                  <c:v>Rand Read</c:v>
                </c:pt>
              </c:strCache>
            </c:strRef>
          </c:cat>
          <c:val>
            <c:numRef>
              <c:f>多介质下KV不同!$F$47</c:f>
              <c:numCache>
                <c:formatCode>General</c:formatCode>
                <c:ptCount val="1"/>
                <c:pt idx="0">
                  <c:v>5</c:v>
                </c:pt>
              </c:numCache>
            </c:numRef>
          </c:val>
          <c:extLst>
            <c:ext xmlns:c16="http://schemas.microsoft.com/office/drawing/2014/chart" uri="{C3380CC4-5D6E-409C-BE32-E72D297353CC}">
              <c16:uniqueId val="{00000002-4DFA-4188-BBE7-F0F2B2EBF9AC}"/>
            </c:ext>
          </c:extLst>
        </c:ser>
        <c:dLbls>
          <c:showLegendKey val="0"/>
          <c:showVal val="0"/>
          <c:showCatName val="0"/>
          <c:showSerName val="0"/>
          <c:showPercent val="0"/>
          <c:showBubbleSize val="0"/>
        </c:dLbls>
        <c:gapWidth val="219"/>
        <c:overlap val="-27"/>
        <c:axId val="144272992"/>
        <c:axId val="475440464"/>
      </c:barChart>
      <c:catAx>
        <c:axId val="14427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5440464"/>
        <c:crosses val="autoZero"/>
        <c:auto val="1"/>
        <c:lblAlgn val="ctr"/>
        <c:lblOffset val="100"/>
        <c:noMultiLvlLbl val="0"/>
      </c:catAx>
      <c:valAx>
        <c:axId val="47544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427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ltLang="zh-CN"/>
              <a:t>Throughput (MB/s)</a:t>
            </a:r>
            <a:r>
              <a:rPr lang="zh-CN" altLang="en-US"/>
              <a:t>，</a:t>
            </a:r>
            <a:r>
              <a:rPr lang="en-US" altLang="zh-CN"/>
              <a:t>28B key</a:t>
            </a:r>
            <a:r>
              <a:rPr lang="en-US" altLang="zh-CN" baseline="0"/>
              <a:t> and 1K</a:t>
            </a:r>
            <a:r>
              <a:rPr lang="en-US" altLang="zh-CN"/>
              <a:t>B value</a:t>
            </a:r>
            <a:endParaRPr lang="zh-C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manualLayout>
          <c:layoutTarget val="inner"/>
          <c:xMode val="edge"/>
          <c:yMode val="edge"/>
          <c:x val="4.4063028706777509E-2"/>
          <c:y val="0.18300925925925926"/>
          <c:w val="0.47914602138147366"/>
          <c:h val="0.64198612721996895"/>
        </c:manualLayout>
      </c:layout>
      <c:barChart>
        <c:barDir val="col"/>
        <c:grouping val="clustered"/>
        <c:varyColors val="0"/>
        <c:ser>
          <c:idx val="0"/>
          <c:order val="0"/>
          <c:tx>
            <c:strRef>
              <c:f>多介质下KV不同!$A$62</c:f>
              <c:strCache>
                <c:ptCount val="1"/>
                <c:pt idx="0">
                  <c:v>HDD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多介质下KV不同!$B$61:$D$61</c:f>
              <c:strCache>
                <c:ptCount val="3"/>
                <c:pt idx="0">
                  <c:v>Seq Write</c:v>
                </c:pt>
                <c:pt idx="1">
                  <c:v>Rand Write</c:v>
                </c:pt>
                <c:pt idx="2">
                  <c:v>Update</c:v>
                </c:pt>
              </c:strCache>
            </c:strRef>
          </c:cat>
          <c:val>
            <c:numRef>
              <c:f>多介质下KV不同!$B$62:$D$62</c:f>
              <c:numCache>
                <c:formatCode>General</c:formatCode>
                <c:ptCount val="3"/>
                <c:pt idx="0">
                  <c:v>47.8</c:v>
                </c:pt>
                <c:pt idx="1">
                  <c:v>41.2</c:v>
                </c:pt>
                <c:pt idx="2">
                  <c:v>29.4</c:v>
                </c:pt>
              </c:numCache>
            </c:numRef>
          </c:val>
          <c:extLst>
            <c:ext xmlns:c16="http://schemas.microsoft.com/office/drawing/2014/chart" uri="{C3380CC4-5D6E-409C-BE32-E72D297353CC}">
              <c16:uniqueId val="{00000000-FB9F-4C38-A1DD-26C8DE13FCA7}"/>
            </c:ext>
          </c:extLst>
        </c:ser>
        <c:ser>
          <c:idx val="1"/>
          <c:order val="1"/>
          <c:tx>
            <c:strRef>
              <c:f>多介质下KV不同!$A$63</c:f>
              <c:strCache>
                <c:ptCount val="1"/>
                <c:pt idx="0">
                  <c:v>Flash-based SSD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多介质下KV不同!$B$61:$D$61</c:f>
              <c:strCache>
                <c:ptCount val="3"/>
                <c:pt idx="0">
                  <c:v>Seq Write</c:v>
                </c:pt>
                <c:pt idx="1">
                  <c:v>Rand Write</c:v>
                </c:pt>
                <c:pt idx="2">
                  <c:v>Update</c:v>
                </c:pt>
              </c:strCache>
            </c:strRef>
          </c:cat>
          <c:val>
            <c:numRef>
              <c:f>多介质下KV不同!$B$63:$D$63</c:f>
              <c:numCache>
                <c:formatCode>General</c:formatCode>
                <c:ptCount val="3"/>
                <c:pt idx="0">
                  <c:v>289.3</c:v>
                </c:pt>
                <c:pt idx="1">
                  <c:v>185</c:v>
                </c:pt>
                <c:pt idx="2">
                  <c:v>188.6</c:v>
                </c:pt>
              </c:numCache>
            </c:numRef>
          </c:val>
          <c:extLst>
            <c:ext xmlns:c16="http://schemas.microsoft.com/office/drawing/2014/chart" uri="{C3380CC4-5D6E-409C-BE32-E72D297353CC}">
              <c16:uniqueId val="{00000001-FB9F-4C38-A1DD-26C8DE13FCA7}"/>
            </c:ext>
          </c:extLst>
        </c:ser>
        <c:ser>
          <c:idx val="2"/>
          <c:order val="2"/>
          <c:tx>
            <c:strRef>
              <c:f>多介质下KV不同!$A$64</c:f>
              <c:strCache>
                <c:ptCount val="1"/>
                <c:pt idx="0">
                  <c:v>OptaneSSD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多介质下KV不同!$B$61:$D$61</c:f>
              <c:strCache>
                <c:ptCount val="3"/>
                <c:pt idx="0">
                  <c:v>Seq Write</c:v>
                </c:pt>
                <c:pt idx="1">
                  <c:v>Rand Write</c:v>
                </c:pt>
                <c:pt idx="2">
                  <c:v>Update</c:v>
                </c:pt>
              </c:strCache>
            </c:strRef>
          </c:cat>
          <c:val>
            <c:numRef>
              <c:f>多介质下KV不同!$B$64:$D$64</c:f>
              <c:numCache>
                <c:formatCode>General</c:formatCode>
                <c:ptCount val="3"/>
                <c:pt idx="0">
                  <c:v>255.1</c:v>
                </c:pt>
                <c:pt idx="1">
                  <c:v>177.3</c:v>
                </c:pt>
                <c:pt idx="2">
                  <c:v>205.5</c:v>
                </c:pt>
              </c:numCache>
            </c:numRef>
          </c:val>
          <c:extLst>
            <c:ext xmlns:c16="http://schemas.microsoft.com/office/drawing/2014/chart" uri="{C3380CC4-5D6E-409C-BE32-E72D297353CC}">
              <c16:uniqueId val="{00000002-FB9F-4C38-A1DD-26C8DE13FCA7}"/>
            </c:ext>
          </c:extLst>
        </c:ser>
        <c:dLbls>
          <c:showLegendKey val="0"/>
          <c:showVal val="0"/>
          <c:showCatName val="0"/>
          <c:showSerName val="0"/>
          <c:showPercent val="0"/>
          <c:showBubbleSize val="0"/>
        </c:dLbls>
        <c:gapWidth val="100"/>
        <c:overlap val="-24"/>
        <c:axId val="405735024"/>
        <c:axId val="411021456"/>
      </c:barChart>
      <c:catAx>
        <c:axId val="4057350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411021456"/>
        <c:crosses val="autoZero"/>
        <c:auto val="1"/>
        <c:lblAlgn val="ctr"/>
        <c:lblOffset val="100"/>
        <c:noMultiLvlLbl val="0"/>
      </c:catAx>
      <c:valAx>
        <c:axId val="4110214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405735024"/>
        <c:crosses val="autoZero"/>
        <c:crossBetween val="between"/>
      </c:valAx>
      <c:spPr>
        <a:noFill/>
        <a:ln>
          <a:noFill/>
        </a:ln>
        <a:effectLst/>
      </c:spPr>
    </c:plotArea>
    <c:legend>
      <c:legendPos val="b"/>
      <c:layout>
        <c:manualLayout>
          <c:xMode val="edge"/>
          <c:yMode val="edge"/>
          <c:x val="0.27560337063492929"/>
          <c:y val="0.90443328132031975"/>
          <c:w val="0.45368509689404918"/>
          <c:h val="8.00458057691963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82522132919915"/>
          <c:y val="7.2314776854302029E-2"/>
          <c:w val="0.75617477867080085"/>
          <c:h val="0.76728928809544517"/>
        </c:manualLayout>
      </c:layout>
      <c:barChart>
        <c:barDir val="col"/>
        <c:grouping val="clustered"/>
        <c:varyColors val="0"/>
        <c:ser>
          <c:idx val="0"/>
          <c:order val="0"/>
          <c:tx>
            <c:strRef>
              <c:f>多介质下KV不同!$A$62</c:f>
              <c:strCache>
                <c:ptCount val="1"/>
                <c:pt idx="0">
                  <c:v>HDD</c:v>
                </c:pt>
              </c:strCache>
            </c:strRef>
          </c:tx>
          <c:spPr>
            <a:solidFill>
              <a:schemeClr val="accent1"/>
            </a:solidFill>
            <a:ln>
              <a:noFill/>
            </a:ln>
            <a:effectLst/>
          </c:spPr>
          <c:invertIfNegative val="0"/>
          <c:cat>
            <c:strRef>
              <c:f>多介质下KV不同!$E$61</c:f>
              <c:strCache>
                <c:ptCount val="1"/>
                <c:pt idx="0">
                  <c:v>Seq Read</c:v>
                </c:pt>
              </c:strCache>
            </c:strRef>
          </c:cat>
          <c:val>
            <c:numRef>
              <c:f>多介质下KV不同!$E$62</c:f>
              <c:numCache>
                <c:formatCode>General</c:formatCode>
                <c:ptCount val="1"/>
                <c:pt idx="0">
                  <c:v>48.4</c:v>
                </c:pt>
              </c:numCache>
            </c:numRef>
          </c:val>
          <c:extLst>
            <c:ext xmlns:c16="http://schemas.microsoft.com/office/drawing/2014/chart" uri="{C3380CC4-5D6E-409C-BE32-E72D297353CC}">
              <c16:uniqueId val="{00000000-1AF3-4B68-9B64-94022E4ADBAD}"/>
            </c:ext>
          </c:extLst>
        </c:ser>
        <c:ser>
          <c:idx val="1"/>
          <c:order val="1"/>
          <c:tx>
            <c:strRef>
              <c:f>多介质下KV不同!$A$63</c:f>
              <c:strCache>
                <c:ptCount val="1"/>
                <c:pt idx="0">
                  <c:v>Flash-based SSD</c:v>
                </c:pt>
              </c:strCache>
            </c:strRef>
          </c:tx>
          <c:spPr>
            <a:solidFill>
              <a:schemeClr val="accent2"/>
            </a:solidFill>
            <a:ln>
              <a:noFill/>
            </a:ln>
            <a:effectLst/>
          </c:spPr>
          <c:invertIfNegative val="0"/>
          <c:cat>
            <c:strRef>
              <c:f>多介质下KV不同!$E$61</c:f>
              <c:strCache>
                <c:ptCount val="1"/>
                <c:pt idx="0">
                  <c:v>Seq Read</c:v>
                </c:pt>
              </c:strCache>
            </c:strRef>
          </c:cat>
          <c:val>
            <c:numRef>
              <c:f>多介质下KV不同!$E$63</c:f>
              <c:numCache>
                <c:formatCode>General</c:formatCode>
                <c:ptCount val="1"/>
                <c:pt idx="0">
                  <c:v>458</c:v>
                </c:pt>
              </c:numCache>
            </c:numRef>
          </c:val>
          <c:extLst>
            <c:ext xmlns:c16="http://schemas.microsoft.com/office/drawing/2014/chart" uri="{C3380CC4-5D6E-409C-BE32-E72D297353CC}">
              <c16:uniqueId val="{00000003-1AF3-4B68-9B64-94022E4ADBAD}"/>
            </c:ext>
          </c:extLst>
        </c:ser>
        <c:ser>
          <c:idx val="2"/>
          <c:order val="2"/>
          <c:tx>
            <c:strRef>
              <c:f>多介质下KV不同!$A$64</c:f>
              <c:strCache>
                <c:ptCount val="1"/>
                <c:pt idx="0">
                  <c:v>OptaneSSD</c:v>
                </c:pt>
              </c:strCache>
            </c:strRef>
          </c:tx>
          <c:spPr>
            <a:solidFill>
              <a:schemeClr val="accent3"/>
            </a:solidFill>
            <a:ln>
              <a:noFill/>
            </a:ln>
            <a:effectLst/>
          </c:spPr>
          <c:invertIfNegative val="0"/>
          <c:cat>
            <c:strRef>
              <c:f>多介质下KV不同!$E$61</c:f>
              <c:strCache>
                <c:ptCount val="1"/>
                <c:pt idx="0">
                  <c:v>Seq Read</c:v>
                </c:pt>
              </c:strCache>
            </c:strRef>
          </c:cat>
          <c:val>
            <c:numRef>
              <c:f>多介质下KV不同!$E$64</c:f>
              <c:numCache>
                <c:formatCode>General</c:formatCode>
                <c:ptCount val="1"/>
                <c:pt idx="0">
                  <c:v>365</c:v>
                </c:pt>
              </c:numCache>
            </c:numRef>
          </c:val>
          <c:extLst>
            <c:ext xmlns:c16="http://schemas.microsoft.com/office/drawing/2014/chart" uri="{C3380CC4-5D6E-409C-BE32-E72D297353CC}">
              <c16:uniqueId val="{00000004-1AF3-4B68-9B64-94022E4ADBAD}"/>
            </c:ext>
          </c:extLst>
        </c:ser>
        <c:dLbls>
          <c:showLegendKey val="0"/>
          <c:showVal val="0"/>
          <c:showCatName val="0"/>
          <c:showSerName val="0"/>
          <c:showPercent val="0"/>
          <c:showBubbleSize val="0"/>
        </c:dLbls>
        <c:gapWidth val="219"/>
        <c:overlap val="-27"/>
        <c:axId val="339772720"/>
        <c:axId val="475430480"/>
      </c:barChart>
      <c:catAx>
        <c:axId val="33977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altLang="en-US" sz="900" b="0" i="0" u="none" strike="noStrike" kern="1200" baseline="0">
                <a:solidFill>
                  <a:schemeClr val="tx2"/>
                </a:solidFill>
                <a:latin typeface="+mn-lt"/>
                <a:ea typeface="+mn-ea"/>
                <a:cs typeface="+mn-cs"/>
              </a:defRPr>
            </a:pPr>
            <a:endParaRPr lang="zh-CN"/>
          </a:p>
        </c:txPr>
        <c:crossAx val="475430480"/>
        <c:crosses val="autoZero"/>
        <c:auto val="1"/>
        <c:lblAlgn val="ctr"/>
        <c:lblOffset val="100"/>
        <c:noMultiLvlLbl val="0"/>
      </c:catAx>
      <c:valAx>
        <c:axId val="47543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altLang="en-US" sz="900" b="0" i="0" u="none" strike="noStrike" kern="1200" baseline="0">
                <a:solidFill>
                  <a:schemeClr val="tx2"/>
                </a:solidFill>
                <a:latin typeface="+mn-lt"/>
                <a:ea typeface="+mn-ea"/>
                <a:cs typeface="+mn-cs"/>
              </a:defRPr>
            </a:pPr>
            <a:endParaRPr lang="zh-CN"/>
          </a:p>
        </c:txPr>
        <c:crossAx val="33977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27000"/>
    </a:effectLst>
  </c:spPr>
  <c:txPr>
    <a:bodyPr/>
    <a:lstStyle/>
    <a:p>
      <a:pPr>
        <a:defRPr lang="zh-CN" altLang="en-US" sz="900" b="0" i="0" u="none" strike="noStrike" kern="1200" baseline="0">
          <a:solidFill>
            <a:schemeClr val="tx2"/>
          </a:solidFill>
          <a:latin typeface="+mn-lt"/>
          <a:ea typeface="+mn-ea"/>
          <a:cs typeface="+mn-cs"/>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45334450793566"/>
          <c:y val="6.8429237947122856E-2"/>
          <c:w val="0.84754665549206432"/>
          <c:h val="0.77979304686447626"/>
        </c:manualLayout>
      </c:layout>
      <c:barChart>
        <c:barDir val="col"/>
        <c:grouping val="clustered"/>
        <c:varyColors val="0"/>
        <c:ser>
          <c:idx val="0"/>
          <c:order val="0"/>
          <c:tx>
            <c:strRef>
              <c:f>多介质下KV不同!$A$62</c:f>
              <c:strCache>
                <c:ptCount val="1"/>
                <c:pt idx="0">
                  <c:v>HDD</c:v>
                </c:pt>
              </c:strCache>
            </c:strRef>
          </c:tx>
          <c:spPr>
            <a:solidFill>
              <a:schemeClr val="accent1"/>
            </a:solidFill>
            <a:ln>
              <a:noFill/>
            </a:ln>
            <a:effectLst/>
          </c:spPr>
          <c:invertIfNegative val="0"/>
          <c:cat>
            <c:strRef>
              <c:f>多介质下KV不同!$F$61</c:f>
              <c:strCache>
                <c:ptCount val="1"/>
                <c:pt idx="0">
                  <c:v>Rand Read</c:v>
                </c:pt>
              </c:strCache>
            </c:strRef>
          </c:cat>
          <c:val>
            <c:numRef>
              <c:f>多介质下KV不同!$F$62</c:f>
              <c:numCache>
                <c:formatCode>General</c:formatCode>
                <c:ptCount val="1"/>
                <c:pt idx="0">
                  <c:v>0.3</c:v>
                </c:pt>
              </c:numCache>
            </c:numRef>
          </c:val>
          <c:extLst>
            <c:ext xmlns:c16="http://schemas.microsoft.com/office/drawing/2014/chart" uri="{C3380CC4-5D6E-409C-BE32-E72D297353CC}">
              <c16:uniqueId val="{00000000-7C0E-4C6B-B16F-D257F2001442}"/>
            </c:ext>
          </c:extLst>
        </c:ser>
        <c:ser>
          <c:idx val="1"/>
          <c:order val="1"/>
          <c:tx>
            <c:strRef>
              <c:f>多介质下KV不同!$A$63</c:f>
              <c:strCache>
                <c:ptCount val="1"/>
                <c:pt idx="0">
                  <c:v>Flash-based SSD</c:v>
                </c:pt>
              </c:strCache>
            </c:strRef>
          </c:tx>
          <c:spPr>
            <a:solidFill>
              <a:schemeClr val="accent2"/>
            </a:solidFill>
            <a:ln>
              <a:noFill/>
            </a:ln>
            <a:effectLst/>
          </c:spPr>
          <c:invertIfNegative val="0"/>
          <c:cat>
            <c:strRef>
              <c:f>多介质下KV不同!$F$61</c:f>
              <c:strCache>
                <c:ptCount val="1"/>
                <c:pt idx="0">
                  <c:v>Rand Read</c:v>
                </c:pt>
              </c:strCache>
            </c:strRef>
          </c:cat>
          <c:val>
            <c:numRef>
              <c:f>多介质下KV不同!$F$63</c:f>
              <c:numCache>
                <c:formatCode>General</c:formatCode>
                <c:ptCount val="1"/>
                <c:pt idx="0">
                  <c:v>6.2</c:v>
                </c:pt>
              </c:numCache>
            </c:numRef>
          </c:val>
          <c:extLst>
            <c:ext xmlns:c16="http://schemas.microsoft.com/office/drawing/2014/chart" uri="{C3380CC4-5D6E-409C-BE32-E72D297353CC}">
              <c16:uniqueId val="{00000003-7C0E-4C6B-B16F-D257F2001442}"/>
            </c:ext>
          </c:extLst>
        </c:ser>
        <c:ser>
          <c:idx val="2"/>
          <c:order val="2"/>
          <c:tx>
            <c:strRef>
              <c:f>多介质下KV不同!$A$64</c:f>
              <c:strCache>
                <c:ptCount val="1"/>
                <c:pt idx="0">
                  <c:v>OptaneSSD</c:v>
                </c:pt>
              </c:strCache>
            </c:strRef>
          </c:tx>
          <c:spPr>
            <a:solidFill>
              <a:schemeClr val="accent3"/>
            </a:solidFill>
            <a:ln>
              <a:noFill/>
            </a:ln>
            <a:effectLst/>
          </c:spPr>
          <c:invertIfNegative val="0"/>
          <c:cat>
            <c:strRef>
              <c:f>多介质下KV不同!$F$61</c:f>
              <c:strCache>
                <c:ptCount val="1"/>
                <c:pt idx="0">
                  <c:v>Rand Read</c:v>
                </c:pt>
              </c:strCache>
            </c:strRef>
          </c:cat>
          <c:val>
            <c:numRef>
              <c:f>多介质下KV不同!$F$64</c:f>
              <c:numCache>
                <c:formatCode>General</c:formatCode>
                <c:ptCount val="1"/>
                <c:pt idx="0">
                  <c:v>19.5</c:v>
                </c:pt>
              </c:numCache>
            </c:numRef>
          </c:val>
          <c:extLst>
            <c:ext xmlns:c16="http://schemas.microsoft.com/office/drawing/2014/chart" uri="{C3380CC4-5D6E-409C-BE32-E72D297353CC}">
              <c16:uniqueId val="{00000004-7C0E-4C6B-B16F-D257F2001442}"/>
            </c:ext>
          </c:extLst>
        </c:ser>
        <c:dLbls>
          <c:showLegendKey val="0"/>
          <c:showVal val="0"/>
          <c:showCatName val="0"/>
          <c:showSerName val="0"/>
          <c:showPercent val="0"/>
          <c:showBubbleSize val="0"/>
        </c:dLbls>
        <c:gapWidth val="219"/>
        <c:overlap val="-27"/>
        <c:axId val="144272992"/>
        <c:axId val="475440464"/>
      </c:barChart>
      <c:catAx>
        <c:axId val="14427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5440464"/>
        <c:crosses val="autoZero"/>
        <c:auto val="1"/>
        <c:lblAlgn val="ctr"/>
        <c:lblOffset val="100"/>
        <c:noMultiLvlLbl val="0"/>
      </c:catAx>
      <c:valAx>
        <c:axId val="47544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427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ltLang="zh-CN"/>
              <a:t>KQPS,</a:t>
            </a:r>
            <a:r>
              <a:rPr lang="en-US" altLang="zh-CN" baseline="0"/>
              <a:t> 28B key and 1KB value</a:t>
            </a:r>
            <a:endParaRPr lang="zh-C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manualLayout>
          <c:layoutTarget val="inner"/>
          <c:xMode val="edge"/>
          <c:yMode val="edge"/>
          <c:x val="4.4063028706777509E-2"/>
          <c:y val="0.18300925925925926"/>
          <c:w val="0.47914602138147366"/>
          <c:h val="0.64198612721996895"/>
        </c:manualLayout>
      </c:layout>
      <c:barChart>
        <c:barDir val="col"/>
        <c:grouping val="clustered"/>
        <c:varyColors val="0"/>
        <c:ser>
          <c:idx val="0"/>
          <c:order val="0"/>
          <c:tx>
            <c:strRef>
              <c:f>多介质下KV不同!$H$62</c:f>
              <c:strCache>
                <c:ptCount val="1"/>
                <c:pt idx="0">
                  <c:v>HDD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多介质下KV不同!$I$61:$K$61</c:f>
              <c:strCache>
                <c:ptCount val="3"/>
                <c:pt idx="0">
                  <c:v>Seq Write</c:v>
                </c:pt>
                <c:pt idx="1">
                  <c:v>Rand Write</c:v>
                </c:pt>
                <c:pt idx="2">
                  <c:v>Update</c:v>
                </c:pt>
              </c:strCache>
            </c:strRef>
          </c:cat>
          <c:val>
            <c:numRef>
              <c:f>多介质下KV不同!$I$62:$K$62</c:f>
              <c:numCache>
                <c:formatCode>General</c:formatCode>
                <c:ptCount val="3"/>
                <c:pt idx="0">
                  <c:v>49</c:v>
                </c:pt>
                <c:pt idx="1">
                  <c:v>42</c:v>
                </c:pt>
                <c:pt idx="2">
                  <c:v>30</c:v>
                </c:pt>
              </c:numCache>
            </c:numRef>
          </c:val>
          <c:extLst>
            <c:ext xmlns:c16="http://schemas.microsoft.com/office/drawing/2014/chart" uri="{C3380CC4-5D6E-409C-BE32-E72D297353CC}">
              <c16:uniqueId val="{00000000-0AA1-464F-87EE-669064ABB9DD}"/>
            </c:ext>
          </c:extLst>
        </c:ser>
        <c:ser>
          <c:idx val="1"/>
          <c:order val="1"/>
          <c:tx>
            <c:strRef>
              <c:f>多介质下KV不同!$H$63</c:f>
              <c:strCache>
                <c:ptCount val="1"/>
                <c:pt idx="0">
                  <c:v>Flash-based SSD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多介质下KV不同!$I$61:$K$61</c:f>
              <c:strCache>
                <c:ptCount val="3"/>
                <c:pt idx="0">
                  <c:v>Seq Write</c:v>
                </c:pt>
                <c:pt idx="1">
                  <c:v>Rand Write</c:v>
                </c:pt>
                <c:pt idx="2">
                  <c:v>Update</c:v>
                </c:pt>
              </c:strCache>
            </c:strRef>
          </c:cat>
          <c:val>
            <c:numRef>
              <c:f>多介质下KV不同!$I$63:$K$63</c:f>
              <c:numCache>
                <c:formatCode>General</c:formatCode>
                <c:ptCount val="3"/>
                <c:pt idx="0">
                  <c:v>295</c:v>
                </c:pt>
                <c:pt idx="1">
                  <c:v>189</c:v>
                </c:pt>
                <c:pt idx="2">
                  <c:v>192</c:v>
                </c:pt>
              </c:numCache>
            </c:numRef>
          </c:val>
          <c:extLst>
            <c:ext xmlns:c16="http://schemas.microsoft.com/office/drawing/2014/chart" uri="{C3380CC4-5D6E-409C-BE32-E72D297353CC}">
              <c16:uniqueId val="{00000001-0AA1-464F-87EE-669064ABB9DD}"/>
            </c:ext>
          </c:extLst>
        </c:ser>
        <c:ser>
          <c:idx val="2"/>
          <c:order val="2"/>
          <c:tx>
            <c:strRef>
              <c:f>多介质下KV不同!$H$64</c:f>
              <c:strCache>
                <c:ptCount val="1"/>
                <c:pt idx="0">
                  <c:v>OptaneSSD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多介质下KV不同!$I$61:$K$61</c:f>
              <c:strCache>
                <c:ptCount val="3"/>
                <c:pt idx="0">
                  <c:v>Seq Write</c:v>
                </c:pt>
                <c:pt idx="1">
                  <c:v>Rand Write</c:v>
                </c:pt>
                <c:pt idx="2">
                  <c:v>Update</c:v>
                </c:pt>
              </c:strCache>
            </c:strRef>
          </c:cat>
          <c:val>
            <c:numRef>
              <c:f>多介质下KV不同!$I$64:$K$64</c:f>
              <c:numCache>
                <c:formatCode>General</c:formatCode>
                <c:ptCount val="3"/>
                <c:pt idx="0">
                  <c:v>260</c:v>
                </c:pt>
                <c:pt idx="1">
                  <c:v>181</c:v>
                </c:pt>
                <c:pt idx="2">
                  <c:v>210</c:v>
                </c:pt>
              </c:numCache>
            </c:numRef>
          </c:val>
          <c:extLst>
            <c:ext xmlns:c16="http://schemas.microsoft.com/office/drawing/2014/chart" uri="{C3380CC4-5D6E-409C-BE32-E72D297353CC}">
              <c16:uniqueId val="{00000002-0AA1-464F-87EE-669064ABB9DD}"/>
            </c:ext>
          </c:extLst>
        </c:ser>
        <c:dLbls>
          <c:showLegendKey val="0"/>
          <c:showVal val="0"/>
          <c:showCatName val="0"/>
          <c:showSerName val="0"/>
          <c:showPercent val="0"/>
          <c:showBubbleSize val="0"/>
        </c:dLbls>
        <c:gapWidth val="100"/>
        <c:overlap val="-24"/>
        <c:axId val="405735024"/>
        <c:axId val="411021456"/>
      </c:barChart>
      <c:catAx>
        <c:axId val="4057350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411021456"/>
        <c:crosses val="autoZero"/>
        <c:auto val="1"/>
        <c:lblAlgn val="ctr"/>
        <c:lblOffset val="100"/>
        <c:noMultiLvlLbl val="0"/>
      </c:catAx>
      <c:valAx>
        <c:axId val="4110214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405735024"/>
        <c:crosses val="autoZero"/>
        <c:crossBetween val="between"/>
      </c:valAx>
      <c:spPr>
        <a:noFill/>
        <a:ln>
          <a:noFill/>
        </a:ln>
        <a:effectLst/>
      </c:spPr>
    </c:plotArea>
    <c:legend>
      <c:legendPos val="b"/>
      <c:layout>
        <c:manualLayout>
          <c:xMode val="edge"/>
          <c:yMode val="edge"/>
          <c:x val="0.27560337063492929"/>
          <c:y val="0.90443328132031975"/>
          <c:w val="0.45368509689404918"/>
          <c:h val="8.00458057691963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82522132919915"/>
          <c:y val="7.2314776854302029E-2"/>
          <c:w val="0.75617477867080085"/>
          <c:h val="0.76728928809544517"/>
        </c:manualLayout>
      </c:layout>
      <c:barChart>
        <c:barDir val="col"/>
        <c:grouping val="clustered"/>
        <c:varyColors val="0"/>
        <c:ser>
          <c:idx val="0"/>
          <c:order val="0"/>
          <c:tx>
            <c:strRef>
              <c:f>多介质下KV不同!$H$62</c:f>
              <c:strCache>
                <c:ptCount val="1"/>
                <c:pt idx="0">
                  <c:v>HDD</c:v>
                </c:pt>
              </c:strCache>
            </c:strRef>
          </c:tx>
          <c:spPr>
            <a:solidFill>
              <a:schemeClr val="accent1"/>
            </a:solidFill>
            <a:ln>
              <a:noFill/>
            </a:ln>
            <a:effectLst/>
          </c:spPr>
          <c:invertIfNegative val="0"/>
          <c:cat>
            <c:strRef>
              <c:f>多介质下KV不同!$L$61</c:f>
              <c:strCache>
                <c:ptCount val="1"/>
                <c:pt idx="0">
                  <c:v>Seq Read</c:v>
                </c:pt>
              </c:strCache>
            </c:strRef>
          </c:cat>
          <c:val>
            <c:numRef>
              <c:f>多介质下KV不同!$L$62</c:f>
              <c:numCache>
                <c:formatCode>General</c:formatCode>
                <c:ptCount val="1"/>
                <c:pt idx="0">
                  <c:v>49</c:v>
                </c:pt>
              </c:numCache>
            </c:numRef>
          </c:val>
          <c:extLst>
            <c:ext xmlns:c16="http://schemas.microsoft.com/office/drawing/2014/chart" uri="{C3380CC4-5D6E-409C-BE32-E72D297353CC}">
              <c16:uniqueId val="{00000000-6E50-4BED-A162-F34EDAC14DBD}"/>
            </c:ext>
          </c:extLst>
        </c:ser>
        <c:ser>
          <c:idx val="1"/>
          <c:order val="1"/>
          <c:tx>
            <c:strRef>
              <c:f>多介质下KV不同!$H$63</c:f>
              <c:strCache>
                <c:ptCount val="1"/>
                <c:pt idx="0">
                  <c:v>Flash-based SSD</c:v>
                </c:pt>
              </c:strCache>
            </c:strRef>
          </c:tx>
          <c:spPr>
            <a:solidFill>
              <a:schemeClr val="accent2"/>
            </a:solidFill>
            <a:ln>
              <a:noFill/>
            </a:ln>
            <a:effectLst/>
          </c:spPr>
          <c:invertIfNegative val="0"/>
          <c:cat>
            <c:strRef>
              <c:f>多介质下KV不同!$L$61</c:f>
              <c:strCache>
                <c:ptCount val="1"/>
                <c:pt idx="0">
                  <c:v>Seq Read</c:v>
                </c:pt>
              </c:strCache>
            </c:strRef>
          </c:cat>
          <c:val>
            <c:numRef>
              <c:f>多介质下KV不同!$L$63</c:f>
              <c:numCache>
                <c:formatCode>General</c:formatCode>
                <c:ptCount val="1"/>
                <c:pt idx="0">
                  <c:v>467</c:v>
                </c:pt>
              </c:numCache>
            </c:numRef>
          </c:val>
          <c:extLst>
            <c:ext xmlns:c16="http://schemas.microsoft.com/office/drawing/2014/chart" uri="{C3380CC4-5D6E-409C-BE32-E72D297353CC}">
              <c16:uniqueId val="{00000003-6E50-4BED-A162-F34EDAC14DBD}"/>
            </c:ext>
          </c:extLst>
        </c:ser>
        <c:ser>
          <c:idx val="2"/>
          <c:order val="2"/>
          <c:tx>
            <c:strRef>
              <c:f>多介质下KV不同!$H$64</c:f>
              <c:strCache>
                <c:ptCount val="1"/>
                <c:pt idx="0">
                  <c:v>OptaneSSD</c:v>
                </c:pt>
              </c:strCache>
            </c:strRef>
          </c:tx>
          <c:spPr>
            <a:solidFill>
              <a:schemeClr val="accent3"/>
            </a:solidFill>
            <a:ln>
              <a:noFill/>
            </a:ln>
            <a:effectLst/>
          </c:spPr>
          <c:invertIfNegative val="0"/>
          <c:cat>
            <c:strRef>
              <c:f>多介质下KV不同!$L$61</c:f>
              <c:strCache>
                <c:ptCount val="1"/>
                <c:pt idx="0">
                  <c:v>Seq Read</c:v>
                </c:pt>
              </c:strCache>
            </c:strRef>
          </c:cat>
          <c:val>
            <c:numRef>
              <c:f>多介质下KV不同!$L$64</c:f>
              <c:numCache>
                <c:formatCode>General</c:formatCode>
                <c:ptCount val="1"/>
                <c:pt idx="0">
                  <c:v>372</c:v>
                </c:pt>
              </c:numCache>
            </c:numRef>
          </c:val>
          <c:extLst>
            <c:ext xmlns:c16="http://schemas.microsoft.com/office/drawing/2014/chart" uri="{C3380CC4-5D6E-409C-BE32-E72D297353CC}">
              <c16:uniqueId val="{00000004-6E50-4BED-A162-F34EDAC14DBD}"/>
            </c:ext>
          </c:extLst>
        </c:ser>
        <c:dLbls>
          <c:showLegendKey val="0"/>
          <c:showVal val="0"/>
          <c:showCatName val="0"/>
          <c:showSerName val="0"/>
          <c:showPercent val="0"/>
          <c:showBubbleSize val="0"/>
        </c:dLbls>
        <c:gapWidth val="219"/>
        <c:overlap val="-27"/>
        <c:axId val="339772720"/>
        <c:axId val="475430480"/>
      </c:barChart>
      <c:catAx>
        <c:axId val="33977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altLang="en-US" sz="900" b="0" i="0" u="none" strike="noStrike" kern="1200" baseline="0">
                <a:solidFill>
                  <a:schemeClr val="tx2"/>
                </a:solidFill>
                <a:latin typeface="+mn-lt"/>
                <a:ea typeface="+mn-ea"/>
                <a:cs typeface="+mn-cs"/>
              </a:defRPr>
            </a:pPr>
            <a:endParaRPr lang="zh-CN"/>
          </a:p>
        </c:txPr>
        <c:crossAx val="475430480"/>
        <c:crosses val="autoZero"/>
        <c:auto val="1"/>
        <c:lblAlgn val="ctr"/>
        <c:lblOffset val="100"/>
        <c:noMultiLvlLbl val="0"/>
      </c:catAx>
      <c:valAx>
        <c:axId val="47543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altLang="en-US" sz="900" b="0" i="0" u="none" strike="noStrike" kern="1200" baseline="0">
                <a:solidFill>
                  <a:schemeClr val="tx2"/>
                </a:solidFill>
                <a:latin typeface="+mn-lt"/>
                <a:ea typeface="+mn-ea"/>
                <a:cs typeface="+mn-cs"/>
              </a:defRPr>
            </a:pPr>
            <a:endParaRPr lang="zh-CN"/>
          </a:p>
        </c:txPr>
        <c:crossAx val="33977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27000"/>
    </a:effectLst>
  </c:spPr>
  <c:txPr>
    <a:bodyPr/>
    <a:lstStyle/>
    <a:p>
      <a:pPr>
        <a:defRPr lang="zh-CN" altLang="en-US" sz="900" b="0" i="0" u="none" strike="noStrike" kern="1200" baseline="0">
          <a:solidFill>
            <a:schemeClr val="tx2"/>
          </a:solidFill>
          <a:latin typeface="+mn-lt"/>
          <a:ea typeface="+mn-ea"/>
          <a:cs typeface="+mn-cs"/>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45334450793566"/>
          <c:y val="6.8429237947122856E-2"/>
          <c:w val="0.84754665549206432"/>
          <c:h val="0.77979304686447626"/>
        </c:manualLayout>
      </c:layout>
      <c:barChart>
        <c:barDir val="col"/>
        <c:grouping val="clustered"/>
        <c:varyColors val="0"/>
        <c:ser>
          <c:idx val="0"/>
          <c:order val="0"/>
          <c:tx>
            <c:strRef>
              <c:f>多介质下KV不同!$H$62</c:f>
              <c:strCache>
                <c:ptCount val="1"/>
                <c:pt idx="0">
                  <c:v>HDD</c:v>
                </c:pt>
              </c:strCache>
            </c:strRef>
          </c:tx>
          <c:spPr>
            <a:solidFill>
              <a:schemeClr val="accent1"/>
            </a:solidFill>
            <a:ln>
              <a:noFill/>
            </a:ln>
            <a:effectLst/>
          </c:spPr>
          <c:invertIfNegative val="0"/>
          <c:cat>
            <c:strRef>
              <c:f>多介质下KV不同!$M$61</c:f>
              <c:strCache>
                <c:ptCount val="1"/>
                <c:pt idx="0">
                  <c:v>Rand Read</c:v>
                </c:pt>
              </c:strCache>
            </c:strRef>
          </c:cat>
          <c:val>
            <c:numRef>
              <c:f>多介质下KV不同!$M$62</c:f>
              <c:numCache>
                <c:formatCode>General</c:formatCode>
                <c:ptCount val="1"/>
                <c:pt idx="0">
                  <c:v>0.3</c:v>
                </c:pt>
              </c:numCache>
            </c:numRef>
          </c:val>
          <c:extLst>
            <c:ext xmlns:c16="http://schemas.microsoft.com/office/drawing/2014/chart" uri="{C3380CC4-5D6E-409C-BE32-E72D297353CC}">
              <c16:uniqueId val="{00000000-F80D-4861-ADAA-A3D02CBDE614}"/>
            </c:ext>
          </c:extLst>
        </c:ser>
        <c:ser>
          <c:idx val="1"/>
          <c:order val="1"/>
          <c:tx>
            <c:strRef>
              <c:f>多介质下KV不同!$H$63</c:f>
              <c:strCache>
                <c:ptCount val="1"/>
                <c:pt idx="0">
                  <c:v>Flash-based SSD</c:v>
                </c:pt>
              </c:strCache>
            </c:strRef>
          </c:tx>
          <c:spPr>
            <a:solidFill>
              <a:schemeClr val="accent2"/>
            </a:solidFill>
            <a:ln>
              <a:noFill/>
            </a:ln>
            <a:effectLst/>
          </c:spPr>
          <c:invertIfNegative val="0"/>
          <c:cat>
            <c:strRef>
              <c:f>多介质下KV不同!$M$61</c:f>
              <c:strCache>
                <c:ptCount val="1"/>
                <c:pt idx="0">
                  <c:v>Rand Read</c:v>
                </c:pt>
              </c:strCache>
            </c:strRef>
          </c:cat>
          <c:val>
            <c:numRef>
              <c:f>多介质下KV不同!$M$63</c:f>
              <c:numCache>
                <c:formatCode>General</c:formatCode>
                <c:ptCount val="1"/>
                <c:pt idx="0">
                  <c:v>6</c:v>
                </c:pt>
              </c:numCache>
            </c:numRef>
          </c:val>
          <c:extLst>
            <c:ext xmlns:c16="http://schemas.microsoft.com/office/drawing/2014/chart" uri="{C3380CC4-5D6E-409C-BE32-E72D297353CC}">
              <c16:uniqueId val="{00000003-F80D-4861-ADAA-A3D02CBDE614}"/>
            </c:ext>
          </c:extLst>
        </c:ser>
        <c:ser>
          <c:idx val="2"/>
          <c:order val="2"/>
          <c:tx>
            <c:strRef>
              <c:f>多介质下KV不同!$H$64</c:f>
              <c:strCache>
                <c:ptCount val="1"/>
                <c:pt idx="0">
                  <c:v>OptaneSSD</c:v>
                </c:pt>
              </c:strCache>
            </c:strRef>
          </c:tx>
          <c:spPr>
            <a:solidFill>
              <a:schemeClr val="accent3"/>
            </a:solidFill>
            <a:ln>
              <a:noFill/>
            </a:ln>
            <a:effectLst/>
          </c:spPr>
          <c:invertIfNegative val="0"/>
          <c:cat>
            <c:strRef>
              <c:f>多介质下KV不同!$M$61</c:f>
              <c:strCache>
                <c:ptCount val="1"/>
                <c:pt idx="0">
                  <c:v>Rand Read</c:v>
                </c:pt>
              </c:strCache>
            </c:strRef>
          </c:cat>
          <c:val>
            <c:numRef>
              <c:f>多介质下KV不同!$M$64</c:f>
              <c:numCache>
                <c:formatCode>General</c:formatCode>
                <c:ptCount val="1"/>
                <c:pt idx="0">
                  <c:v>20</c:v>
                </c:pt>
              </c:numCache>
            </c:numRef>
          </c:val>
          <c:extLst>
            <c:ext xmlns:c16="http://schemas.microsoft.com/office/drawing/2014/chart" uri="{C3380CC4-5D6E-409C-BE32-E72D297353CC}">
              <c16:uniqueId val="{00000004-F80D-4861-ADAA-A3D02CBDE614}"/>
            </c:ext>
          </c:extLst>
        </c:ser>
        <c:dLbls>
          <c:showLegendKey val="0"/>
          <c:showVal val="0"/>
          <c:showCatName val="0"/>
          <c:showSerName val="0"/>
          <c:showPercent val="0"/>
          <c:showBubbleSize val="0"/>
        </c:dLbls>
        <c:gapWidth val="219"/>
        <c:overlap val="-27"/>
        <c:axId val="144272992"/>
        <c:axId val="475440464"/>
      </c:barChart>
      <c:catAx>
        <c:axId val="14427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5440464"/>
        <c:crosses val="autoZero"/>
        <c:auto val="1"/>
        <c:lblAlgn val="ctr"/>
        <c:lblOffset val="100"/>
        <c:noMultiLvlLbl val="0"/>
      </c:catAx>
      <c:valAx>
        <c:axId val="47544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427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tockChart>
        <c:ser>
          <c:idx val="0"/>
          <c:order val="0"/>
          <c:tx>
            <c:strRef>
              <c:f>Sheet1!$A$5</c:f>
              <c:strCache>
                <c:ptCount val="1"/>
              </c:strCache>
            </c:strRef>
          </c:tx>
          <c:spPr>
            <a:ln w="19050" cap="rnd">
              <a:noFill/>
              <a:round/>
            </a:ln>
            <a:effectLst/>
          </c:spPr>
          <c:marker>
            <c:symbol val="none"/>
          </c:marker>
          <c:cat>
            <c:strRef>
              <c:f>Sheet1!$B$4:$F$4</c:f>
              <c:strCache>
                <c:ptCount val="5"/>
                <c:pt idx="0">
                  <c:v>HDD</c:v>
                </c:pt>
                <c:pt idx="1">
                  <c:v>SATA SSD</c:v>
                </c:pt>
                <c:pt idx="2">
                  <c:v>QLC SSD</c:v>
                </c:pt>
                <c:pt idx="3">
                  <c:v>TLC SSD</c:v>
                </c:pt>
                <c:pt idx="4">
                  <c:v>FAST SSD</c:v>
                </c:pt>
              </c:strCache>
            </c:strRef>
          </c:cat>
          <c:val>
            <c:numRef>
              <c:f>Sheet1!$B$5:$F$5</c:f>
              <c:numCache>
                <c:formatCode>General</c:formatCode>
                <c:ptCount val="5"/>
                <c:pt idx="0">
                  <c:v>100</c:v>
                </c:pt>
                <c:pt idx="1">
                  <c:v>300</c:v>
                </c:pt>
                <c:pt idx="2">
                  <c:v>50</c:v>
                </c:pt>
                <c:pt idx="3">
                  <c:v>400</c:v>
                </c:pt>
                <c:pt idx="4">
                  <c:v>2500</c:v>
                </c:pt>
              </c:numCache>
            </c:numRef>
          </c:val>
          <c:smooth val="0"/>
          <c:extLst>
            <c:ext xmlns:c16="http://schemas.microsoft.com/office/drawing/2014/chart" uri="{C3380CC4-5D6E-409C-BE32-E72D297353CC}">
              <c16:uniqueId val="{00000000-6BFE-49CE-BCC2-4A129D4A1596}"/>
            </c:ext>
          </c:extLst>
        </c:ser>
        <c:ser>
          <c:idx val="1"/>
          <c:order val="1"/>
          <c:tx>
            <c:strRef>
              <c:f>Sheet1!$A$6</c:f>
              <c:strCache>
                <c:ptCount val="1"/>
              </c:strCache>
            </c:strRef>
          </c:tx>
          <c:spPr>
            <a:ln w="19050" cap="rnd">
              <a:noFill/>
              <a:round/>
            </a:ln>
            <a:effectLst/>
          </c:spPr>
          <c:marker>
            <c:symbol val="none"/>
          </c:marker>
          <c:cat>
            <c:strRef>
              <c:f>Sheet1!$B$4:$F$4</c:f>
              <c:strCache>
                <c:ptCount val="5"/>
                <c:pt idx="0">
                  <c:v>HDD</c:v>
                </c:pt>
                <c:pt idx="1">
                  <c:v>SATA SSD</c:v>
                </c:pt>
                <c:pt idx="2">
                  <c:v>QLC SSD</c:v>
                </c:pt>
                <c:pt idx="3">
                  <c:v>TLC SSD</c:v>
                </c:pt>
                <c:pt idx="4">
                  <c:v>FAST SSD</c:v>
                </c:pt>
              </c:strCache>
            </c:strRef>
          </c:cat>
          <c:val>
            <c:numRef>
              <c:f>Sheet1!$B$6:$F$6</c:f>
              <c:numCache>
                <c:formatCode>General</c:formatCode>
                <c:ptCount val="5"/>
                <c:pt idx="0">
                  <c:v>100</c:v>
                </c:pt>
                <c:pt idx="1">
                  <c:v>300</c:v>
                </c:pt>
                <c:pt idx="2">
                  <c:v>50</c:v>
                </c:pt>
                <c:pt idx="3">
                  <c:v>400</c:v>
                </c:pt>
                <c:pt idx="4">
                  <c:v>2500</c:v>
                </c:pt>
              </c:numCache>
            </c:numRef>
          </c:val>
          <c:smooth val="0"/>
          <c:extLst>
            <c:ext xmlns:c16="http://schemas.microsoft.com/office/drawing/2014/chart" uri="{C3380CC4-5D6E-409C-BE32-E72D297353CC}">
              <c16:uniqueId val="{00000001-6BFE-49CE-BCC2-4A129D4A1596}"/>
            </c:ext>
          </c:extLst>
        </c:ser>
        <c:ser>
          <c:idx val="2"/>
          <c:order val="2"/>
          <c:tx>
            <c:strRef>
              <c:f>Sheet1!$A$7</c:f>
              <c:strCache>
                <c:ptCount val="1"/>
              </c:strCache>
            </c:strRef>
          </c:tx>
          <c:spPr>
            <a:ln w="19050" cap="rnd">
              <a:noFill/>
              <a:round/>
            </a:ln>
            <a:effectLst/>
          </c:spPr>
          <c:marker>
            <c:symbol val="none"/>
          </c:marker>
          <c:cat>
            <c:strRef>
              <c:f>Sheet1!$B$4:$F$4</c:f>
              <c:strCache>
                <c:ptCount val="5"/>
                <c:pt idx="0">
                  <c:v>HDD</c:v>
                </c:pt>
                <c:pt idx="1">
                  <c:v>SATA SSD</c:v>
                </c:pt>
                <c:pt idx="2">
                  <c:v>QLC SSD</c:v>
                </c:pt>
                <c:pt idx="3">
                  <c:v>TLC SSD</c:v>
                </c:pt>
                <c:pt idx="4">
                  <c:v>FAST SSD</c:v>
                </c:pt>
              </c:strCache>
            </c:strRef>
          </c:cat>
          <c:val>
            <c:numRef>
              <c:f>Sheet1!$B$7:$F$7</c:f>
              <c:numCache>
                <c:formatCode>General</c:formatCode>
                <c:ptCount val="5"/>
                <c:pt idx="0">
                  <c:v>100</c:v>
                </c:pt>
                <c:pt idx="1">
                  <c:v>500</c:v>
                </c:pt>
                <c:pt idx="2">
                  <c:v>1800</c:v>
                </c:pt>
                <c:pt idx="3">
                  <c:v>2000</c:v>
                </c:pt>
                <c:pt idx="4">
                  <c:v>2500</c:v>
                </c:pt>
              </c:numCache>
            </c:numRef>
          </c:val>
          <c:smooth val="0"/>
          <c:extLst>
            <c:ext xmlns:c16="http://schemas.microsoft.com/office/drawing/2014/chart" uri="{C3380CC4-5D6E-409C-BE32-E72D297353CC}">
              <c16:uniqueId val="{00000002-6BFE-49CE-BCC2-4A129D4A1596}"/>
            </c:ext>
          </c:extLst>
        </c:ser>
        <c:ser>
          <c:idx val="3"/>
          <c:order val="3"/>
          <c:tx>
            <c:strRef>
              <c:f>Sheet1!$A$8</c:f>
              <c:strCache>
                <c:ptCount val="1"/>
              </c:strCache>
            </c:strRef>
          </c:tx>
          <c:spPr>
            <a:ln w="19050" cap="rnd">
              <a:noFill/>
              <a:round/>
            </a:ln>
            <a:effectLst/>
          </c:spPr>
          <c:marker>
            <c:symbol val="none"/>
          </c:marker>
          <c:cat>
            <c:strRef>
              <c:f>Sheet1!$B$4:$F$4</c:f>
              <c:strCache>
                <c:ptCount val="5"/>
                <c:pt idx="0">
                  <c:v>HDD</c:v>
                </c:pt>
                <c:pt idx="1">
                  <c:v>SATA SSD</c:v>
                </c:pt>
                <c:pt idx="2">
                  <c:v>QLC SSD</c:v>
                </c:pt>
                <c:pt idx="3">
                  <c:v>TLC SSD</c:v>
                </c:pt>
                <c:pt idx="4">
                  <c:v>FAST SSD</c:v>
                </c:pt>
              </c:strCache>
            </c:strRef>
          </c:cat>
          <c:val>
            <c:numRef>
              <c:f>Sheet1!$B$8:$F$8</c:f>
              <c:numCache>
                <c:formatCode>General</c:formatCode>
                <c:ptCount val="5"/>
                <c:pt idx="0">
                  <c:v>100</c:v>
                </c:pt>
                <c:pt idx="1">
                  <c:v>500</c:v>
                </c:pt>
                <c:pt idx="2">
                  <c:v>1800</c:v>
                </c:pt>
                <c:pt idx="3">
                  <c:v>2000</c:v>
                </c:pt>
                <c:pt idx="4">
                  <c:v>2500</c:v>
                </c:pt>
              </c:numCache>
            </c:numRef>
          </c:val>
          <c:smooth val="0"/>
          <c:extLst>
            <c:ext xmlns:c16="http://schemas.microsoft.com/office/drawing/2014/chart" uri="{C3380CC4-5D6E-409C-BE32-E72D297353CC}">
              <c16:uniqueId val="{00000003-6BFE-49CE-BCC2-4A129D4A1596}"/>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upDownBars>
          <c:gapWidth val="150"/>
          <c:upBars>
            <c:spPr>
              <a:solidFill>
                <a:schemeClr val="accent1"/>
              </a:solidFill>
              <a:ln w="9525" cap="flat" cmpd="sng" algn="ctr">
                <a:solidFill>
                  <a:schemeClr val="tx1">
                    <a:lumMod val="65000"/>
                    <a:lumOff val="35000"/>
                  </a:schemeClr>
                </a:solidFill>
                <a:round/>
              </a:ln>
              <a:effectLst/>
            </c:spPr>
          </c:upBars>
          <c:downBars>
            <c:spPr>
              <a:solidFill>
                <a:schemeClr val="dk1">
                  <a:lumMod val="75000"/>
                  <a:lumOff val="25000"/>
                </a:schemeClr>
              </a:solidFill>
              <a:ln w="9525" cap="flat" cmpd="sng" algn="ctr">
                <a:solidFill>
                  <a:schemeClr val="tx1">
                    <a:lumMod val="65000"/>
                    <a:lumOff val="35000"/>
                  </a:schemeClr>
                </a:solidFill>
                <a:round/>
              </a:ln>
              <a:effectLst/>
            </c:spPr>
          </c:downBars>
        </c:upDownBars>
        <c:axId val="354321536"/>
        <c:axId val="119769200"/>
      </c:stockChart>
      <c:catAx>
        <c:axId val="35432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9769200"/>
        <c:crosses val="autoZero"/>
        <c:auto val="1"/>
        <c:lblAlgn val="ctr"/>
        <c:lblOffset val="100"/>
        <c:noMultiLvlLbl val="0"/>
      </c:catAx>
      <c:valAx>
        <c:axId val="11976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54321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76200" dir="5400000" sx="1000" sy="1000" algn="ctr" rotWithShape="0">
        <a:srgbClr val="000000">
          <a:alpha val="94000"/>
        </a:srgbClr>
      </a:outerShdw>
    </a:effectLst>
  </c:spPr>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sz="1600" b="1"/>
              <a:t>存储设备写入带宽对比（</a:t>
            </a:r>
            <a:r>
              <a:rPr lang="en-US" altLang="zh-CN" sz="1600" b="1"/>
              <a:t>MB/s)</a:t>
            </a:r>
            <a:endParaRPr lang="zh-CN" alt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spPr>
            <a:noFill/>
            <a:ln>
              <a:noFill/>
            </a:ln>
            <a:effectLst/>
          </c:spPr>
          <c:invertIfNegative val="0"/>
          <c:cat>
            <c:strRef>
              <c:f>Sheet1!$B$10:$F$10</c:f>
              <c:strCache>
                <c:ptCount val="5"/>
                <c:pt idx="0">
                  <c:v>HDD</c:v>
                </c:pt>
                <c:pt idx="1">
                  <c:v>SATA SSD</c:v>
                </c:pt>
                <c:pt idx="2">
                  <c:v>QLC SSD</c:v>
                </c:pt>
                <c:pt idx="3">
                  <c:v>TLC SSD</c:v>
                </c:pt>
                <c:pt idx="4">
                  <c:v>FAST SSD</c:v>
                </c:pt>
              </c:strCache>
            </c:strRef>
          </c:cat>
          <c:val>
            <c:numRef>
              <c:f>Sheet1!$B$11:$F$11</c:f>
              <c:numCache>
                <c:formatCode>General</c:formatCode>
                <c:ptCount val="5"/>
                <c:pt idx="0">
                  <c:v>75</c:v>
                </c:pt>
                <c:pt idx="1">
                  <c:v>300</c:v>
                </c:pt>
                <c:pt idx="2">
                  <c:v>50</c:v>
                </c:pt>
                <c:pt idx="3">
                  <c:v>400</c:v>
                </c:pt>
                <c:pt idx="4">
                  <c:v>2475</c:v>
                </c:pt>
              </c:numCache>
            </c:numRef>
          </c:val>
          <c:extLst>
            <c:ext xmlns:c16="http://schemas.microsoft.com/office/drawing/2014/chart" uri="{C3380CC4-5D6E-409C-BE32-E72D297353CC}">
              <c16:uniqueId val="{00000000-236B-4469-AA8F-6560D1334FEE}"/>
            </c:ext>
          </c:extLst>
        </c:ser>
        <c:ser>
          <c:idx val="1"/>
          <c:order val="1"/>
          <c:spPr>
            <a:solidFill>
              <a:srgbClr val="00B0F0"/>
            </a:solidFill>
            <a:ln>
              <a:solidFill>
                <a:schemeClr val="tx1"/>
              </a:solidFill>
            </a:ln>
            <a:effectLst/>
          </c:spPr>
          <c:invertIfNegative val="0"/>
          <c:cat>
            <c:strRef>
              <c:f>Sheet1!$B$10:$F$10</c:f>
              <c:strCache>
                <c:ptCount val="5"/>
                <c:pt idx="0">
                  <c:v>HDD</c:v>
                </c:pt>
                <c:pt idx="1">
                  <c:v>SATA SSD</c:v>
                </c:pt>
                <c:pt idx="2">
                  <c:v>QLC SSD</c:v>
                </c:pt>
                <c:pt idx="3">
                  <c:v>TLC SSD</c:v>
                </c:pt>
                <c:pt idx="4">
                  <c:v>FAST SSD</c:v>
                </c:pt>
              </c:strCache>
            </c:strRef>
          </c:cat>
          <c:val>
            <c:numRef>
              <c:f>Sheet1!$B$12:$F$12</c:f>
              <c:numCache>
                <c:formatCode>General</c:formatCode>
                <c:ptCount val="5"/>
                <c:pt idx="0">
                  <c:v>50</c:v>
                </c:pt>
                <c:pt idx="1">
                  <c:v>200</c:v>
                </c:pt>
                <c:pt idx="2">
                  <c:v>1750</c:v>
                </c:pt>
                <c:pt idx="3">
                  <c:v>1600</c:v>
                </c:pt>
                <c:pt idx="4">
                  <c:v>50</c:v>
                </c:pt>
              </c:numCache>
            </c:numRef>
          </c:val>
          <c:extLst>
            <c:ext xmlns:c16="http://schemas.microsoft.com/office/drawing/2014/chart" uri="{C3380CC4-5D6E-409C-BE32-E72D297353CC}">
              <c16:uniqueId val="{00000001-236B-4469-AA8F-6560D1334FEE}"/>
            </c:ext>
          </c:extLst>
        </c:ser>
        <c:dLbls>
          <c:showLegendKey val="0"/>
          <c:showVal val="0"/>
          <c:showCatName val="0"/>
          <c:showSerName val="0"/>
          <c:showPercent val="0"/>
          <c:showBubbleSize val="0"/>
        </c:dLbls>
        <c:gapWidth val="219"/>
        <c:overlap val="100"/>
        <c:axId val="226373136"/>
        <c:axId val="279570608"/>
      </c:barChart>
      <c:lineChart>
        <c:grouping val="standard"/>
        <c:varyColors val="0"/>
        <c:ser>
          <c:idx val="2"/>
          <c:order val="2"/>
          <c:spPr>
            <a:ln w="15875" cap="rnd">
              <a:solidFill>
                <a:schemeClr val="accent1"/>
              </a:solidFill>
              <a:round/>
            </a:ln>
            <a:effectLst/>
          </c:spPr>
          <c:marker>
            <c:symbol val="circle"/>
            <c:size val="5"/>
            <c:spPr>
              <a:solidFill>
                <a:schemeClr val="accent3"/>
              </a:solidFill>
              <a:ln w="9525">
                <a:solidFill>
                  <a:schemeClr val="accent3"/>
                </a:solidFill>
              </a:ln>
              <a:effectLst/>
            </c:spPr>
          </c:marker>
          <c:cat>
            <c:strRef>
              <c:f>Sheet1!$B$10:$F$10</c:f>
              <c:strCache>
                <c:ptCount val="5"/>
                <c:pt idx="0">
                  <c:v>HDD</c:v>
                </c:pt>
                <c:pt idx="1">
                  <c:v>SATA SSD</c:v>
                </c:pt>
                <c:pt idx="2">
                  <c:v>QLC SSD</c:v>
                </c:pt>
                <c:pt idx="3">
                  <c:v>TLC SSD</c:v>
                </c:pt>
                <c:pt idx="4">
                  <c:v>FAST SSD</c:v>
                </c:pt>
              </c:strCache>
            </c:strRef>
          </c:cat>
          <c:val>
            <c:numRef>
              <c:f>Sheet1!$B$13:$F$13</c:f>
              <c:numCache>
                <c:formatCode>General</c:formatCode>
                <c:ptCount val="5"/>
                <c:pt idx="0">
                  <c:v>100</c:v>
                </c:pt>
                <c:pt idx="1">
                  <c:v>300</c:v>
                </c:pt>
                <c:pt idx="2">
                  <c:v>50</c:v>
                </c:pt>
                <c:pt idx="3">
                  <c:v>400</c:v>
                </c:pt>
                <c:pt idx="4">
                  <c:v>2500</c:v>
                </c:pt>
              </c:numCache>
            </c:numRef>
          </c:val>
          <c:smooth val="0"/>
          <c:extLst>
            <c:ext xmlns:c16="http://schemas.microsoft.com/office/drawing/2014/chart" uri="{C3380CC4-5D6E-409C-BE32-E72D297353CC}">
              <c16:uniqueId val="{00000002-236B-4469-AA8F-6560D1334FEE}"/>
            </c:ext>
          </c:extLst>
        </c:ser>
        <c:ser>
          <c:idx val="3"/>
          <c:order val="3"/>
          <c:spPr>
            <a:ln w="12700" cap="rnd">
              <a:solidFill>
                <a:schemeClr val="accent4"/>
              </a:solidFill>
              <a:round/>
            </a:ln>
            <a:effectLst/>
          </c:spPr>
          <c:marker>
            <c:symbol val="circle"/>
            <c:size val="5"/>
            <c:spPr>
              <a:solidFill>
                <a:schemeClr val="accent4"/>
              </a:solidFill>
              <a:ln w="9525">
                <a:solidFill>
                  <a:schemeClr val="accent4"/>
                </a:solidFill>
              </a:ln>
              <a:effectLst/>
            </c:spPr>
          </c:marker>
          <c:cat>
            <c:strRef>
              <c:f>Sheet1!$B$10:$F$10</c:f>
              <c:strCache>
                <c:ptCount val="5"/>
                <c:pt idx="0">
                  <c:v>HDD</c:v>
                </c:pt>
                <c:pt idx="1">
                  <c:v>SATA SSD</c:v>
                </c:pt>
                <c:pt idx="2">
                  <c:v>QLC SSD</c:v>
                </c:pt>
                <c:pt idx="3">
                  <c:v>TLC SSD</c:v>
                </c:pt>
                <c:pt idx="4">
                  <c:v>FAST SSD</c:v>
                </c:pt>
              </c:strCache>
            </c:strRef>
          </c:cat>
          <c:val>
            <c:numRef>
              <c:f>Sheet1!$B$14:$F$14</c:f>
              <c:numCache>
                <c:formatCode>General</c:formatCode>
                <c:ptCount val="5"/>
                <c:pt idx="0">
                  <c:v>100</c:v>
                </c:pt>
                <c:pt idx="1">
                  <c:v>500</c:v>
                </c:pt>
                <c:pt idx="2">
                  <c:v>1800</c:v>
                </c:pt>
                <c:pt idx="3">
                  <c:v>2000</c:v>
                </c:pt>
                <c:pt idx="4">
                  <c:v>2500</c:v>
                </c:pt>
              </c:numCache>
            </c:numRef>
          </c:val>
          <c:smooth val="0"/>
          <c:extLst>
            <c:ext xmlns:c16="http://schemas.microsoft.com/office/drawing/2014/chart" uri="{C3380CC4-5D6E-409C-BE32-E72D297353CC}">
              <c16:uniqueId val="{00000003-236B-4469-AA8F-6560D1334FEE}"/>
            </c:ext>
          </c:extLst>
        </c:ser>
        <c:dLbls>
          <c:showLegendKey val="0"/>
          <c:showVal val="0"/>
          <c:showCatName val="0"/>
          <c:showSerName val="0"/>
          <c:showPercent val="0"/>
          <c:showBubbleSize val="0"/>
        </c:dLbls>
        <c:marker val="1"/>
        <c:smooth val="0"/>
        <c:axId val="226373136"/>
        <c:axId val="279570608"/>
      </c:lineChart>
      <c:catAx>
        <c:axId val="22637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279570608"/>
        <c:crosses val="autoZero"/>
        <c:auto val="1"/>
        <c:lblAlgn val="ctr"/>
        <c:lblOffset val="100"/>
        <c:noMultiLvlLbl val="0"/>
      </c:catAx>
      <c:valAx>
        <c:axId val="27957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crossAx val="22637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zh-CN" altLang="en-US" sz="1200" b="0" i="0" u="none" strike="noStrike" kern="1200" spc="0" baseline="0">
                <a:solidFill>
                  <a:sysClr val="windowText" lastClr="000000"/>
                </a:solidFill>
                <a:latin typeface="+mn-lt"/>
                <a:ea typeface="+mn-ea"/>
                <a:cs typeface="+mn-cs"/>
              </a:defRPr>
            </a:pPr>
            <a:r>
              <a:rPr lang="zh-CN" sz="1200" b="0" i="0" u="none" strike="noStrike" kern="1200" spc="0" baseline="0">
                <a:solidFill>
                  <a:sysClr val="windowText" lastClr="000000"/>
                </a:solidFill>
                <a:latin typeface="+mn-lt"/>
                <a:ea typeface="+mn-ea"/>
                <a:cs typeface="+mn-cs"/>
              </a:rPr>
              <a:t>写操作执行时间 us/op</a:t>
            </a:r>
          </a:p>
        </c:rich>
      </c:tx>
      <c:layout>
        <c:manualLayout>
          <c:xMode val="edge"/>
          <c:yMode val="edge"/>
          <c:x val="0.32295976422682704"/>
          <c:y val="1.8638569878676851E-2"/>
        </c:manualLayout>
      </c:layout>
      <c:overlay val="0"/>
      <c:spPr>
        <a:noFill/>
        <a:ln>
          <a:noFill/>
        </a:ln>
        <a:effectLst/>
      </c:spPr>
      <c:txPr>
        <a:bodyPr rot="0" spcFirstLastPara="1" vertOverflow="ellipsis" vert="horz" wrap="square" anchor="ctr" anchorCtr="1"/>
        <a:lstStyle/>
        <a:p>
          <a:pPr algn="ctr" rtl="0">
            <a:defRPr lang="zh-CN" altLang="en-US" sz="1200" b="0" i="0" u="none" strike="noStrike" kern="1200" spc="0" baseline="0">
              <a:solidFill>
                <a:sysClr val="windowText" lastClr="000000"/>
              </a:solidFill>
              <a:latin typeface="+mn-lt"/>
              <a:ea typeface="+mn-ea"/>
              <a:cs typeface="+mn-cs"/>
            </a:defRPr>
          </a:pPr>
          <a:endParaRPr lang="zh-CN"/>
        </a:p>
      </c:txPr>
    </c:title>
    <c:autoTitleDeleted val="0"/>
    <c:plotArea>
      <c:layout>
        <c:manualLayout>
          <c:layoutTarget val="inner"/>
          <c:xMode val="edge"/>
          <c:yMode val="edge"/>
          <c:x val="5.9887936870793232E-2"/>
          <c:y val="0.12564744264512129"/>
          <c:w val="0.89393034653650993"/>
          <c:h val="0.60899288982587241"/>
        </c:manualLayout>
      </c:layout>
      <c:lineChart>
        <c:grouping val="standard"/>
        <c:varyColors val="0"/>
        <c:ser>
          <c:idx val="0"/>
          <c:order val="0"/>
          <c:tx>
            <c:strRef>
              <c:f>多介质下KV不同!$A$93</c:f>
              <c:strCache>
                <c:ptCount val="1"/>
                <c:pt idx="0">
                  <c:v>HDD</c:v>
                </c:pt>
              </c:strCache>
            </c:strRef>
          </c:tx>
          <c:spPr>
            <a:ln w="22225" cap="rnd">
              <a:solidFill>
                <a:schemeClr val="accent1"/>
              </a:solidFill>
              <a:round/>
            </a:ln>
            <a:effectLst/>
          </c:spPr>
          <c:marker>
            <c:symbol val="none"/>
          </c:marker>
          <c:cat>
            <c:strRef>
              <c:f>多介质下KV不同!$B$92:$I$92</c:f>
              <c:strCache>
                <c:ptCount val="8"/>
                <c:pt idx="0">
                  <c:v>100B</c:v>
                </c:pt>
                <c:pt idx="1">
                  <c:v>256B</c:v>
                </c:pt>
                <c:pt idx="2">
                  <c:v>512B</c:v>
                </c:pt>
                <c:pt idx="3">
                  <c:v>1KB</c:v>
                </c:pt>
                <c:pt idx="4">
                  <c:v>2KB</c:v>
                </c:pt>
                <c:pt idx="5">
                  <c:v>4KB</c:v>
                </c:pt>
                <c:pt idx="6">
                  <c:v>8KB</c:v>
                </c:pt>
                <c:pt idx="7">
                  <c:v>16KB</c:v>
                </c:pt>
              </c:strCache>
            </c:strRef>
          </c:cat>
          <c:val>
            <c:numRef>
              <c:f>多介质下KV不同!$B$93:$I$93</c:f>
              <c:numCache>
                <c:formatCode>General</c:formatCode>
                <c:ptCount val="8"/>
                <c:pt idx="0">
                  <c:v>2.5</c:v>
                </c:pt>
                <c:pt idx="1">
                  <c:v>2.5</c:v>
                </c:pt>
                <c:pt idx="2">
                  <c:v>4.4000000000000004</c:v>
                </c:pt>
                <c:pt idx="3">
                  <c:v>8.8000000000000007</c:v>
                </c:pt>
                <c:pt idx="4">
                  <c:v>17.7</c:v>
                </c:pt>
                <c:pt idx="5">
                  <c:v>35</c:v>
                </c:pt>
                <c:pt idx="6">
                  <c:v>71</c:v>
                </c:pt>
                <c:pt idx="7">
                  <c:v>141</c:v>
                </c:pt>
              </c:numCache>
            </c:numRef>
          </c:val>
          <c:smooth val="0"/>
          <c:extLst>
            <c:ext xmlns:c16="http://schemas.microsoft.com/office/drawing/2014/chart" uri="{C3380CC4-5D6E-409C-BE32-E72D297353CC}">
              <c16:uniqueId val="{00000000-2248-435A-A4E9-BEF1D8FCA18C}"/>
            </c:ext>
          </c:extLst>
        </c:ser>
        <c:ser>
          <c:idx val="1"/>
          <c:order val="1"/>
          <c:tx>
            <c:strRef>
              <c:f>多介质下KV不同!$A$94</c:f>
              <c:strCache>
                <c:ptCount val="1"/>
                <c:pt idx="0">
                  <c:v>NVMeSSD
SLC满</c:v>
                </c:pt>
              </c:strCache>
            </c:strRef>
          </c:tx>
          <c:spPr>
            <a:ln w="22225" cap="rnd">
              <a:solidFill>
                <a:schemeClr val="accent2"/>
              </a:solidFill>
              <a:round/>
            </a:ln>
            <a:effectLst/>
          </c:spPr>
          <c:marker>
            <c:symbol val="none"/>
          </c:marker>
          <c:cat>
            <c:strRef>
              <c:f>多介质下KV不同!$B$92:$I$92</c:f>
              <c:strCache>
                <c:ptCount val="8"/>
                <c:pt idx="0">
                  <c:v>100B</c:v>
                </c:pt>
                <c:pt idx="1">
                  <c:v>256B</c:v>
                </c:pt>
                <c:pt idx="2">
                  <c:v>512B</c:v>
                </c:pt>
                <c:pt idx="3">
                  <c:v>1KB</c:v>
                </c:pt>
                <c:pt idx="4">
                  <c:v>2KB</c:v>
                </c:pt>
                <c:pt idx="5">
                  <c:v>4KB</c:v>
                </c:pt>
                <c:pt idx="6">
                  <c:v>8KB</c:v>
                </c:pt>
                <c:pt idx="7">
                  <c:v>16KB</c:v>
                </c:pt>
              </c:strCache>
            </c:strRef>
          </c:cat>
          <c:val>
            <c:numRef>
              <c:f>多介质下KV不同!$B$94:$I$94</c:f>
              <c:numCache>
                <c:formatCode>General</c:formatCode>
                <c:ptCount val="8"/>
                <c:pt idx="0">
                  <c:v>2.4700000000000002</c:v>
                </c:pt>
                <c:pt idx="1">
                  <c:v>2.6</c:v>
                </c:pt>
                <c:pt idx="2">
                  <c:v>2.92</c:v>
                </c:pt>
                <c:pt idx="3">
                  <c:v>5.0999999999999996</c:v>
                </c:pt>
                <c:pt idx="4">
                  <c:v>9.5</c:v>
                </c:pt>
                <c:pt idx="5">
                  <c:v>16.5</c:v>
                </c:pt>
                <c:pt idx="6">
                  <c:v>38</c:v>
                </c:pt>
                <c:pt idx="7">
                  <c:v>74</c:v>
                </c:pt>
              </c:numCache>
            </c:numRef>
          </c:val>
          <c:smooth val="0"/>
          <c:extLst>
            <c:ext xmlns:c16="http://schemas.microsoft.com/office/drawing/2014/chart" uri="{C3380CC4-5D6E-409C-BE32-E72D297353CC}">
              <c16:uniqueId val="{00000001-2248-435A-A4E9-BEF1D8FCA18C}"/>
            </c:ext>
          </c:extLst>
        </c:ser>
        <c:ser>
          <c:idx val="2"/>
          <c:order val="2"/>
          <c:tx>
            <c:strRef>
              <c:f>多介质下KV不同!$A$95</c:f>
              <c:strCache>
                <c:ptCount val="1"/>
                <c:pt idx="0">
                  <c:v>NVMeSSD
SLC空</c:v>
                </c:pt>
              </c:strCache>
            </c:strRef>
          </c:tx>
          <c:spPr>
            <a:ln w="22225" cap="rnd">
              <a:solidFill>
                <a:schemeClr val="accent3"/>
              </a:solidFill>
              <a:round/>
            </a:ln>
            <a:effectLst/>
          </c:spPr>
          <c:marker>
            <c:symbol val="none"/>
          </c:marker>
          <c:cat>
            <c:strRef>
              <c:f>多介质下KV不同!$B$92:$I$92</c:f>
              <c:strCache>
                <c:ptCount val="8"/>
                <c:pt idx="0">
                  <c:v>100B</c:v>
                </c:pt>
                <c:pt idx="1">
                  <c:v>256B</c:v>
                </c:pt>
                <c:pt idx="2">
                  <c:v>512B</c:v>
                </c:pt>
                <c:pt idx="3">
                  <c:v>1KB</c:v>
                </c:pt>
                <c:pt idx="4">
                  <c:v>2KB</c:v>
                </c:pt>
                <c:pt idx="5">
                  <c:v>4KB</c:v>
                </c:pt>
                <c:pt idx="6">
                  <c:v>8KB</c:v>
                </c:pt>
                <c:pt idx="7">
                  <c:v>16KB</c:v>
                </c:pt>
              </c:strCache>
            </c:strRef>
          </c:cat>
          <c:val>
            <c:numRef>
              <c:f>多介质下KV不同!$B$95:$I$95</c:f>
              <c:numCache>
                <c:formatCode>General</c:formatCode>
                <c:ptCount val="8"/>
                <c:pt idx="0">
                  <c:v>2.4</c:v>
                </c:pt>
                <c:pt idx="1">
                  <c:v>2.77</c:v>
                </c:pt>
                <c:pt idx="2">
                  <c:v>2.98</c:v>
                </c:pt>
                <c:pt idx="3">
                  <c:v>3.6</c:v>
                </c:pt>
                <c:pt idx="4">
                  <c:v>4.7</c:v>
                </c:pt>
                <c:pt idx="5">
                  <c:v>7.6</c:v>
                </c:pt>
                <c:pt idx="6">
                  <c:v>14.3</c:v>
                </c:pt>
                <c:pt idx="7">
                  <c:v>36.1</c:v>
                </c:pt>
              </c:numCache>
            </c:numRef>
          </c:val>
          <c:smooth val="0"/>
          <c:extLst>
            <c:ext xmlns:c16="http://schemas.microsoft.com/office/drawing/2014/chart" uri="{C3380CC4-5D6E-409C-BE32-E72D297353CC}">
              <c16:uniqueId val="{00000002-2248-435A-A4E9-BEF1D8FCA18C}"/>
            </c:ext>
          </c:extLst>
        </c:ser>
        <c:ser>
          <c:idx val="3"/>
          <c:order val="3"/>
          <c:tx>
            <c:strRef>
              <c:f>多介质下KV不同!$A$96</c:f>
              <c:strCache>
                <c:ptCount val="1"/>
                <c:pt idx="0">
                  <c:v>OptaneSSD</c:v>
                </c:pt>
              </c:strCache>
            </c:strRef>
          </c:tx>
          <c:spPr>
            <a:ln w="2222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zh-CN" altLang="en-US" sz="1000" b="0" i="0" u="none" strike="noStrike" kern="1200" baseline="0">
                    <a:solidFill>
                      <a:schemeClr val="tx1"/>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多介质下KV不同!$B$92:$I$92</c:f>
              <c:strCache>
                <c:ptCount val="8"/>
                <c:pt idx="0">
                  <c:v>100B</c:v>
                </c:pt>
                <c:pt idx="1">
                  <c:v>256B</c:v>
                </c:pt>
                <c:pt idx="2">
                  <c:v>512B</c:v>
                </c:pt>
                <c:pt idx="3">
                  <c:v>1KB</c:v>
                </c:pt>
                <c:pt idx="4">
                  <c:v>2KB</c:v>
                </c:pt>
                <c:pt idx="5">
                  <c:v>4KB</c:v>
                </c:pt>
                <c:pt idx="6">
                  <c:v>8KB</c:v>
                </c:pt>
                <c:pt idx="7">
                  <c:v>16KB</c:v>
                </c:pt>
              </c:strCache>
            </c:strRef>
          </c:cat>
          <c:val>
            <c:numRef>
              <c:f>多介质下KV不同!$B$96:$I$96</c:f>
              <c:numCache>
                <c:formatCode>General</c:formatCode>
                <c:ptCount val="8"/>
                <c:pt idx="0">
                  <c:v>2.4500000000000002</c:v>
                </c:pt>
                <c:pt idx="1">
                  <c:v>2.74</c:v>
                </c:pt>
                <c:pt idx="2">
                  <c:v>2.93</c:v>
                </c:pt>
                <c:pt idx="3">
                  <c:v>3.8</c:v>
                </c:pt>
                <c:pt idx="4">
                  <c:v>5.3</c:v>
                </c:pt>
                <c:pt idx="5">
                  <c:v>7.5</c:v>
                </c:pt>
                <c:pt idx="6">
                  <c:v>12.3</c:v>
                </c:pt>
                <c:pt idx="7">
                  <c:v>19.899999999999999</c:v>
                </c:pt>
              </c:numCache>
            </c:numRef>
          </c:val>
          <c:smooth val="0"/>
          <c:extLst>
            <c:ext xmlns:c16="http://schemas.microsoft.com/office/drawing/2014/chart" uri="{C3380CC4-5D6E-409C-BE32-E72D297353CC}">
              <c16:uniqueId val="{00000003-2248-435A-A4E9-BEF1D8FCA18C}"/>
            </c:ext>
          </c:extLst>
        </c:ser>
        <c:ser>
          <c:idx val="4"/>
          <c:order val="4"/>
          <c:tx>
            <c:strRef>
              <c:f>多介质下KV不同!$A$97</c:f>
              <c:strCache>
                <c:ptCount val="1"/>
                <c:pt idx="0">
                  <c:v>ramdisk</c:v>
                </c:pt>
              </c:strCache>
            </c:strRef>
          </c:tx>
          <c:spPr>
            <a:ln w="22225" cap="rnd">
              <a:solidFill>
                <a:schemeClr val="accent5"/>
              </a:solidFill>
              <a:round/>
            </a:ln>
            <a:effectLst/>
          </c:spPr>
          <c:marker>
            <c:symbol val="none"/>
          </c:marker>
          <c:cat>
            <c:strRef>
              <c:f>多介质下KV不同!$B$92:$I$92</c:f>
              <c:strCache>
                <c:ptCount val="8"/>
                <c:pt idx="0">
                  <c:v>100B</c:v>
                </c:pt>
                <c:pt idx="1">
                  <c:v>256B</c:v>
                </c:pt>
                <c:pt idx="2">
                  <c:v>512B</c:v>
                </c:pt>
                <c:pt idx="3">
                  <c:v>1KB</c:v>
                </c:pt>
                <c:pt idx="4">
                  <c:v>2KB</c:v>
                </c:pt>
                <c:pt idx="5">
                  <c:v>4KB</c:v>
                </c:pt>
                <c:pt idx="6">
                  <c:v>8KB</c:v>
                </c:pt>
                <c:pt idx="7">
                  <c:v>16KB</c:v>
                </c:pt>
              </c:strCache>
            </c:strRef>
          </c:cat>
          <c:val>
            <c:numRef>
              <c:f>多介质下KV不同!$B$97:$I$97</c:f>
              <c:numCache>
                <c:formatCode>General</c:formatCode>
                <c:ptCount val="8"/>
                <c:pt idx="0">
                  <c:v>1.7</c:v>
                </c:pt>
                <c:pt idx="1">
                  <c:v>2</c:v>
                </c:pt>
                <c:pt idx="2">
                  <c:v>2</c:v>
                </c:pt>
                <c:pt idx="3">
                  <c:v>2.68</c:v>
                </c:pt>
                <c:pt idx="4">
                  <c:v>3.25</c:v>
                </c:pt>
                <c:pt idx="5">
                  <c:v>4.7</c:v>
                </c:pt>
                <c:pt idx="6">
                  <c:v>7.5</c:v>
                </c:pt>
                <c:pt idx="7">
                  <c:v>12.8</c:v>
                </c:pt>
              </c:numCache>
            </c:numRef>
          </c:val>
          <c:smooth val="0"/>
          <c:extLst>
            <c:ext xmlns:c16="http://schemas.microsoft.com/office/drawing/2014/chart" uri="{C3380CC4-5D6E-409C-BE32-E72D297353CC}">
              <c16:uniqueId val="{00000004-2248-435A-A4E9-BEF1D8FCA18C}"/>
            </c:ext>
          </c:extLst>
        </c:ser>
        <c:dLbls>
          <c:showLegendKey val="0"/>
          <c:showVal val="0"/>
          <c:showCatName val="0"/>
          <c:showSerName val="0"/>
          <c:showPercent val="0"/>
          <c:showBubbleSize val="0"/>
        </c:dLbls>
        <c:smooth val="0"/>
        <c:axId val="324130848"/>
        <c:axId val="154874208"/>
      </c:lineChart>
      <c:catAx>
        <c:axId val="32413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altLang="en-US" sz="1000" b="0" i="0" u="none" strike="noStrike" kern="1200" baseline="0">
                <a:solidFill>
                  <a:schemeClr val="tx1"/>
                </a:solidFill>
                <a:latin typeface="+mn-lt"/>
                <a:ea typeface="+mn-ea"/>
                <a:cs typeface="+mn-cs"/>
              </a:defRPr>
            </a:pPr>
            <a:endParaRPr lang="zh-CN"/>
          </a:p>
        </c:txPr>
        <c:crossAx val="154874208"/>
        <c:crosses val="autoZero"/>
        <c:auto val="1"/>
        <c:lblAlgn val="ctr"/>
        <c:lblOffset val="100"/>
        <c:noMultiLvlLbl val="0"/>
      </c:catAx>
      <c:valAx>
        <c:axId val="154874208"/>
        <c:scaling>
          <c:orientation val="minMax"/>
          <c:max val="3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altLang="en-US" sz="1000" b="0" i="0" u="none" strike="noStrike" kern="1200" baseline="0">
                <a:solidFill>
                  <a:schemeClr val="tx1"/>
                </a:solidFill>
                <a:latin typeface="+mn-lt"/>
                <a:ea typeface="+mn-ea"/>
                <a:cs typeface="+mn-cs"/>
              </a:defRPr>
            </a:pPr>
            <a:endParaRPr lang="zh-CN"/>
          </a:p>
        </c:txPr>
        <c:crossAx val="3241308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altLang="en-US" sz="1000" b="0" i="0" u="none" strike="noStrike" kern="1200" baseline="0">
              <a:solidFill>
                <a:schemeClr val="tx1"/>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zh-CN" altLang="en-US" sz="1000" b="0" i="0" u="none" strike="noStrike" kern="1200" baseline="0">
          <a:solidFill>
            <a:schemeClr val="tx1"/>
          </a:solidFill>
          <a:latin typeface="+mn-lt"/>
          <a:ea typeface="+mn-ea"/>
          <a:cs typeface="+mn-cs"/>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zh-CN"/>
              <a:t>多线程</a:t>
            </a:r>
            <a:r>
              <a:rPr lang="en-US"/>
              <a:t>4k</a:t>
            </a:r>
            <a:r>
              <a:rPr lang="zh-CN"/>
              <a:t>写吞吐率（</a:t>
            </a:r>
            <a:r>
              <a:rPr lang="en-US"/>
              <a:t>MB/s</a:t>
            </a:r>
            <a:r>
              <a:rPr lang="zh-CN"/>
              <a:t>）</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fio!$A$31</c:f>
              <c:strCache>
                <c:ptCount val="1"/>
                <c:pt idx="0">
                  <c:v>OptaneSSD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fio!$B$30:$G$30</c:f>
              <c:strCache>
                <c:ptCount val="6"/>
                <c:pt idx="0">
                  <c:v>1th</c:v>
                </c:pt>
                <c:pt idx="1">
                  <c:v>2th</c:v>
                </c:pt>
                <c:pt idx="2">
                  <c:v>4th</c:v>
                </c:pt>
                <c:pt idx="3">
                  <c:v>8th</c:v>
                </c:pt>
                <c:pt idx="4">
                  <c:v>16th</c:v>
                </c:pt>
                <c:pt idx="5">
                  <c:v>32th</c:v>
                </c:pt>
              </c:strCache>
            </c:strRef>
          </c:cat>
          <c:val>
            <c:numRef>
              <c:f>fio!$B$31:$G$31</c:f>
              <c:numCache>
                <c:formatCode>General</c:formatCode>
                <c:ptCount val="6"/>
                <c:pt idx="0">
                  <c:v>300</c:v>
                </c:pt>
                <c:pt idx="1">
                  <c:v>611</c:v>
                </c:pt>
                <c:pt idx="2">
                  <c:v>1100</c:v>
                </c:pt>
                <c:pt idx="3">
                  <c:v>1800</c:v>
                </c:pt>
                <c:pt idx="4">
                  <c:v>2300</c:v>
                </c:pt>
                <c:pt idx="5">
                  <c:v>2300</c:v>
                </c:pt>
              </c:numCache>
            </c:numRef>
          </c:val>
          <c:smooth val="0"/>
          <c:extLst>
            <c:ext xmlns:c16="http://schemas.microsoft.com/office/drawing/2014/chart" uri="{C3380CC4-5D6E-409C-BE32-E72D297353CC}">
              <c16:uniqueId val="{00000000-321E-4ADF-9D1E-5FB94438593F}"/>
            </c:ext>
          </c:extLst>
        </c:ser>
        <c:ser>
          <c:idx val="2"/>
          <c:order val="1"/>
          <c:tx>
            <c:strRef>
              <c:f>fio!$A$33</c:f>
              <c:strCache>
                <c:ptCount val="1"/>
                <c:pt idx="0">
                  <c:v>NVMeSSD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fio!$B$30:$G$30</c:f>
              <c:strCache>
                <c:ptCount val="6"/>
                <c:pt idx="0">
                  <c:v>1th</c:v>
                </c:pt>
                <c:pt idx="1">
                  <c:v>2th</c:v>
                </c:pt>
                <c:pt idx="2">
                  <c:v>4th</c:v>
                </c:pt>
                <c:pt idx="3">
                  <c:v>8th</c:v>
                </c:pt>
                <c:pt idx="4">
                  <c:v>16th</c:v>
                </c:pt>
                <c:pt idx="5">
                  <c:v>32th</c:v>
                </c:pt>
              </c:strCache>
            </c:strRef>
          </c:cat>
          <c:val>
            <c:numRef>
              <c:f>fio!$B$33:$G$33</c:f>
              <c:numCache>
                <c:formatCode>General</c:formatCode>
                <c:ptCount val="6"/>
                <c:pt idx="0">
                  <c:v>306</c:v>
                </c:pt>
                <c:pt idx="2">
                  <c:v>1069</c:v>
                </c:pt>
                <c:pt idx="3">
                  <c:v>2037</c:v>
                </c:pt>
                <c:pt idx="4">
                  <c:v>2310</c:v>
                </c:pt>
                <c:pt idx="5">
                  <c:v>2327</c:v>
                </c:pt>
              </c:numCache>
            </c:numRef>
          </c:val>
          <c:smooth val="0"/>
          <c:extLst>
            <c:ext xmlns:c16="http://schemas.microsoft.com/office/drawing/2014/chart" uri="{C3380CC4-5D6E-409C-BE32-E72D297353CC}">
              <c16:uniqueId val="{00000000-B9A6-4C15-A4D1-9A83F00F0954}"/>
            </c:ext>
          </c:extLst>
        </c:ser>
        <c:dLbls>
          <c:showLegendKey val="0"/>
          <c:showVal val="0"/>
          <c:showCatName val="0"/>
          <c:showSerName val="0"/>
          <c:showPercent val="0"/>
          <c:showBubbleSize val="0"/>
        </c:dLbls>
        <c:marker val="1"/>
        <c:smooth val="0"/>
        <c:axId val="879880864"/>
        <c:axId val="739953008"/>
      </c:lineChart>
      <c:catAx>
        <c:axId val="87988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739953008"/>
        <c:crosses val="autoZero"/>
        <c:auto val="1"/>
        <c:lblAlgn val="ctr"/>
        <c:lblOffset val="100"/>
        <c:noMultiLvlLbl val="0"/>
      </c:catAx>
      <c:valAx>
        <c:axId val="73995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87988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sz="1400" b="0" i="0" u="none" strike="noStrike" baseline="0">
                <a:effectLst/>
              </a:rPr>
              <a:t>sequential write bandwidth(MB/s)</a:t>
            </a:r>
            <a:r>
              <a:rPr lang="en-US" altLang="zh-CN" sz="1400" b="0" i="0" u="none" strike="noStrike" baseline="0"/>
              <a:t> </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fio!$E$2</c:f>
              <c:strCache>
                <c:ptCount val="1"/>
                <c:pt idx="0">
                  <c:v>Optane905posix</c:v>
                </c:pt>
              </c:strCache>
            </c:strRef>
          </c:tx>
          <c:spPr>
            <a:ln w="19050" cap="rnd">
              <a:solidFill>
                <a:schemeClr val="accent1"/>
              </a:solidFill>
              <a:round/>
            </a:ln>
            <a:effectLst/>
          </c:spPr>
          <c:marker>
            <c:symbol val="none"/>
          </c:marker>
          <c:cat>
            <c:strRef>
              <c:f>fio!$D$3:$D$16</c:f>
              <c:strCache>
                <c:ptCount val="14"/>
                <c:pt idx="0">
                  <c:v>128B</c:v>
                </c:pt>
                <c:pt idx="1">
                  <c:v>256B</c:v>
                </c:pt>
                <c:pt idx="2">
                  <c:v>512B</c:v>
                </c:pt>
                <c:pt idx="3">
                  <c:v>1KB</c:v>
                </c:pt>
                <c:pt idx="4">
                  <c:v>2KB</c:v>
                </c:pt>
                <c:pt idx="5">
                  <c:v>4KB</c:v>
                </c:pt>
                <c:pt idx="6">
                  <c:v>8KB</c:v>
                </c:pt>
                <c:pt idx="7">
                  <c:v>16KB</c:v>
                </c:pt>
                <c:pt idx="8">
                  <c:v>32KB</c:v>
                </c:pt>
                <c:pt idx="9">
                  <c:v>64KB</c:v>
                </c:pt>
                <c:pt idx="10">
                  <c:v>128KB</c:v>
                </c:pt>
                <c:pt idx="11">
                  <c:v>256KB</c:v>
                </c:pt>
                <c:pt idx="12">
                  <c:v>512KB</c:v>
                </c:pt>
                <c:pt idx="13">
                  <c:v>1M</c:v>
                </c:pt>
              </c:strCache>
            </c:strRef>
          </c:cat>
          <c:val>
            <c:numRef>
              <c:f>fio!$E$3:$E$16</c:f>
              <c:numCache>
                <c:formatCode>General</c:formatCode>
                <c:ptCount val="14"/>
                <c:pt idx="0">
                  <c:v>82</c:v>
                </c:pt>
                <c:pt idx="1">
                  <c:v>121</c:v>
                </c:pt>
                <c:pt idx="2">
                  <c:v>185</c:v>
                </c:pt>
                <c:pt idx="3">
                  <c:v>255</c:v>
                </c:pt>
                <c:pt idx="4">
                  <c:v>278</c:v>
                </c:pt>
                <c:pt idx="5">
                  <c:v>1417</c:v>
                </c:pt>
                <c:pt idx="6">
                  <c:v>1694</c:v>
                </c:pt>
                <c:pt idx="7">
                  <c:v>1862</c:v>
                </c:pt>
                <c:pt idx="8">
                  <c:v>1980</c:v>
                </c:pt>
                <c:pt idx="9">
                  <c:v>2025</c:v>
                </c:pt>
                <c:pt idx="10">
                  <c:v>2035</c:v>
                </c:pt>
                <c:pt idx="11">
                  <c:v>2049</c:v>
                </c:pt>
                <c:pt idx="12">
                  <c:v>2060</c:v>
                </c:pt>
                <c:pt idx="13">
                  <c:v>2021</c:v>
                </c:pt>
              </c:numCache>
            </c:numRef>
          </c:val>
          <c:smooth val="0"/>
          <c:extLst>
            <c:ext xmlns:c16="http://schemas.microsoft.com/office/drawing/2014/chart" uri="{C3380CC4-5D6E-409C-BE32-E72D297353CC}">
              <c16:uniqueId val="{00000000-D36E-40C7-89BC-B15DC80AF1E4}"/>
            </c:ext>
          </c:extLst>
        </c:ser>
        <c:ser>
          <c:idx val="2"/>
          <c:order val="1"/>
          <c:tx>
            <c:strRef>
              <c:f>fio!$G$2</c:f>
              <c:strCache>
                <c:ptCount val="1"/>
                <c:pt idx="0">
                  <c:v>OptaneSSD</c:v>
                </c:pt>
              </c:strCache>
            </c:strRef>
          </c:tx>
          <c:spPr>
            <a:ln w="19050" cap="rnd">
              <a:solidFill>
                <a:schemeClr val="accent3"/>
              </a:solidFill>
              <a:round/>
            </a:ln>
            <a:effectLst/>
          </c:spPr>
          <c:marker>
            <c:symbol val="none"/>
          </c:marker>
          <c:cat>
            <c:strRef>
              <c:f>fio!$D$3:$D$16</c:f>
              <c:strCache>
                <c:ptCount val="14"/>
                <c:pt idx="0">
                  <c:v>128B</c:v>
                </c:pt>
                <c:pt idx="1">
                  <c:v>256B</c:v>
                </c:pt>
                <c:pt idx="2">
                  <c:v>512B</c:v>
                </c:pt>
                <c:pt idx="3">
                  <c:v>1KB</c:v>
                </c:pt>
                <c:pt idx="4">
                  <c:v>2KB</c:v>
                </c:pt>
                <c:pt idx="5">
                  <c:v>4KB</c:v>
                </c:pt>
                <c:pt idx="6">
                  <c:v>8KB</c:v>
                </c:pt>
                <c:pt idx="7">
                  <c:v>16KB</c:v>
                </c:pt>
                <c:pt idx="8">
                  <c:v>32KB</c:v>
                </c:pt>
                <c:pt idx="9">
                  <c:v>64KB</c:v>
                </c:pt>
                <c:pt idx="10">
                  <c:v>128KB</c:v>
                </c:pt>
                <c:pt idx="11">
                  <c:v>256KB</c:v>
                </c:pt>
                <c:pt idx="12">
                  <c:v>512KB</c:v>
                </c:pt>
                <c:pt idx="13">
                  <c:v>1M</c:v>
                </c:pt>
              </c:strCache>
            </c:strRef>
          </c:cat>
          <c:val>
            <c:numRef>
              <c:f>fio!$G$3:$G$16</c:f>
              <c:numCache>
                <c:formatCode>General</c:formatCode>
                <c:ptCount val="14"/>
                <c:pt idx="2">
                  <c:v>16.5</c:v>
                </c:pt>
                <c:pt idx="3">
                  <c:v>36</c:v>
                </c:pt>
                <c:pt idx="4">
                  <c:v>84</c:v>
                </c:pt>
                <c:pt idx="5">
                  <c:v>326</c:v>
                </c:pt>
                <c:pt idx="6">
                  <c:v>574</c:v>
                </c:pt>
                <c:pt idx="7">
                  <c:v>904</c:v>
                </c:pt>
                <c:pt idx="8">
                  <c:v>1267</c:v>
                </c:pt>
                <c:pt idx="9">
                  <c:v>1632</c:v>
                </c:pt>
                <c:pt idx="10">
                  <c:v>1866</c:v>
                </c:pt>
                <c:pt idx="11">
                  <c:v>2059</c:v>
                </c:pt>
                <c:pt idx="12">
                  <c:v>2176</c:v>
                </c:pt>
                <c:pt idx="13">
                  <c:v>2235</c:v>
                </c:pt>
              </c:numCache>
            </c:numRef>
          </c:val>
          <c:smooth val="0"/>
          <c:extLst>
            <c:ext xmlns:c16="http://schemas.microsoft.com/office/drawing/2014/chart" uri="{C3380CC4-5D6E-409C-BE32-E72D297353CC}">
              <c16:uniqueId val="{00000004-CD45-490B-9ED8-21ADE2D7CF7C}"/>
            </c:ext>
          </c:extLst>
        </c:ser>
        <c:ser>
          <c:idx val="3"/>
          <c:order val="2"/>
          <c:tx>
            <c:strRef>
              <c:f>fio!$H$2</c:f>
              <c:strCache>
                <c:ptCount val="1"/>
                <c:pt idx="0">
                  <c:v>970proposix</c:v>
                </c:pt>
              </c:strCache>
            </c:strRef>
          </c:tx>
          <c:spPr>
            <a:ln w="19050" cap="rnd">
              <a:solidFill>
                <a:schemeClr val="accent4"/>
              </a:solidFill>
              <a:round/>
            </a:ln>
            <a:effectLst/>
          </c:spPr>
          <c:marker>
            <c:symbol val="none"/>
          </c:marker>
          <c:cat>
            <c:strRef>
              <c:f>fio!$D$3:$D$16</c:f>
              <c:strCache>
                <c:ptCount val="14"/>
                <c:pt idx="0">
                  <c:v>128B</c:v>
                </c:pt>
                <c:pt idx="1">
                  <c:v>256B</c:v>
                </c:pt>
                <c:pt idx="2">
                  <c:v>512B</c:v>
                </c:pt>
                <c:pt idx="3">
                  <c:v>1KB</c:v>
                </c:pt>
                <c:pt idx="4">
                  <c:v>2KB</c:v>
                </c:pt>
                <c:pt idx="5">
                  <c:v>4KB</c:v>
                </c:pt>
                <c:pt idx="6">
                  <c:v>8KB</c:v>
                </c:pt>
                <c:pt idx="7">
                  <c:v>16KB</c:v>
                </c:pt>
                <c:pt idx="8">
                  <c:v>32KB</c:v>
                </c:pt>
                <c:pt idx="9">
                  <c:v>64KB</c:v>
                </c:pt>
                <c:pt idx="10">
                  <c:v>128KB</c:v>
                </c:pt>
                <c:pt idx="11">
                  <c:v>256KB</c:v>
                </c:pt>
                <c:pt idx="12">
                  <c:v>512KB</c:v>
                </c:pt>
                <c:pt idx="13">
                  <c:v>1M</c:v>
                </c:pt>
              </c:strCache>
            </c:strRef>
          </c:cat>
          <c:val>
            <c:numRef>
              <c:f>fio!$H$3:$H$16</c:f>
              <c:numCache>
                <c:formatCode>General</c:formatCode>
                <c:ptCount val="14"/>
                <c:pt idx="0">
                  <c:v>83</c:v>
                </c:pt>
                <c:pt idx="1">
                  <c:v>128</c:v>
                </c:pt>
                <c:pt idx="2">
                  <c:v>192</c:v>
                </c:pt>
                <c:pt idx="3">
                  <c:v>240</c:v>
                </c:pt>
                <c:pt idx="4">
                  <c:v>283</c:v>
                </c:pt>
                <c:pt idx="5">
                  <c:v>1420</c:v>
                </c:pt>
                <c:pt idx="6">
                  <c:v>1670</c:v>
                </c:pt>
                <c:pt idx="7">
                  <c:v>1817</c:v>
                </c:pt>
                <c:pt idx="8">
                  <c:v>1859</c:v>
                </c:pt>
                <c:pt idx="9">
                  <c:v>2009</c:v>
                </c:pt>
                <c:pt idx="10">
                  <c:v>1985</c:v>
                </c:pt>
                <c:pt idx="11">
                  <c:v>1990</c:v>
                </c:pt>
                <c:pt idx="12">
                  <c:v>1983</c:v>
                </c:pt>
                <c:pt idx="13">
                  <c:v>2009</c:v>
                </c:pt>
              </c:numCache>
            </c:numRef>
          </c:val>
          <c:smooth val="0"/>
          <c:extLst>
            <c:ext xmlns:c16="http://schemas.microsoft.com/office/drawing/2014/chart" uri="{C3380CC4-5D6E-409C-BE32-E72D297353CC}">
              <c16:uniqueId val="{00000005-CD45-490B-9ED8-21ADE2D7CF7C}"/>
            </c:ext>
          </c:extLst>
        </c:ser>
        <c:ser>
          <c:idx val="4"/>
          <c:order val="3"/>
          <c:tx>
            <c:strRef>
              <c:f>fio!$I$2</c:f>
              <c:strCache>
                <c:ptCount val="1"/>
                <c:pt idx="0">
                  <c:v>NVMeSSD</c:v>
                </c:pt>
              </c:strCache>
            </c:strRef>
          </c:tx>
          <c:spPr>
            <a:ln w="19050" cap="rnd">
              <a:solidFill>
                <a:schemeClr val="accent5"/>
              </a:solidFill>
              <a:round/>
            </a:ln>
            <a:effectLst/>
          </c:spPr>
          <c:marker>
            <c:symbol val="none"/>
          </c:marker>
          <c:cat>
            <c:strRef>
              <c:f>fio!$D$3:$D$16</c:f>
              <c:strCache>
                <c:ptCount val="14"/>
                <c:pt idx="0">
                  <c:v>128B</c:v>
                </c:pt>
                <c:pt idx="1">
                  <c:v>256B</c:v>
                </c:pt>
                <c:pt idx="2">
                  <c:v>512B</c:v>
                </c:pt>
                <c:pt idx="3">
                  <c:v>1KB</c:v>
                </c:pt>
                <c:pt idx="4">
                  <c:v>2KB</c:v>
                </c:pt>
                <c:pt idx="5">
                  <c:v>4KB</c:v>
                </c:pt>
                <c:pt idx="6">
                  <c:v>8KB</c:v>
                </c:pt>
                <c:pt idx="7">
                  <c:v>16KB</c:v>
                </c:pt>
                <c:pt idx="8">
                  <c:v>32KB</c:v>
                </c:pt>
                <c:pt idx="9">
                  <c:v>64KB</c:v>
                </c:pt>
                <c:pt idx="10">
                  <c:v>128KB</c:v>
                </c:pt>
                <c:pt idx="11">
                  <c:v>256KB</c:v>
                </c:pt>
                <c:pt idx="12">
                  <c:v>512KB</c:v>
                </c:pt>
                <c:pt idx="13">
                  <c:v>1M</c:v>
                </c:pt>
              </c:strCache>
            </c:strRef>
          </c:cat>
          <c:val>
            <c:numRef>
              <c:f>fio!$I$3:$I$16</c:f>
              <c:numCache>
                <c:formatCode>General</c:formatCode>
                <c:ptCount val="14"/>
                <c:pt idx="2">
                  <c:v>44</c:v>
                </c:pt>
                <c:pt idx="3">
                  <c:v>91</c:v>
                </c:pt>
                <c:pt idx="4">
                  <c:v>175</c:v>
                </c:pt>
                <c:pt idx="5">
                  <c:v>334</c:v>
                </c:pt>
                <c:pt idx="6">
                  <c:v>600</c:v>
                </c:pt>
                <c:pt idx="7">
                  <c:v>979</c:v>
                </c:pt>
                <c:pt idx="8">
                  <c:v>1485</c:v>
                </c:pt>
                <c:pt idx="9">
                  <c:v>1988</c:v>
                </c:pt>
                <c:pt idx="10">
                  <c:v>2285</c:v>
                </c:pt>
                <c:pt idx="11">
                  <c:v>2294</c:v>
                </c:pt>
                <c:pt idx="12">
                  <c:v>2270</c:v>
                </c:pt>
                <c:pt idx="13">
                  <c:v>2280</c:v>
                </c:pt>
              </c:numCache>
            </c:numRef>
          </c:val>
          <c:smooth val="0"/>
          <c:extLst>
            <c:ext xmlns:c16="http://schemas.microsoft.com/office/drawing/2014/chart" uri="{C3380CC4-5D6E-409C-BE32-E72D297353CC}">
              <c16:uniqueId val="{00000006-CD45-490B-9ED8-21ADE2D7CF7C}"/>
            </c:ext>
          </c:extLst>
        </c:ser>
        <c:ser>
          <c:idx val="5"/>
          <c:order val="4"/>
          <c:tx>
            <c:strRef>
              <c:f>fio!$J$2</c:f>
              <c:strCache>
                <c:ptCount val="1"/>
                <c:pt idx="0">
                  <c:v>970pro自测</c:v>
                </c:pt>
              </c:strCache>
            </c:strRef>
          </c:tx>
          <c:spPr>
            <a:ln w="28575" cap="rnd">
              <a:solidFill>
                <a:schemeClr val="accent6"/>
              </a:solidFill>
              <a:round/>
            </a:ln>
            <a:effectLst/>
          </c:spPr>
          <c:marker>
            <c:symbol val="none"/>
          </c:marker>
          <c:cat>
            <c:strRef>
              <c:f>fio!$D$3:$D$16</c:f>
              <c:strCache>
                <c:ptCount val="14"/>
                <c:pt idx="0">
                  <c:v>128B</c:v>
                </c:pt>
                <c:pt idx="1">
                  <c:v>256B</c:v>
                </c:pt>
                <c:pt idx="2">
                  <c:v>512B</c:v>
                </c:pt>
                <c:pt idx="3">
                  <c:v>1KB</c:v>
                </c:pt>
                <c:pt idx="4">
                  <c:v>2KB</c:v>
                </c:pt>
                <c:pt idx="5">
                  <c:v>4KB</c:v>
                </c:pt>
                <c:pt idx="6">
                  <c:v>8KB</c:v>
                </c:pt>
                <c:pt idx="7">
                  <c:v>16KB</c:v>
                </c:pt>
                <c:pt idx="8">
                  <c:v>32KB</c:v>
                </c:pt>
                <c:pt idx="9">
                  <c:v>64KB</c:v>
                </c:pt>
                <c:pt idx="10">
                  <c:v>128KB</c:v>
                </c:pt>
                <c:pt idx="11">
                  <c:v>256KB</c:v>
                </c:pt>
                <c:pt idx="12">
                  <c:v>512KB</c:v>
                </c:pt>
                <c:pt idx="13">
                  <c:v>1M</c:v>
                </c:pt>
              </c:strCache>
            </c:strRef>
          </c:cat>
          <c:val>
            <c:numRef>
              <c:f>fio!$J$3:$J$16</c:f>
              <c:numCache>
                <c:formatCode>General</c:formatCode>
                <c:ptCount val="14"/>
                <c:pt idx="0">
                  <c:v>79</c:v>
                </c:pt>
                <c:pt idx="1">
                  <c:v>148</c:v>
                </c:pt>
                <c:pt idx="2">
                  <c:v>305</c:v>
                </c:pt>
                <c:pt idx="3">
                  <c:v>527</c:v>
                </c:pt>
                <c:pt idx="4">
                  <c:v>894</c:v>
                </c:pt>
                <c:pt idx="5">
                  <c:v>1379</c:v>
                </c:pt>
                <c:pt idx="6">
                  <c:v>1529</c:v>
                </c:pt>
                <c:pt idx="7">
                  <c:v>1589</c:v>
                </c:pt>
                <c:pt idx="8">
                  <c:v>1666</c:v>
                </c:pt>
                <c:pt idx="9">
                  <c:v>1666</c:v>
                </c:pt>
                <c:pt idx="10">
                  <c:v>1666</c:v>
                </c:pt>
                <c:pt idx="11">
                  <c:v>1666</c:v>
                </c:pt>
                <c:pt idx="12">
                  <c:v>1666</c:v>
                </c:pt>
                <c:pt idx="13">
                  <c:v>1666</c:v>
                </c:pt>
              </c:numCache>
            </c:numRef>
          </c:val>
          <c:smooth val="0"/>
          <c:extLst>
            <c:ext xmlns:c16="http://schemas.microsoft.com/office/drawing/2014/chart" uri="{C3380CC4-5D6E-409C-BE32-E72D297353CC}">
              <c16:uniqueId val="{00000007-CD45-490B-9ED8-21ADE2D7CF7C}"/>
            </c:ext>
          </c:extLst>
        </c:ser>
        <c:dLbls>
          <c:showLegendKey val="0"/>
          <c:showVal val="0"/>
          <c:showCatName val="0"/>
          <c:showSerName val="0"/>
          <c:showPercent val="0"/>
          <c:showBubbleSize val="0"/>
        </c:dLbls>
        <c:smooth val="0"/>
        <c:axId val="723483792"/>
        <c:axId val="796399824"/>
      </c:lineChart>
      <c:catAx>
        <c:axId val="72348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6399824"/>
        <c:crosses val="autoZero"/>
        <c:auto val="1"/>
        <c:lblAlgn val="ctr"/>
        <c:lblOffset val="100"/>
        <c:noMultiLvlLbl val="0"/>
      </c:catAx>
      <c:valAx>
        <c:axId val="79639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483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40" b="0" i="0" u="none" strike="noStrike" kern="1200" spc="0" baseline="0">
                <a:solidFill>
                  <a:schemeClr val="tx1">
                    <a:lumMod val="65000"/>
                    <a:lumOff val="35000"/>
                  </a:schemeClr>
                </a:solidFill>
                <a:latin typeface="+mn-lt"/>
                <a:ea typeface="+mn-ea"/>
                <a:cs typeface="+mn-cs"/>
              </a:defRPr>
            </a:pPr>
            <a:r>
              <a:rPr lang="en-US"/>
              <a:t>sequential write bandwidth(MB/s) </a:t>
            </a:r>
            <a:endParaRPr lang="zh-CN"/>
          </a:p>
        </c:rich>
      </c:tx>
      <c:overlay val="0"/>
      <c:spPr>
        <a:noFill/>
        <a:ln>
          <a:noFill/>
        </a:ln>
        <a:effectLst/>
      </c:spPr>
      <c:txPr>
        <a:bodyPr rot="0" spcFirstLastPara="1" vertOverflow="ellipsis" vert="horz" wrap="square" anchor="ctr" anchorCtr="1"/>
        <a:lstStyle/>
        <a:p>
          <a:pPr>
            <a:defRPr sz="84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043666448387663"/>
          <c:y val="0.15081967213114755"/>
          <c:w val="0.79651019788854993"/>
          <c:h val="0.57248225119401064"/>
        </c:manualLayout>
      </c:layout>
      <c:lineChart>
        <c:grouping val="standard"/>
        <c:varyColors val="0"/>
        <c:ser>
          <c:idx val="1"/>
          <c:order val="1"/>
          <c:tx>
            <c:strRef>
              <c:f>fio!$G$2</c:f>
              <c:strCache>
                <c:ptCount val="1"/>
                <c:pt idx="0">
                  <c:v>OptaneSSD</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fio!$D$3:$D$16</c15:sqref>
                  </c15:fullRef>
                </c:ext>
              </c:extLst>
              <c:f>fio!$D$5:$D$16</c:f>
              <c:strCache>
                <c:ptCount val="12"/>
                <c:pt idx="0">
                  <c:v>512B</c:v>
                </c:pt>
                <c:pt idx="1">
                  <c:v>1KB</c:v>
                </c:pt>
                <c:pt idx="2">
                  <c:v>2KB</c:v>
                </c:pt>
                <c:pt idx="3">
                  <c:v>4KB</c:v>
                </c:pt>
                <c:pt idx="4">
                  <c:v>8KB</c:v>
                </c:pt>
                <c:pt idx="5">
                  <c:v>16KB</c:v>
                </c:pt>
                <c:pt idx="6">
                  <c:v>32KB</c:v>
                </c:pt>
                <c:pt idx="7">
                  <c:v>64KB</c:v>
                </c:pt>
                <c:pt idx="8">
                  <c:v>128KB</c:v>
                </c:pt>
                <c:pt idx="9">
                  <c:v>256KB</c:v>
                </c:pt>
                <c:pt idx="10">
                  <c:v>512KB</c:v>
                </c:pt>
                <c:pt idx="11">
                  <c:v>1M</c:v>
                </c:pt>
              </c:strCache>
            </c:strRef>
          </c:cat>
          <c:val>
            <c:numRef>
              <c:extLst>
                <c:ext xmlns:c15="http://schemas.microsoft.com/office/drawing/2012/chart" uri="{02D57815-91ED-43cb-92C2-25804820EDAC}">
                  <c15:fullRef>
                    <c15:sqref>fio!$G$3:$G$16</c15:sqref>
                  </c15:fullRef>
                </c:ext>
              </c:extLst>
              <c:f>fio!$G$5:$G$16</c:f>
              <c:numCache>
                <c:formatCode>General</c:formatCode>
                <c:ptCount val="12"/>
                <c:pt idx="0">
                  <c:v>16.5</c:v>
                </c:pt>
                <c:pt idx="1">
                  <c:v>36</c:v>
                </c:pt>
                <c:pt idx="2">
                  <c:v>84</c:v>
                </c:pt>
                <c:pt idx="3">
                  <c:v>326</c:v>
                </c:pt>
                <c:pt idx="4">
                  <c:v>574</c:v>
                </c:pt>
                <c:pt idx="5">
                  <c:v>904</c:v>
                </c:pt>
                <c:pt idx="6">
                  <c:v>1267</c:v>
                </c:pt>
                <c:pt idx="7">
                  <c:v>1632</c:v>
                </c:pt>
                <c:pt idx="8">
                  <c:v>1866</c:v>
                </c:pt>
                <c:pt idx="9">
                  <c:v>2059</c:v>
                </c:pt>
                <c:pt idx="10">
                  <c:v>2176</c:v>
                </c:pt>
                <c:pt idx="11">
                  <c:v>2235</c:v>
                </c:pt>
              </c:numCache>
            </c:numRef>
          </c:val>
          <c:smooth val="0"/>
          <c:extLst>
            <c:ext xmlns:c16="http://schemas.microsoft.com/office/drawing/2014/chart" uri="{C3380CC4-5D6E-409C-BE32-E72D297353CC}">
              <c16:uniqueId val="{00000012-70A7-46ED-A9E9-1ADF2347D256}"/>
            </c:ext>
          </c:extLst>
        </c:ser>
        <c:dLbls>
          <c:showLegendKey val="0"/>
          <c:showVal val="0"/>
          <c:showCatName val="0"/>
          <c:showSerName val="0"/>
          <c:showPercent val="0"/>
          <c:showBubbleSize val="0"/>
        </c:dLbls>
        <c:marker val="1"/>
        <c:smooth val="0"/>
        <c:axId val="723483792"/>
        <c:axId val="796399824"/>
      </c:lineChart>
      <c:lineChart>
        <c:grouping val="standard"/>
        <c:varyColors val="0"/>
        <c:ser>
          <c:idx val="0"/>
          <c:order val="0"/>
          <c:tx>
            <c:strRef>
              <c:f>fio!$F$2</c:f>
              <c:strCache>
                <c:ptCount val="1"/>
                <c:pt idx="0">
                  <c:v>HDD(secondary axis)</c:v>
                </c:pt>
              </c:strCache>
            </c:strRef>
          </c:tx>
          <c:spPr>
            <a:ln w="19050" cap="rnd">
              <a:solidFill>
                <a:schemeClr val="accent1"/>
              </a:solidFill>
              <a:round/>
            </a:ln>
            <a:effectLst/>
          </c:spPr>
          <c:marker>
            <c:symbol val="none"/>
          </c:marker>
          <c:cat>
            <c:strRef>
              <c:extLst>
                <c:ext xmlns:c15="http://schemas.microsoft.com/office/drawing/2012/chart" uri="{02D57815-91ED-43cb-92C2-25804820EDAC}">
                  <c15:fullRef>
                    <c15:sqref>fio!$D$3:$D$16</c15:sqref>
                  </c15:fullRef>
                </c:ext>
              </c:extLst>
              <c:f>fio!$D$5:$D$16</c:f>
              <c:strCache>
                <c:ptCount val="12"/>
                <c:pt idx="0">
                  <c:v>512B</c:v>
                </c:pt>
                <c:pt idx="1">
                  <c:v>1KB</c:v>
                </c:pt>
                <c:pt idx="2">
                  <c:v>2KB</c:v>
                </c:pt>
                <c:pt idx="3">
                  <c:v>4KB</c:v>
                </c:pt>
                <c:pt idx="4">
                  <c:v>8KB</c:v>
                </c:pt>
                <c:pt idx="5">
                  <c:v>16KB</c:v>
                </c:pt>
                <c:pt idx="6">
                  <c:v>32KB</c:v>
                </c:pt>
                <c:pt idx="7">
                  <c:v>64KB</c:v>
                </c:pt>
                <c:pt idx="8">
                  <c:v>128KB</c:v>
                </c:pt>
                <c:pt idx="9">
                  <c:v>256KB</c:v>
                </c:pt>
                <c:pt idx="10">
                  <c:v>512KB</c:v>
                </c:pt>
                <c:pt idx="11">
                  <c:v>1M</c:v>
                </c:pt>
              </c:strCache>
            </c:strRef>
          </c:cat>
          <c:val>
            <c:numRef>
              <c:extLst>
                <c:ext xmlns:c15="http://schemas.microsoft.com/office/drawing/2012/chart" uri="{02D57815-91ED-43cb-92C2-25804820EDAC}">
                  <c15:fullRef>
                    <c15:sqref>fio!$F$3:$F$16</c15:sqref>
                  </c15:fullRef>
                </c:ext>
              </c:extLst>
              <c:f>fio!$F$5:$F$16</c:f>
              <c:numCache>
                <c:formatCode>General</c:formatCode>
                <c:ptCount val="12"/>
                <c:pt idx="0">
                  <c:v>110</c:v>
                </c:pt>
                <c:pt idx="1">
                  <c:v>110</c:v>
                </c:pt>
                <c:pt idx="2">
                  <c:v>110</c:v>
                </c:pt>
                <c:pt idx="3">
                  <c:v>110</c:v>
                </c:pt>
                <c:pt idx="4">
                  <c:v>110</c:v>
                </c:pt>
                <c:pt idx="5">
                  <c:v>110</c:v>
                </c:pt>
                <c:pt idx="6">
                  <c:v>110</c:v>
                </c:pt>
                <c:pt idx="7">
                  <c:v>110</c:v>
                </c:pt>
                <c:pt idx="8">
                  <c:v>110</c:v>
                </c:pt>
                <c:pt idx="9">
                  <c:v>110</c:v>
                </c:pt>
                <c:pt idx="10">
                  <c:v>110</c:v>
                </c:pt>
                <c:pt idx="11">
                  <c:v>110</c:v>
                </c:pt>
              </c:numCache>
            </c:numRef>
          </c:val>
          <c:smooth val="0"/>
          <c:extLst>
            <c:ext xmlns:c16="http://schemas.microsoft.com/office/drawing/2014/chart" uri="{C3380CC4-5D6E-409C-BE32-E72D297353CC}">
              <c16:uniqueId val="{00000000-70A7-46ED-A9E9-1ADF2347D256}"/>
            </c:ext>
          </c:extLst>
        </c:ser>
        <c:dLbls>
          <c:showLegendKey val="0"/>
          <c:showVal val="0"/>
          <c:showCatName val="0"/>
          <c:showSerName val="0"/>
          <c:showPercent val="0"/>
          <c:showBubbleSize val="0"/>
        </c:dLbls>
        <c:marker val="1"/>
        <c:smooth val="0"/>
        <c:axId val="939473376"/>
        <c:axId val="941108304"/>
      </c:lineChart>
      <c:catAx>
        <c:axId val="72348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zh-CN"/>
          </a:p>
        </c:txPr>
        <c:crossAx val="796399824"/>
        <c:crosses val="autoZero"/>
        <c:auto val="1"/>
        <c:lblAlgn val="ctr"/>
        <c:lblOffset val="100"/>
        <c:noMultiLvlLbl val="0"/>
      </c:catAx>
      <c:valAx>
        <c:axId val="79639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zh-CN"/>
          </a:p>
        </c:txPr>
        <c:crossAx val="723483792"/>
        <c:crosses val="autoZero"/>
        <c:crossBetween val="between"/>
      </c:valAx>
      <c:valAx>
        <c:axId val="941108304"/>
        <c:scaling>
          <c:orientation val="minMax"/>
          <c:max val="500"/>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zh-CN"/>
          </a:p>
        </c:txPr>
        <c:crossAx val="939473376"/>
        <c:crosses val="max"/>
        <c:crossBetween val="between"/>
      </c:valAx>
      <c:catAx>
        <c:axId val="939473376"/>
        <c:scaling>
          <c:orientation val="minMax"/>
        </c:scaling>
        <c:delete val="1"/>
        <c:axPos val="b"/>
        <c:numFmt formatCode="General" sourceLinked="1"/>
        <c:majorTickMark val="out"/>
        <c:minorTickMark val="none"/>
        <c:tickLblPos val="nextTo"/>
        <c:crossAx val="941108304"/>
        <c:crosses val="autoZero"/>
        <c:auto val="1"/>
        <c:lblAlgn val="ctr"/>
        <c:lblOffset val="100"/>
        <c:noMultiLvlLbl val="0"/>
      </c:catAx>
      <c:spPr>
        <a:noFill/>
        <a:ln>
          <a:noFill/>
        </a:ln>
        <a:effectLst/>
      </c:spPr>
    </c:plotArea>
    <c:legend>
      <c:legendPos val="b"/>
      <c:layout>
        <c:manualLayout>
          <c:xMode val="edge"/>
          <c:yMode val="edge"/>
          <c:x val="5.6202584210442254E-2"/>
          <c:y val="0.89998967342196989"/>
          <c:w val="0.80135324463752378"/>
          <c:h val="0.100010455124644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700"/>
      </a:pPr>
      <a:endParaRPr lang="zh-C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a:t>sequential write bandwidth(MB/s) </a:t>
            </a:r>
            <a:endParaRPr lang="zh-CN"/>
          </a:p>
        </c:rich>
      </c:tx>
      <c:layout>
        <c:manualLayout>
          <c:xMode val="edge"/>
          <c:yMode val="edge"/>
          <c:x val="0.17187914114837319"/>
          <c:y val="1.16838497456922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043666448387663"/>
          <c:y val="0.17418733995080823"/>
          <c:w val="0.75401969170538907"/>
          <c:h val="0.55530945872036075"/>
        </c:manualLayout>
      </c:layout>
      <c:lineChart>
        <c:grouping val="standard"/>
        <c:varyColors val="0"/>
        <c:ser>
          <c:idx val="1"/>
          <c:order val="1"/>
          <c:tx>
            <c:strRef>
              <c:f>fio!$G$2</c:f>
              <c:strCache>
                <c:ptCount val="1"/>
                <c:pt idx="0">
                  <c:v>OptaneSSD</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fio!$D$3:$D$16</c15:sqref>
                  </c15:fullRef>
                </c:ext>
              </c:extLst>
              <c:f>fio!$D$5:$D$16</c:f>
              <c:strCache>
                <c:ptCount val="12"/>
                <c:pt idx="0">
                  <c:v>512B</c:v>
                </c:pt>
                <c:pt idx="1">
                  <c:v>1KB</c:v>
                </c:pt>
                <c:pt idx="2">
                  <c:v>2KB</c:v>
                </c:pt>
                <c:pt idx="3">
                  <c:v>4KB</c:v>
                </c:pt>
                <c:pt idx="4">
                  <c:v>8KB</c:v>
                </c:pt>
                <c:pt idx="5">
                  <c:v>16KB</c:v>
                </c:pt>
                <c:pt idx="6">
                  <c:v>32KB</c:v>
                </c:pt>
                <c:pt idx="7">
                  <c:v>64KB</c:v>
                </c:pt>
                <c:pt idx="8">
                  <c:v>128KB</c:v>
                </c:pt>
                <c:pt idx="9">
                  <c:v>256KB</c:v>
                </c:pt>
                <c:pt idx="10">
                  <c:v>512KB</c:v>
                </c:pt>
                <c:pt idx="11">
                  <c:v>1M</c:v>
                </c:pt>
              </c:strCache>
            </c:strRef>
          </c:cat>
          <c:val>
            <c:numRef>
              <c:extLst>
                <c:ext xmlns:c15="http://schemas.microsoft.com/office/drawing/2012/chart" uri="{02D57815-91ED-43cb-92C2-25804820EDAC}">
                  <c15:fullRef>
                    <c15:sqref>fio!$G$3:$G$16</c15:sqref>
                  </c15:fullRef>
                </c:ext>
              </c:extLst>
              <c:f>fio!$G$5:$G$16</c:f>
              <c:numCache>
                <c:formatCode>General</c:formatCode>
                <c:ptCount val="12"/>
                <c:pt idx="0">
                  <c:v>16.5</c:v>
                </c:pt>
                <c:pt idx="1">
                  <c:v>36</c:v>
                </c:pt>
                <c:pt idx="2">
                  <c:v>84</c:v>
                </c:pt>
                <c:pt idx="3">
                  <c:v>326</c:v>
                </c:pt>
                <c:pt idx="4">
                  <c:v>574</c:v>
                </c:pt>
                <c:pt idx="5">
                  <c:v>904</c:v>
                </c:pt>
                <c:pt idx="6">
                  <c:v>1267</c:v>
                </c:pt>
                <c:pt idx="7">
                  <c:v>1632</c:v>
                </c:pt>
                <c:pt idx="8">
                  <c:v>1866</c:v>
                </c:pt>
                <c:pt idx="9">
                  <c:v>2059</c:v>
                </c:pt>
                <c:pt idx="10">
                  <c:v>2176</c:v>
                </c:pt>
                <c:pt idx="11">
                  <c:v>2235</c:v>
                </c:pt>
              </c:numCache>
            </c:numRef>
          </c:val>
          <c:smooth val="0"/>
          <c:extLst>
            <c:ext xmlns:c16="http://schemas.microsoft.com/office/drawing/2014/chart" uri="{C3380CC4-5D6E-409C-BE32-E72D297353CC}">
              <c16:uniqueId val="{00000000-C1C9-4222-AA55-89E1D7684450}"/>
            </c:ext>
          </c:extLst>
        </c:ser>
        <c:ser>
          <c:idx val="2"/>
          <c:order val="2"/>
          <c:tx>
            <c:strRef>
              <c:f>fio!$I$2</c:f>
              <c:strCache>
                <c:ptCount val="1"/>
                <c:pt idx="0">
                  <c:v>NVMeSSD</c:v>
                </c:pt>
              </c:strCache>
            </c:strRef>
          </c:tx>
          <c:spPr>
            <a:ln w="28575" cap="rnd">
              <a:solidFill>
                <a:schemeClr val="accent3"/>
              </a:solidFill>
              <a:round/>
            </a:ln>
            <a:effectLst/>
          </c:spPr>
          <c:marker>
            <c:symbol val="none"/>
          </c:marker>
          <c:cat>
            <c:strRef>
              <c:extLst>
                <c:ext xmlns:c15="http://schemas.microsoft.com/office/drawing/2012/chart" uri="{02D57815-91ED-43cb-92C2-25804820EDAC}">
                  <c15:fullRef>
                    <c15:sqref>fio!$D$3:$D$16</c15:sqref>
                  </c15:fullRef>
                </c:ext>
              </c:extLst>
              <c:f>fio!$D$5:$D$16</c:f>
              <c:strCache>
                <c:ptCount val="12"/>
                <c:pt idx="0">
                  <c:v>512B</c:v>
                </c:pt>
                <c:pt idx="1">
                  <c:v>1KB</c:v>
                </c:pt>
                <c:pt idx="2">
                  <c:v>2KB</c:v>
                </c:pt>
                <c:pt idx="3">
                  <c:v>4KB</c:v>
                </c:pt>
                <c:pt idx="4">
                  <c:v>8KB</c:v>
                </c:pt>
                <c:pt idx="5">
                  <c:v>16KB</c:v>
                </c:pt>
                <c:pt idx="6">
                  <c:v>32KB</c:v>
                </c:pt>
                <c:pt idx="7">
                  <c:v>64KB</c:v>
                </c:pt>
                <c:pt idx="8">
                  <c:v>128KB</c:v>
                </c:pt>
                <c:pt idx="9">
                  <c:v>256KB</c:v>
                </c:pt>
                <c:pt idx="10">
                  <c:v>512KB</c:v>
                </c:pt>
                <c:pt idx="11">
                  <c:v>1M</c:v>
                </c:pt>
              </c:strCache>
            </c:strRef>
          </c:cat>
          <c:val>
            <c:numRef>
              <c:extLst>
                <c:ext xmlns:c15="http://schemas.microsoft.com/office/drawing/2012/chart" uri="{02D57815-91ED-43cb-92C2-25804820EDAC}">
                  <c15:fullRef>
                    <c15:sqref>fio!$I$3:$I$16</c15:sqref>
                  </c15:fullRef>
                </c:ext>
              </c:extLst>
              <c:f>fio!$I$5:$I$16</c:f>
              <c:numCache>
                <c:formatCode>General</c:formatCode>
                <c:ptCount val="12"/>
                <c:pt idx="0">
                  <c:v>44</c:v>
                </c:pt>
                <c:pt idx="1">
                  <c:v>91</c:v>
                </c:pt>
                <c:pt idx="2">
                  <c:v>175</c:v>
                </c:pt>
                <c:pt idx="3">
                  <c:v>334</c:v>
                </c:pt>
                <c:pt idx="4">
                  <c:v>600</c:v>
                </c:pt>
                <c:pt idx="5">
                  <c:v>979</c:v>
                </c:pt>
                <c:pt idx="6">
                  <c:v>1485</c:v>
                </c:pt>
                <c:pt idx="7">
                  <c:v>1988</c:v>
                </c:pt>
                <c:pt idx="8">
                  <c:v>2285</c:v>
                </c:pt>
                <c:pt idx="9">
                  <c:v>2294</c:v>
                </c:pt>
                <c:pt idx="10">
                  <c:v>2270</c:v>
                </c:pt>
                <c:pt idx="11">
                  <c:v>2280</c:v>
                </c:pt>
              </c:numCache>
            </c:numRef>
          </c:val>
          <c:smooth val="0"/>
          <c:extLst>
            <c:ext xmlns:c16="http://schemas.microsoft.com/office/drawing/2014/chart" uri="{C3380CC4-5D6E-409C-BE32-E72D297353CC}">
              <c16:uniqueId val="{00000002-C1C9-4222-AA55-89E1D7684450}"/>
            </c:ext>
          </c:extLst>
        </c:ser>
        <c:dLbls>
          <c:showLegendKey val="0"/>
          <c:showVal val="0"/>
          <c:showCatName val="0"/>
          <c:showSerName val="0"/>
          <c:showPercent val="0"/>
          <c:showBubbleSize val="0"/>
        </c:dLbls>
        <c:marker val="1"/>
        <c:smooth val="0"/>
        <c:axId val="723483792"/>
        <c:axId val="796399824"/>
      </c:lineChart>
      <c:lineChart>
        <c:grouping val="standard"/>
        <c:varyColors val="0"/>
        <c:ser>
          <c:idx val="0"/>
          <c:order val="0"/>
          <c:tx>
            <c:strRef>
              <c:f>fio!$F$2</c:f>
              <c:strCache>
                <c:ptCount val="1"/>
                <c:pt idx="0">
                  <c:v>HDD(secondary axis)</c:v>
                </c:pt>
              </c:strCache>
            </c:strRef>
          </c:tx>
          <c:spPr>
            <a:ln w="19050" cap="rnd">
              <a:solidFill>
                <a:schemeClr val="accent1"/>
              </a:solidFill>
              <a:round/>
            </a:ln>
            <a:effectLst/>
          </c:spPr>
          <c:marker>
            <c:symbol val="none"/>
          </c:marker>
          <c:cat>
            <c:strRef>
              <c:extLst>
                <c:ext xmlns:c15="http://schemas.microsoft.com/office/drawing/2012/chart" uri="{02D57815-91ED-43cb-92C2-25804820EDAC}">
                  <c15:fullRef>
                    <c15:sqref>fio!$D$3:$D$16</c15:sqref>
                  </c15:fullRef>
                </c:ext>
              </c:extLst>
              <c:f>fio!$D$5:$D$16</c:f>
              <c:strCache>
                <c:ptCount val="12"/>
                <c:pt idx="0">
                  <c:v>512B</c:v>
                </c:pt>
                <c:pt idx="1">
                  <c:v>1KB</c:v>
                </c:pt>
                <c:pt idx="2">
                  <c:v>2KB</c:v>
                </c:pt>
                <c:pt idx="3">
                  <c:v>4KB</c:v>
                </c:pt>
                <c:pt idx="4">
                  <c:v>8KB</c:v>
                </c:pt>
                <c:pt idx="5">
                  <c:v>16KB</c:v>
                </c:pt>
                <c:pt idx="6">
                  <c:v>32KB</c:v>
                </c:pt>
                <c:pt idx="7">
                  <c:v>64KB</c:v>
                </c:pt>
                <c:pt idx="8">
                  <c:v>128KB</c:v>
                </c:pt>
                <c:pt idx="9">
                  <c:v>256KB</c:v>
                </c:pt>
                <c:pt idx="10">
                  <c:v>512KB</c:v>
                </c:pt>
                <c:pt idx="11">
                  <c:v>1M</c:v>
                </c:pt>
              </c:strCache>
            </c:strRef>
          </c:cat>
          <c:val>
            <c:numRef>
              <c:extLst>
                <c:ext xmlns:c15="http://schemas.microsoft.com/office/drawing/2012/chart" uri="{02D57815-91ED-43cb-92C2-25804820EDAC}">
                  <c15:fullRef>
                    <c15:sqref>fio!$F$3:$F$16</c15:sqref>
                  </c15:fullRef>
                </c:ext>
              </c:extLst>
              <c:f>fio!$F$5:$F$16</c:f>
              <c:numCache>
                <c:formatCode>General</c:formatCode>
                <c:ptCount val="12"/>
                <c:pt idx="0">
                  <c:v>110</c:v>
                </c:pt>
                <c:pt idx="1">
                  <c:v>110</c:v>
                </c:pt>
                <c:pt idx="2">
                  <c:v>110</c:v>
                </c:pt>
                <c:pt idx="3">
                  <c:v>110</c:v>
                </c:pt>
                <c:pt idx="4">
                  <c:v>110</c:v>
                </c:pt>
                <c:pt idx="5">
                  <c:v>110</c:v>
                </c:pt>
                <c:pt idx="6">
                  <c:v>110</c:v>
                </c:pt>
                <c:pt idx="7">
                  <c:v>110</c:v>
                </c:pt>
                <c:pt idx="8">
                  <c:v>110</c:v>
                </c:pt>
                <c:pt idx="9">
                  <c:v>110</c:v>
                </c:pt>
                <c:pt idx="10">
                  <c:v>110</c:v>
                </c:pt>
                <c:pt idx="11">
                  <c:v>110</c:v>
                </c:pt>
              </c:numCache>
            </c:numRef>
          </c:val>
          <c:smooth val="0"/>
          <c:extLst>
            <c:ext xmlns:c16="http://schemas.microsoft.com/office/drawing/2014/chart" uri="{C3380CC4-5D6E-409C-BE32-E72D297353CC}">
              <c16:uniqueId val="{00000001-C1C9-4222-AA55-89E1D7684450}"/>
            </c:ext>
          </c:extLst>
        </c:ser>
        <c:dLbls>
          <c:showLegendKey val="0"/>
          <c:showVal val="0"/>
          <c:showCatName val="0"/>
          <c:showSerName val="0"/>
          <c:showPercent val="0"/>
          <c:showBubbleSize val="0"/>
        </c:dLbls>
        <c:marker val="1"/>
        <c:smooth val="0"/>
        <c:axId val="939473376"/>
        <c:axId val="941108304"/>
      </c:lineChart>
      <c:catAx>
        <c:axId val="72348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crossAx val="796399824"/>
        <c:crosses val="autoZero"/>
        <c:auto val="1"/>
        <c:lblAlgn val="ctr"/>
        <c:lblOffset val="100"/>
        <c:noMultiLvlLbl val="0"/>
      </c:catAx>
      <c:valAx>
        <c:axId val="796399824"/>
        <c:scaling>
          <c:orientation val="minMax"/>
          <c:max val="2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crossAx val="723483792"/>
        <c:crosses val="autoZero"/>
        <c:crossBetween val="between"/>
      </c:valAx>
      <c:valAx>
        <c:axId val="941108304"/>
        <c:scaling>
          <c:orientation val="minMax"/>
          <c:max val="500"/>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crossAx val="939473376"/>
        <c:crosses val="max"/>
        <c:crossBetween val="between"/>
      </c:valAx>
      <c:catAx>
        <c:axId val="939473376"/>
        <c:scaling>
          <c:orientation val="minMax"/>
        </c:scaling>
        <c:delete val="1"/>
        <c:axPos val="b"/>
        <c:numFmt formatCode="General" sourceLinked="1"/>
        <c:majorTickMark val="out"/>
        <c:minorTickMark val="none"/>
        <c:tickLblPos val="nextTo"/>
        <c:crossAx val="941108304"/>
        <c:crosses val="autoZero"/>
        <c:auto val="1"/>
        <c:lblAlgn val="ctr"/>
        <c:lblOffset val="100"/>
        <c:noMultiLvlLbl val="0"/>
      </c:catAx>
      <c:spPr>
        <a:noFill/>
        <a:ln>
          <a:noFill/>
        </a:ln>
        <a:effectLst/>
      </c:spPr>
    </c:plotArea>
    <c:legend>
      <c:legendPos val="b"/>
      <c:layout>
        <c:manualLayout>
          <c:xMode val="edge"/>
          <c:yMode val="edge"/>
          <c:x val="0"/>
          <c:y val="0.89998967342196989"/>
          <c:w val="0.9919913913469014"/>
          <c:h val="0.100010732159197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pPr>
      <a:endParaRPr lang="zh-CN"/>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'log,memtable单测'!$C$3</c:f>
              <c:strCache>
                <c:ptCount val="1"/>
                <c:pt idx="0">
                  <c:v>平均memtable插入时间（ns）</c:v>
                </c:pt>
              </c:strCache>
            </c:strRef>
          </c:tx>
          <c:spPr>
            <a:solidFill>
              <a:schemeClr val="accent1"/>
            </a:solidFill>
            <a:ln>
              <a:noFill/>
            </a:ln>
            <a:effectLst/>
          </c:spPr>
          <c:invertIfNegative val="0"/>
          <c:cat>
            <c:strRef>
              <c:f>'log,memtable单测'!$B$4:$B$8</c:f>
              <c:strCache>
                <c:ptCount val="5"/>
                <c:pt idx="0">
                  <c:v>1并发</c:v>
                </c:pt>
                <c:pt idx="1">
                  <c:v>4并发</c:v>
                </c:pt>
                <c:pt idx="2">
                  <c:v>16并发</c:v>
                </c:pt>
                <c:pt idx="3">
                  <c:v>64并发</c:v>
                </c:pt>
                <c:pt idx="4">
                  <c:v>1000并发</c:v>
                </c:pt>
              </c:strCache>
            </c:strRef>
          </c:cat>
          <c:val>
            <c:numRef>
              <c:f>'log,memtable单测'!$C$4:$C$8</c:f>
              <c:numCache>
                <c:formatCode>General</c:formatCode>
                <c:ptCount val="5"/>
                <c:pt idx="0">
                  <c:v>350</c:v>
                </c:pt>
                <c:pt idx="1">
                  <c:v>275</c:v>
                </c:pt>
                <c:pt idx="2">
                  <c:v>250</c:v>
                </c:pt>
                <c:pt idx="3">
                  <c:v>234</c:v>
                </c:pt>
                <c:pt idx="4">
                  <c:v>240</c:v>
                </c:pt>
              </c:numCache>
            </c:numRef>
          </c:val>
          <c:extLst>
            <c:ext xmlns:c16="http://schemas.microsoft.com/office/drawing/2014/chart" uri="{C3380CC4-5D6E-409C-BE32-E72D297353CC}">
              <c16:uniqueId val="{00000000-B016-4FF0-987D-5D1D4426BF9D}"/>
            </c:ext>
          </c:extLst>
        </c:ser>
        <c:dLbls>
          <c:showLegendKey val="0"/>
          <c:showVal val="0"/>
          <c:showCatName val="0"/>
          <c:showSerName val="0"/>
          <c:showPercent val="0"/>
          <c:showBubbleSize val="0"/>
        </c:dLbls>
        <c:gapWidth val="219"/>
        <c:axId val="1805058432"/>
        <c:axId val="223553824"/>
      </c:barChart>
      <c:catAx>
        <c:axId val="180505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553824"/>
        <c:crosses val="autoZero"/>
        <c:auto val="1"/>
        <c:lblAlgn val="ctr"/>
        <c:lblOffset val="100"/>
        <c:noMultiLvlLbl val="0"/>
      </c:catAx>
      <c:valAx>
        <c:axId val="22355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0505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KQPS</a:t>
            </a:r>
            <a:endParaRPr lang="zh-CN"/>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0657396111600009"/>
          <c:y val="0.18030503122013475"/>
          <c:w val="0.846080404450956"/>
          <c:h val="0.43945160814967527"/>
        </c:manualLayout>
      </c:layout>
      <c:lineChart>
        <c:grouping val="standard"/>
        <c:varyColors val="0"/>
        <c:ser>
          <c:idx val="0"/>
          <c:order val="0"/>
          <c:tx>
            <c:strRef>
              <c:f>'log,memtable单测'!$A$97</c:f>
              <c:strCache>
                <c:ptCount val="1"/>
                <c:pt idx="0">
                  <c:v>write on SSD</c:v>
                </c:pt>
              </c:strCache>
            </c:strRef>
          </c:tx>
          <c:spPr>
            <a:ln w="28575" cap="rnd">
              <a:solidFill>
                <a:srgbClr val="0070C0"/>
              </a:solidFill>
              <a:prstDash val="dash"/>
              <a:round/>
            </a:ln>
            <a:effectLst/>
          </c:spPr>
          <c:marker>
            <c:symbol val="triangle"/>
            <c:size val="8"/>
            <c:spPr>
              <a:solidFill>
                <a:srgbClr val="0070C0"/>
              </a:solidFill>
              <a:ln w="9525">
                <a:noFill/>
              </a:ln>
              <a:effectLst/>
            </c:spPr>
          </c:marker>
          <c:cat>
            <c:strRef>
              <c:f>'log,memtable单测'!$B$96:$E$96</c:f>
              <c:strCache>
                <c:ptCount val="4"/>
                <c:pt idx="0">
                  <c:v>1thread</c:v>
                </c:pt>
                <c:pt idx="1">
                  <c:v>4threads</c:v>
                </c:pt>
                <c:pt idx="2">
                  <c:v>8threads</c:v>
                </c:pt>
                <c:pt idx="3">
                  <c:v>16threads</c:v>
                </c:pt>
              </c:strCache>
            </c:strRef>
          </c:cat>
          <c:val>
            <c:numRef>
              <c:f>'log,memtable单测'!$B$97:$E$97</c:f>
              <c:numCache>
                <c:formatCode>General</c:formatCode>
                <c:ptCount val="4"/>
                <c:pt idx="0">
                  <c:v>285</c:v>
                </c:pt>
                <c:pt idx="1">
                  <c:v>322</c:v>
                </c:pt>
                <c:pt idx="2">
                  <c:v>509</c:v>
                </c:pt>
                <c:pt idx="3">
                  <c:v>677</c:v>
                </c:pt>
              </c:numCache>
            </c:numRef>
          </c:val>
          <c:smooth val="0"/>
          <c:extLst>
            <c:ext xmlns:c16="http://schemas.microsoft.com/office/drawing/2014/chart" uri="{C3380CC4-5D6E-409C-BE32-E72D297353CC}">
              <c16:uniqueId val="{00000000-7D87-4982-8515-5408E9263CF9}"/>
            </c:ext>
          </c:extLst>
        </c:ser>
        <c:ser>
          <c:idx val="1"/>
          <c:order val="1"/>
          <c:tx>
            <c:strRef>
              <c:f>'log,memtable单测'!$A$98</c:f>
              <c:strCache>
                <c:ptCount val="1"/>
                <c:pt idx="0">
                  <c:v>read on SSD</c:v>
                </c:pt>
              </c:strCache>
            </c:strRef>
          </c:tx>
          <c:spPr>
            <a:ln w="28575" cap="rnd">
              <a:solidFill>
                <a:srgbClr val="0070C0"/>
              </a:solidFill>
              <a:round/>
            </a:ln>
            <a:effectLst/>
          </c:spPr>
          <c:marker>
            <c:symbol val="circle"/>
            <c:size val="7"/>
            <c:spPr>
              <a:solidFill>
                <a:srgbClr val="0070C0"/>
              </a:solidFill>
              <a:ln w="9525">
                <a:noFill/>
              </a:ln>
              <a:effectLst/>
            </c:spPr>
          </c:marker>
          <c:cat>
            <c:strRef>
              <c:f>'log,memtable单测'!$B$96:$E$96</c:f>
              <c:strCache>
                <c:ptCount val="4"/>
                <c:pt idx="0">
                  <c:v>1thread</c:v>
                </c:pt>
                <c:pt idx="1">
                  <c:v>4threads</c:v>
                </c:pt>
                <c:pt idx="2">
                  <c:v>8threads</c:v>
                </c:pt>
                <c:pt idx="3">
                  <c:v>16threads</c:v>
                </c:pt>
              </c:strCache>
            </c:strRef>
          </c:cat>
          <c:val>
            <c:numRef>
              <c:f>'log,memtable单测'!$B$98:$E$98</c:f>
              <c:numCache>
                <c:formatCode>General</c:formatCode>
                <c:ptCount val="4"/>
                <c:pt idx="0">
                  <c:v>131</c:v>
                </c:pt>
                <c:pt idx="1">
                  <c:v>464</c:v>
                </c:pt>
                <c:pt idx="2">
                  <c:v>856</c:v>
                </c:pt>
                <c:pt idx="3">
                  <c:v>1362</c:v>
                </c:pt>
              </c:numCache>
            </c:numRef>
          </c:val>
          <c:smooth val="0"/>
          <c:extLst>
            <c:ext xmlns:c16="http://schemas.microsoft.com/office/drawing/2014/chart" uri="{C3380CC4-5D6E-409C-BE32-E72D297353CC}">
              <c16:uniqueId val="{00000001-7D87-4982-8515-5408E9263CF9}"/>
            </c:ext>
          </c:extLst>
        </c:ser>
        <c:ser>
          <c:idx val="2"/>
          <c:order val="2"/>
          <c:tx>
            <c:strRef>
              <c:f>'log,memtable单测'!$A$99</c:f>
              <c:strCache>
                <c:ptCount val="1"/>
                <c:pt idx="0">
                  <c:v>write on HDD</c:v>
                </c:pt>
              </c:strCache>
            </c:strRef>
          </c:tx>
          <c:spPr>
            <a:ln w="19050" cap="rnd">
              <a:solidFill>
                <a:srgbClr val="FF0000"/>
              </a:solidFill>
              <a:prstDash val="dash"/>
              <a:round/>
            </a:ln>
            <a:effectLst/>
          </c:spPr>
          <c:marker>
            <c:symbol val="triangle"/>
            <c:size val="7"/>
            <c:spPr>
              <a:solidFill>
                <a:srgbClr val="FF0000"/>
              </a:solidFill>
              <a:ln w="9525">
                <a:noFill/>
              </a:ln>
              <a:effectLst/>
            </c:spPr>
          </c:marker>
          <c:cat>
            <c:strRef>
              <c:f>'log,memtable单测'!$B$96:$E$96</c:f>
              <c:strCache>
                <c:ptCount val="4"/>
                <c:pt idx="0">
                  <c:v>1thread</c:v>
                </c:pt>
                <c:pt idx="1">
                  <c:v>4threads</c:v>
                </c:pt>
                <c:pt idx="2">
                  <c:v>8threads</c:v>
                </c:pt>
                <c:pt idx="3">
                  <c:v>16threads</c:v>
                </c:pt>
              </c:strCache>
            </c:strRef>
          </c:cat>
          <c:val>
            <c:numRef>
              <c:f>'log,memtable单测'!$B$99:$E$99</c:f>
              <c:numCache>
                <c:formatCode>General</c:formatCode>
                <c:ptCount val="4"/>
                <c:pt idx="0">
                  <c:v>171</c:v>
                </c:pt>
                <c:pt idx="1">
                  <c:v>182</c:v>
                </c:pt>
                <c:pt idx="2">
                  <c:v>175</c:v>
                </c:pt>
                <c:pt idx="3">
                  <c:v>182</c:v>
                </c:pt>
              </c:numCache>
            </c:numRef>
          </c:val>
          <c:smooth val="0"/>
          <c:extLst>
            <c:ext xmlns:c16="http://schemas.microsoft.com/office/drawing/2014/chart" uri="{C3380CC4-5D6E-409C-BE32-E72D297353CC}">
              <c16:uniqueId val="{00000000-E564-4A26-ADC5-2445E238C4DD}"/>
            </c:ext>
          </c:extLst>
        </c:ser>
        <c:ser>
          <c:idx val="3"/>
          <c:order val="3"/>
          <c:tx>
            <c:strRef>
              <c:f>'log,memtable单测'!$A$100</c:f>
              <c:strCache>
                <c:ptCount val="1"/>
                <c:pt idx="0">
                  <c:v>read on HDD</c:v>
                </c:pt>
              </c:strCache>
            </c:strRef>
          </c:tx>
          <c:spPr>
            <a:ln w="19050" cap="rnd">
              <a:solidFill>
                <a:srgbClr val="FF0000"/>
              </a:solidFill>
              <a:prstDash val="solid"/>
              <a:round/>
            </a:ln>
            <a:effectLst/>
          </c:spPr>
          <c:marker>
            <c:symbol val="circle"/>
            <c:size val="7"/>
            <c:spPr>
              <a:solidFill>
                <a:srgbClr val="FF0000"/>
              </a:solidFill>
              <a:ln w="9525">
                <a:noFill/>
              </a:ln>
              <a:effectLst/>
            </c:spPr>
          </c:marker>
          <c:cat>
            <c:strRef>
              <c:f>'log,memtable单测'!$B$96:$E$96</c:f>
              <c:strCache>
                <c:ptCount val="4"/>
                <c:pt idx="0">
                  <c:v>1thread</c:v>
                </c:pt>
                <c:pt idx="1">
                  <c:v>4threads</c:v>
                </c:pt>
                <c:pt idx="2">
                  <c:v>8threads</c:v>
                </c:pt>
                <c:pt idx="3">
                  <c:v>16threads</c:v>
                </c:pt>
              </c:strCache>
            </c:strRef>
          </c:cat>
          <c:val>
            <c:numRef>
              <c:f>'log,memtable单测'!$B$100:$E$100</c:f>
              <c:numCache>
                <c:formatCode>General</c:formatCode>
                <c:ptCount val="4"/>
                <c:pt idx="0">
                  <c:v>0.16</c:v>
                </c:pt>
                <c:pt idx="1">
                  <c:v>0.26</c:v>
                </c:pt>
                <c:pt idx="2">
                  <c:v>0.31</c:v>
                </c:pt>
                <c:pt idx="3">
                  <c:v>0.35</c:v>
                </c:pt>
              </c:numCache>
            </c:numRef>
          </c:val>
          <c:smooth val="0"/>
          <c:extLst>
            <c:ext xmlns:c16="http://schemas.microsoft.com/office/drawing/2014/chart" uri="{C3380CC4-5D6E-409C-BE32-E72D297353CC}">
              <c16:uniqueId val="{00000001-E564-4A26-ADC5-2445E238C4DD}"/>
            </c:ext>
          </c:extLst>
        </c:ser>
        <c:dLbls>
          <c:showLegendKey val="0"/>
          <c:showVal val="0"/>
          <c:showCatName val="0"/>
          <c:showSerName val="0"/>
          <c:showPercent val="0"/>
          <c:showBubbleSize val="0"/>
        </c:dLbls>
        <c:marker val="1"/>
        <c:smooth val="0"/>
        <c:axId val="1019165712"/>
        <c:axId val="905867392"/>
      </c:lineChart>
      <c:catAx>
        <c:axId val="101916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zh-CN"/>
          </a:p>
        </c:txPr>
        <c:crossAx val="905867392"/>
        <c:crosses val="autoZero"/>
        <c:auto val="1"/>
        <c:lblAlgn val="ctr"/>
        <c:lblOffset val="100"/>
        <c:noMultiLvlLbl val="0"/>
      </c:catAx>
      <c:valAx>
        <c:axId val="90586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zh-CN"/>
          </a:p>
        </c:txPr>
        <c:crossAx val="1019165712"/>
        <c:crosses val="autoZero"/>
        <c:crossBetween val="between"/>
      </c:valAx>
      <c:spPr>
        <a:noFill/>
        <a:ln>
          <a:noFill/>
        </a:ln>
        <a:effectLst/>
      </c:spPr>
    </c:plotArea>
    <c:legend>
      <c:legendPos val="b"/>
      <c:layout>
        <c:manualLayout>
          <c:xMode val="edge"/>
          <c:yMode val="edge"/>
          <c:x val="0"/>
          <c:y val="0.74636146760003563"/>
          <c:w val="0.9852060995123566"/>
          <c:h val="0.189598857583356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zh-CN"/>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altLang="zh-CN" sz="1000">
                <a:latin typeface="Times New Roman" panose="02020603050405020304" pitchFamily="18" charset="0"/>
                <a:cs typeface="Times New Roman" panose="02020603050405020304" pitchFamily="18" charset="0"/>
              </a:rPr>
              <a:t>size of datablock</a:t>
            </a:r>
            <a:endParaRPr lang="zh-CN" altLang="en-US" sz="1000">
              <a:latin typeface="Times New Roman" panose="02020603050405020304" pitchFamily="18" charset="0"/>
              <a:cs typeface="Times New Roman" panose="02020603050405020304" pitchFamily="18" charset="0"/>
            </a:endParaRPr>
          </a:p>
        </c:rich>
      </c:tx>
      <c:layout>
        <c:manualLayout>
          <c:xMode val="edge"/>
          <c:yMode val="edge"/>
          <c:x val="0.40577507598784196"/>
          <c:y val="0.86413006499055767"/>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00574874949142"/>
          <c:y val="0.22263598825916284"/>
          <c:w val="0.86599047459493095"/>
          <c:h val="0.53783484344623267"/>
        </c:manualLayout>
      </c:layout>
      <c:lineChart>
        <c:grouping val="standard"/>
        <c:varyColors val="0"/>
        <c:ser>
          <c:idx val="0"/>
          <c:order val="0"/>
          <c:tx>
            <c:strRef>
              <c:f>'log,memtable单测'!$B$30</c:f>
              <c:strCache>
                <c:ptCount val="1"/>
                <c:pt idx="0">
                  <c:v>sync always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'log,memtable单测'!$C$29:$J$29</c:f>
              <c:strCache>
                <c:ptCount val="8"/>
                <c:pt idx="0">
                  <c:v>100</c:v>
                </c:pt>
                <c:pt idx="1">
                  <c:v>256</c:v>
                </c:pt>
                <c:pt idx="2">
                  <c:v>512</c:v>
                </c:pt>
                <c:pt idx="3">
                  <c:v>1024</c:v>
                </c:pt>
                <c:pt idx="4">
                  <c:v>2k</c:v>
                </c:pt>
                <c:pt idx="5">
                  <c:v>4k</c:v>
                </c:pt>
                <c:pt idx="6">
                  <c:v>8k</c:v>
                </c:pt>
                <c:pt idx="7">
                  <c:v>16k</c:v>
                </c:pt>
              </c:strCache>
            </c:strRef>
          </c:cat>
          <c:val>
            <c:numRef>
              <c:f>'log,memtable单测'!$C$30:$J$30</c:f>
              <c:numCache>
                <c:formatCode>General</c:formatCode>
                <c:ptCount val="8"/>
                <c:pt idx="0">
                  <c:v>2.2000000000000002</c:v>
                </c:pt>
                <c:pt idx="1">
                  <c:v>5</c:v>
                </c:pt>
                <c:pt idx="2">
                  <c:v>9.5</c:v>
                </c:pt>
                <c:pt idx="3">
                  <c:v>19</c:v>
                </c:pt>
                <c:pt idx="4">
                  <c:v>32</c:v>
                </c:pt>
                <c:pt idx="5">
                  <c:v>59.2</c:v>
                </c:pt>
                <c:pt idx="6">
                  <c:v>111.5</c:v>
                </c:pt>
                <c:pt idx="7">
                  <c:v>173</c:v>
                </c:pt>
              </c:numCache>
            </c:numRef>
          </c:val>
          <c:smooth val="0"/>
          <c:extLst>
            <c:ext xmlns:c16="http://schemas.microsoft.com/office/drawing/2014/chart" uri="{C3380CC4-5D6E-409C-BE32-E72D297353CC}">
              <c16:uniqueId val="{00000000-D219-4C5C-81D9-170F9632D64B}"/>
            </c:ext>
          </c:extLst>
        </c:ser>
        <c:ser>
          <c:idx val="1"/>
          <c:order val="1"/>
          <c:tx>
            <c:strRef>
              <c:f>'log,memtable单测'!$B$31</c:f>
              <c:strCache>
                <c:ptCount val="1"/>
                <c:pt idx="0">
                  <c:v>sync every 1MB</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'log,memtable单测'!$C$29:$J$29</c:f>
              <c:strCache>
                <c:ptCount val="8"/>
                <c:pt idx="0">
                  <c:v>100</c:v>
                </c:pt>
                <c:pt idx="1">
                  <c:v>256</c:v>
                </c:pt>
                <c:pt idx="2">
                  <c:v>512</c:v>
                </c:pt>
                <c:pt idx="3">
                  <c:v>1024</c:v>
                </c:pt>
                <c:pt idx="4">
                  <c:v>2k</c:v>
                </c:pt>
                <c:pt idx="5">
                  <c:v>4k</c:v>
                </c:pt>
                <c:pt idx="6">
                  <c:v>8k</c:v>
                </c:pt>
                <c:pt idx="7">
                  <c:v>16k</c:v>
                </c:pt>
              </c:strCache>
            </c:strRef>
          </c:cat>
          <c:val>
            <c:numRef>
              <c:f>'log,memtable单测'!$C$31:$J$31</c:f>
              <c:numCache>
                <c:formatCode>General</c:formatCode>
                <c:ptCount val="8"/>
                <c:pt idx="0">
                  <c:v>60.1</c:v>
                </c:pt>
                <c:pt idx="1">
                  <c:v>123.8</c:v>
                </c:pt>
                <c:pt idx="2">
                  <c:v>214.8</c:v>
                </c:pt>
                <c:pt idx="3">
                  <c:v>370.5</c:v>
                </c:pt>
                <c:pt idx="4">
                  <c:v>534.70000000000005</c:v>
                </c:pt>
                <c:pt idx="5">
                  <c:v>706.3</c:v>
                </c:pt>
                <c:pt idx="6">
                  <c:v>889.5</c:v>
                </c:pt>
                <c:pt idx="7">
                  <c:v>986</c:v>
                </c:pt>
              </c:numCache>
            </c:numRef>
          </c:val>
          <c:smooth val="0"/>
          <c:extLst>
            <c:ext xmlns:c16="http://schemas.microsoft.com/office/drawing/2014/chart" uri="{C3380CC4-5D6E-409C-BE32-E72D297353CC}">
              <c16:uniqueId val="{00000001-D219-4C5C-81D9-170F9632D64B}"/>
            </c:ext>
          </c:extLst>
        </c:ser>
        <c:ser>
          <c:idx val="3"/>
          <c:order val="2"/>
          <c:tx>
            <c:strRef>
              <c:f>'log,memtable单测'!$B$33</c:f>
              <c:strCache>
                <c:ptCount val="1"/>
                <c:pt idx="0">
                  <c:v>no sync</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'log,memtable单测'!$C$29:$J$29</c:f>
              <c:strCache>
                <c:ptCount val="8"/>
                <c:pt idx="0">
                  <c:v>100</c:v>
                </c:pt>
                <c:pt idx="1">
                  <c:v>256</c:v>
                </c:pt>
                <c:pt idx="2">
                  <c:v>512</c:v>
                </c:pt>
                <c:pt idx="3">
                  <c:v>1024</c:v>
                </c:pt>
                <c:pt idx="4">
                  <c:v>2k</c:v>
                </c:pt>
                <c:pt idx="5">
                  <c:v>4k</c:v>
                </c:pt>
                <c:pt idx="6">
                  <c:v>8k</c:v>
                </c:pt>
                <c:pt idx="7">
                  <c:v>16k</c:v>
                </c:pt>
              </c:strCache>
            </c:strRef>
          </c:cat>
          <c:val>
            <c:numRef>
              <c:f>'log,memtable单测'!$C$33:$J$33</c:f>
              <c:numCache>
                <c:formatCode>General</c:formatCode>
                <c:ptCount val="8"/>
                <c:pt idx="0">
                  <c:v>61.7</c:v>
                </c:pt>
                <c:pt idx="1">
                  <c:v>129.6</c:v>
                </c:pt>
                <c:pt idx="2">
                  <c:v>223.5</c:v>
                </c:pt>
                <c:pt idx="3">
                  <c:v>383.4</c:v>
                </c:pt>
                <c:pt idx="4">
                  <c:v>600.20000000000005</c:v>
                </c:pt>
                <c:pt idx="5">
                  <c:v>801.8</c:v>
                </c:pt>
                <c:pt idx="6">
                  <c:v>965.3</c:v>
                </c:pt>
                <c:pt idx="7">
                  <c:v>1092.3</c:v>
                </c:pt>
              </c:numCache>
            </c:numRef>
          </c:val>
          <c:smooth val="0"/>
          <c:extLst>
            <c:ext xmlns:c16="http://schemas.microsoft.com/office/drawing/2014/chart" uri="{C3380CC4-5D6E-409C-BE32-E72D297353CC}">
              <c16:uniqueId val="{00000003-D219-4C5C-81D9-170F9632D64B}"/>
            </c:ext>
          </c:extLst>
        </c:ser>
        <c:dLbls>
          <c:showLegendKey val="0"/>
          <c:showVal val="0"/>
          <c:showCatName val="0"/>
          <c:showSerName val="0"/>
          <c:showPercent val="0"/>
          <c:showBubbleSize val="0"/>
        </c:dLbls>
        <c:marker val="1"/>
        <c:smooth val="0"/>
        <c:axId val="1196184080"/>
        <c:axId val="1148767680"/>
      </c:lineChart>
      <c:catAx>
        <c:axId val="119618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8767680"/>
        <c:crosses val="autoZero"/>
        <c:auto val="1"/>
        <c:lblAlgn val="ctr"/>
        <c:lblOffset val="100"/>
        <c:noMultiLvlLbl val="0"/>
      </c:catAx>
      <c:valAx>
        <c:axId val="114876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96184080"/>
        <c:crosses val="autoZero"/>
        <c:crossBetween val="between"/>
      </c:valAx>
      <c:spPr>
        <a:noFill/>
        <a:ln>
          <a:noFill/>
        </a:ln>
        <a:effectLst/>
      </c:spPr>
    </c:plotArea>
    <c:legend>
      <c:legendPos val="b"/>
      <c:layout>
        <c:manualLayout>
          <c:xMode val="edge"/>
          <c:yMode val="edge"/>
          <c:x val="0.14848146956124827"/>
          <c:y val="0.13713085003802691"/>
          <c:w val="0.72988703539717115"/>
          <c:h val="9.17125591781242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35870516185477"/>
          <c:y val="8.3333333333333329E-2"/>
          <c:w val="0.83953018372703414"/>
          <c:h val="0.59930400723930588"/>
        </c:manualLayout>
      </c:layout>
      <c:barChart>
        <c:barDir val="col"/>
        <c:grouping val="clustered"/>
        <c:varyColors val="0"/>
        <c:ser>
          <c:idx val="0"/>
          <c:order val="0"/>
          <c:tx>
            <c:strRef>
              <c:f>'log,memtable单测'!$N$81</c:f>
              <c:strCache>
                <c:ptCount val="1"/>
                <c:pt idx="0">
                  <c:v>1thread</c:v>
                </c:pt>
              </c:strCache>
            </c:strRef>
          </c:tx>
          <c:spPr>
            <a:solidFill>
              <a:schemeClr val="accent1"/>
            </a:solidFill>
            <a:ln>
              <a:noFill/>
            </a:ln>
            <a:effectLst/>
          </c:spPr>
          <c:invertIfNegative val="0"/>
          <c:cat>
            <c:strRef>
              <c:f>('log,memtable单测'!$P$80,'log,memtable单测'!$S$80)</c:f>
              <c:strCache>
                <c:ptCount val="2"/>
                <c:pt idx="0">
                  <c:v>128BKV</c:v>
                </c:pt>
                <c:pt idx="1">
                  <c:v>1KBKV</c:v>
                </c:pt>
              </c:strCache>
            </c:strRef>
          </c:cat>
          <c:val>
            <c:numRef>
              <c:f>('log,memtable单测'!$P$81,'log,memtable单测'!$S$81)</c:f>
              <c:numCache>
                <c:formatCode>General</c:formatCode>
                <c:ptCount val="2"/>
                <c:pt idx="0">
                  <c:v>487</c:v>
                </c:pt>
                <c:pt idx="1">
                  <c:v>348</c:v>
                </c:pt>
              </c:numCache>
            </c:numRef>
          </c:val>
          <c:extLst>
            <c:ext xmlns:c16="http://schemas.microsoft.com/office/drawing/2014/chart" uri="{C3380CC4-5D6E-409C-BE32-E72D297353CC}">
              <c16:uniqueId val="{00000000-2692-4EE5-9914-A883FCAFF2D1}"/>
            </c:ext>
          </c:extLst>
        </c:ser>
        <c:ser>
          <c:idx val="1"/>
          <c:order val="1"/>
          <c:tx>
            <c:strRef>
              <c:f>'log,memtable单测'!$N$82</c:f>
              <c:strCache>
                <c:ptCount val="1"/>
                <c:pt idx="0">
                  <c:v>4threads</c:v>
                </c:pt>
              </c:strCache>
            </c:strRef>
          </c:tx>
          <c:spPr>
            <a:solidFill>
              <a:schemeClr val="accent2"/>
            </a:solidFill>
            <a:ln>
              <a:noFill/>
            </a:ln>
            <a:effectLst/>
          </c:spPr>
          <c:invertIfNegative val="0"/>
          <c:cat>
            <c:strRef>
              <c:f>('log,memtable单测'!$P$80,'log,memtable单测'!$S$80)</c:f>
              <c:strCache>
                <c:ptCount val="2"/>
                <c:pt idx="0">
                  <c:v>128BKV</c:v>
                </c:pt>
                <c:pt idx="1">
                  <c:v>1KBKV</c:v>
                </c:pt>
              </c:strCache>
            </c:strRef>
          </c:cat>
          <c:val>
            <c:numRef>
              <c:f>('log,memtable单测'!$P$82,'log,memtable单测'!$S$82)</c:f>
              <c:numCache>
                <c:formatCode>General</c:formatCode>
                <c:ptCount val="2"/>
                <c:pt idx="0">
                  <c:v>476</c:v>
                </c:pt>
                <c:pt idx="1">
                  <c:v>313</c:v>
                </c:pt>
              </c:numCache>
            </c:numRef>
          </c:val>
          <c:extLst>
            <c:ext xmlns:c16="http://schemas.microsoft.com/office/drawing/2014/chart" uri="{C3380CC4-5D6E-409C-BE32-E72D297353CC}">
              <c16:uniqueId val="{00000015-2692-4EE5-9914-A883FCAFF2D1}"/>
            </c:ext>
          </c:extLst>
        </c:ser>
        <c:ser>
          <c:idx val="2"/>
          <c:order val="2"/>
          <c:tx>
            <c:strRef>
              <c:f>'log,memtable单测'!$N$83</c:f>
              <c:strCache>
                <c:ptCount val="1"/>
                <c:pt idx="0">
                  <c:v>8threads</c:v>
                </c:pt>
              </c:strCache>
            </c:strRef>
          </c:tx>
          <c:spPr>
            <a:solidFill>
              <a:schemeClr val="accent3"/>
            </a:solidFill>
            <a:ln>
              <a:noFill/>
            </a:ln>
            <a:effectLst/>
          </c:spPr>
          <c:invertIfNegative val="0"/>
          <c:cat>
            <c:strRef>
              <c:f>('log,memtable单测'!$P$80,'log,memtable单测'!$S$80)</c:f>
              <c:strCache>
                <c:ptCount val="2"/>
                <c:pt idx="0">
                  <c:v>128BKV</c:v>
                </c:pt>
                <c:pt idx="1">
                  <c:v>1KBKV</c:v>
                </c:pt>
              </c:strCache>
            </c:strRef>
          </c:cat>
          <c:val>
            <c:numRef>
              <c:f>('log,memtable单测'!$P$83,'log,memtable单测'!$S$83)</c:f>
              <c:numCache>
                <c:formatCode>General</c:formatCode>
                <c:ptCount val="2"/>
                <c:pt idx="0">
                  <c:v>664</c:v>
                </c:pt>
                <c:pt idx="1">
                  <c:v>368</c:v>
                </c:pt>
              </c:numCache>
            </c:numRef>
          </c:val>
          <c:extLst>
            <c:ext xmlns:c16="http://schemas.microsoft.com/office/drawing/2014/chart" uri="{C3380CC4-5D6E-409C-BE32-E72D297353CC}">
              <c16:uniqueId val="{00000016-2692-4EE5-9914-A883FCAFF2D1}"/>
            </c:ext>
          </c:extLst>
        </c:ser>
        <c:ser>
          <c:idx val="3"/>
          <c:order val="3"/>
          <c:tx>
            <c:strRef>
              <c:f>'log,memtable单测'!$N$84</c:f>
              <c:strCache>
                <c:ptCount val="1"/>
                <c:pt idx="0">
                  <c:v>16threads</c:v>
                </c:pt>
              </c:strCache>
              <c:extLst xmlns:c15="http://schemas.microsoft.com/office/drawing/2012/chart"/>
            </c:strRef>
          </c:tx>
          <c:spPr>
            <a:solidFill>
              <a:schemeClr val="accent4"/>
            </a:solidFill>
            <a:ln>
              <a:noFill/>
            </a:ln>
            <a:effectLst/>
          </c:spPr>
          <c:invertIfNegative val="0"/>
          <c:cat>
            <c:strRef>
              <c:f>('log,memtable单测'!$P$80,'log,memtable单测'!$S$80)</c:f>
              <c:strCache>
                <c:ptCount val="2"/>
                <c:pt idx="0">
                  <c:v>128BKV</c:v>
                </c:pt>
                <c:pt idx="1">
                  <c:v>1KBKV</c:v>
                </c:pt>
              </c:strCache>
              <c:extLst xmlns:c15="http://schemas.microsoft.com/office/drawing/2012/chart"/>
            </c:strRef>
          </c:cat>
          <c:val>
            <c:numRef>
              <c:f>('log,memtable单测'!$P$84,'log,memtable单测'!$S$84)</c:f>
              <c:numCache>
                <c:formatCode>General</c:formatCode>
                <c:ptCount val="2"/>
                <c:pt idx="0">
                  <c:v>826</c:v>
                </c:pt>
                <c:pt idx="1">
                  <c:v>404</c:v>
                </c:pt>
              </c:numCache>
              <c:extLst xmlns:c15="http://schemas.microsoft.com/office/drawing/2012/chart"/>
            </c:numRef>
          </c:val>
          <c:extLst xmlns:c15="http://schemas.microsoft.com/office/drawing/2012/chart">
            <c:ext xmlns:c16="http://schemas.microsoft.com/office/drawing/2014/chart" uri="{C3380CC4-5D6E-409C-BE32-E72D297353CC}">
              <c16:uniqueId val="{00000017-2692-4EE5-9914-A883FCAFF2D1}"/>
            </c:ext>
          </c:extLst>
        </c:ser>
        <c:ser>
          <c:idx val="7"/>
          <c:order val="4"/>
          <c:spPr>
            <a:solidFill>
              <a:schemeClr val="accent2">
                <a:lumMod val="60000"/>
              </a:schemeClr>
            </a:solidFill>
            <a:ln>
              <a:noFill/>
            </a:ln>
            <a:effectLst/>
          </c:spPr>
          <c:invertIfNegative val="0"/>
          <c:val>
            <c:numLit>
              <c:formatCode>General</c:formatCode>
              <c:ptCount val="1"/>
              <c:pt idx="0">
                <c:v>0</c:v>
              </c:pt>
            </c:numLit>
          </c:val>
          <c:extLst>
            <c:ext xmlns:c16="http://schemas.microsoft.com/office/drawing/2014/chart" uri="{C3380CC4-5D6E-409C-BE32-E72D297353CC}">
              <c16:uniqueId val="{0000001B-2692-4EE5-9914-A883FCAFF2D1}"/>
            </c:ext>
          </c:extLst>
        </c:ser>
        <c:ser>
          <c:idx val="4"/>
          <c:order val="5"/>
          <c:tx>
            <c:strRef>
              <c:f>'log,memtable单测'!$N$85</c:f>
              <c:strCache>
                <c:ptCount val="1"/>
                <c:pt idx="0">
                  <c:v>4log files</c:v>
                </c:pt>
              </c:strCache>
            </c:strRef>
          </c:tx>
          <c:spPr>
            <a:solidFill>
              <a:schemeClr val="accent5"/>
            </a:solidFill>
            <a:ln>
              <a:noFill/>
            </a:ln>
            <a:effectLst/>
          </c:spPr>
          <c:invertIfNegative val="0"/>
          <c:cat>
            <c:strRef>
              <c:f>('log,memtable单测'!$P$80,'log,memtable单测'!$S$80)</c:f>
              <c:strCache>
                <c:ptCount val="2"/>
                <c:pt idx="0">
                  <c:v>128BKV</c:v>
                </c:pt>
                <c:pt idx="1">
                  <c:v>1KBKV</c:v>
                </c:pt>
              </c:strCache>
            </c:strRef>
          </c:cat>
          <c:val>
            <c:numRef>
              <c:f>('log,memtable单测'!$P$85,'log,memtable单测'!$S$85)</c:f>
              <c:numCache>
                <c:formatCode>General</c:formatCode>
                <c:ptCount val="2"/>
                <c:pt idx="0">
                  <c:v>1254</c:v>
                </c:pt>
                <c:pt idx="1">
                  <c:v>871</c:v>
                </c:pt>
              </c:numCache>
            </c:numRef>
          </c:val>
          <c:extLst>
            <c:ext xmlns:c16="http://schemas.microsoft.com/office/drawing/2014/chart" uri="{C3380CC4-5D6E-409C-BE32-E72D297353CC}">
              <c16:uniqueId val="{00000018-2692-4EE5-9914-A883FCAFF2D1}"/>
            </c:ext>
          </c:extLst>
        </c:ser>
        <c:ser>
          <c:idx val="5"/>
          <c:order val="6"/>
          <c:tx>
            <c:strRef>
              <c:f>'log,memtable单测'!$N$86</c:f>
              <c:strCache>
                <c:ptCount val="1"/>
                <c:pt idx="0">
                  <c:v>8log files</c:v>
                </c:pt>
              </c:strCache>
            </c:strRef>
          </c:tx>
          <c:spPr>
            <a:solidFill>
              <a:schemeClr val="accent6"/>
            </a:solidFill>
            <a:ln>
              <a:noFill/>
            </a:ln>
            <a:effectLst/>
          </c:spPr>
          <c:invertIfNegative val="0"/>
          <c:cat>
            <c:strRef>
              <c:f>('log,memtable单测'!$P$80,'log,memtable单测'!$S$80)</c:f>
              <c:strCache>
                <c:ptCount val="2"/>
                <c:pt idx="0">
                  <c:v>128BKV</c:v>
                </c:pt>
                <c:pt idx="1">
                  <c:v>1KBKV</c:v>
                </c:pt>
              </c:strCache>
            </c:strRef>
          </c:cat>
          <c:val>
            <c:numRef>
              <c:f>('log,memtable单测'!$P$86,'log,memtable单测'!$S$86)</c:f>
              <c:numCache>
                <c:formatCode>General</c:formatCode>
                <c:ptCount val="2"/>
                <c:pt idx="0">
                  <c:v>1082</c:v>
                </c:pt>
                <c:pt idx="1">
                  <c:v>974</c:v>
                </c:pt>
              </c:numCache>
            </c:numRef>
          </c:val>
          <c:extLst>
            <c:ext xmlns:c16="http://schemas.microsoft.com/office/drawing/2014/chart" uri="{C3380CC4-5D6E-409C-BE32-E72D297353CC}">
              <c16:uniqueId val="{00000019-2692-4EE5-9914-A883FCAFF2D1}"/>
            </c:ext>
          </c:extLst>
        </c:ser>
        <c:ser>
          <c:idx val="6"/>
          <c:order val="7"/>
          <c:tx>
            <c:strRef>
              <c:f>'log,memtable单测'!$N$87</c:f>
              <c:strCache>
                <c:ptCount val="1"/>
                <c:pt idx="0">
                  <c:v>16log files</c:v>
                </c:pt>
              </c:strCache>
              <c:extLst xmlns:c15="http://schemas.microsoft.com/office/drawing/2012/chart"/>
            </c:strRef>
          </c:tx>
          <c:spPr>
            <a:solidFill>
              <a:schemeClr val="accent1">
                <a:lumMod val="60000"/>
              </a:schemeClr>
            </a:solidFill>
            <a:ln>
              <a:noFill/>
            </a:ln>
            <a:effectLst/>
          </c:spPr>
          <c:invertIfNegative val="0"/>
          <c:cat>
            <c:strRef>
              <c:f>('log,memtable单测'!$P$80,'log,memtable单测'!$S$80)</c:f>
              <c:strCache>
                <c:ptCount val="2"/>
                <c:pt idx="0">
                  <c:v>128BKV</c:v>
                </c:pt>
                <c:pt idx="1">
                  <c:v>1KBKV</c:v>
                </c:pt>
              </c:strCache>
              <c:extLst xmlns:c15="http://schemas.microsoft.com/office/drawing/2012/chart"/>
            </c:strRef>
          </c:cat>
          <c:val>
            <c:numRef>
              <c:f>('log,memtable单测'!$P$87,'log,memtable单测'!$S$87)</c:f>
              <c:numCache>
                <c:formatCode>General</c:formatCode>
                <c:ptCount val="2"/>
                <c:pt idx="0">
                  <c:v>1046</c:v>
                </c:pt>
                <c:pt idx="1">
                  <c:v>826</c:v>
                </c:pt>
              </c:numCache>
              <c:extLst xmlns:c15="http://schemas.microsoft.com/office/drawing/2012/chart"/>
            </c:numRef>
          </c:val>
          <c:extLst xmlns:c15="http://schemas.microsoft.com/office/drawing/2012/chart">
            <c:ext xmlns:c16="http://schemas.microsoft.com/office/drawing/2014/chart" uri="{C3380CC4-5D6E-409C-BE32-E72D297353CC}">
              <c16:uniqueId val="{0000001A-2692-4EE5-9914-A883FCAFF2D1}"/>
            </c:ext>
          </c:extLst>
        </c:ser>
        <c:dLbls>
          <c:showLegendKey val="0"/>
          <c:showVal val="0"/>
          <c:showCatName val="0"/>
          <c:showSerName val="0"/>
          <c:showPercent val="0"/>
          <c:showBubbleSize val="0"/>
        </c:dLbls>
        <c:gapWidth val="219"/>
        <c:overlap val="-27"/>
        <c:axId val="947017248"/>
        <c:axId val="737935936"/>
        <c:extLst/>
      </c:barChart>
      <c:catAx>
        <c:axId val="94701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crossAx val="737935936"/>
        <c:crosses val="autoZero"/>
        <c:auto val="1"/>
        <c:lblAlgn val="ctr"/>
        <c:lblOffset val="100"/>
        <c:noMultiLvlLbl val="0"/>
      </c:catAx>
      <c:valAx>
        <c:axId val="73793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crossAx val="947017248"/>
        <c:crosses val="autoZero"/>
        <c:crossBetween val="between"/>
      </c:valAx>
      <c:spPr>
        <a:noFill/>
        <a:ln>
          <a:noFill/>
        </a:ln>
        <a:effectLst/>
      </c:spPr>
    </c:plotArea>
    <c:legend>
      <c:legendPos val="b"/>
      <c:legendEntry>
        <c:idx val="4"/>
        <c:delete val="1"/>
      </c:legendEntry>
      <c:layout>
        <c:manualLayout>
          <c:xMode val="edge"/>
          <c:yMode val="edge"/>
          <c:x val="0.18877668416447943"/>
          <c:y val="0.79668923044215356"/>
          <c:w val="0.78077974628171465"/>
          <c:h val="0.1338665143941169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zh-CN"/>
    </a:p>
  </c:txPr>
  <c:printSettings>
    <c:headerFooter/>
    <c:pageMargins b="0.75" l="0.7" r="0.7" t="0.75" header="0.3" footer="0.3"/>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35870516185477"/>
          <c:y val="8.3333333333333329E-2"/>
          <c:w val="0.83953018372703414"/>
          <c:h val="0.63391951006124247"/>
        </c:manualLayout>
      </c:layout>
      <c:barChart>
        <c:barDir val="col"/>
        <c:grouping val="clustered"/>
        <c:varyColors val="0"/>
        <c:ser>
          <c:idx val="0"/>
          <c:order val="0"/>
          <c:tx>
            <c:strRef>
              <c:f>'log,memtable单测'!$V$81</c:f>
              <c:strCache>
                <c:ptCount val="1"/>
                <c:pt idx="0">
                  <c:v>1thread</c:v>
                </c:pt>
              </c:strCache>
            </c:strRef>
          </c:tx>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1-EB67-4D23-B32C-D81864916035}"/>
              </c:ext>
            </c:extLst>
          </c:dPt>
          <c:cat>
            <c:strRef>
              <c:f>('log,memtable单测'!$X$80,'log,memtable单测'!$AA$80)</c:f>
              <c:strCache>
                <c:ptCount val="2"/>
                <c:pt idx="0">
                  <c:v>128BKV</c:v>
                </c:pt>
                <c:pt idx="1">
                  <c:v>1KBKV</c:v>
                </c:pt>
              </c:strCache>
            </c:strRef>
          </c:cat>
          <c:val>
            <c:numRef>
              <c:f>('log,memtable单测'!$X$81,'log,memtable单测'!$AA$81)</c:f>
              <c:numCache>
                <c:formatCode>General</c:formatCode>
                <c:ptCount val="2"/>
                <c:pt idx="0">
                  <c:v>553</c:v>
                </c:pt>
                <c:pt idx="1">
                  <c:v>543</c:v>
                </c:pt>
              </c:numCache>
            </c:numRef>
          </c:val>
          <c:extLst>
            <c:ext xmlns:c16="http://schemas.microsoft.com/office/drawing/2014/chart" uri="{C3380CC4-5D6E-409C-BE32-E72D297353CC}">
              <c16:uniqueId val="{00000000-0742-4B7F-945A-AF4E9CB6B6AF}"/>
            </c:ext>
          </c:extLst>
        </c:ser>
        <c:ser>
          <c:idx val="1"/>
          <c:order val="1"/>
          <c:tx>
            <c:strRef>
              <c:f>'log,memtable单测'!$V$82</c:f>
              <c:strCache>
                <c:ptCount val="1"/>
                <c:pt idx="0">
                  <c:v>4threads</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3-EB67-4D23-B32C-D81864916035}"/>
              </c:ext>
            </c:extLst>
          </c:dPt>
          <c:cat>
            <c:strRef>
              <c:f>('log,memtable单测'!$X$80,'log,memtable单测'!$AA$80)</c:f>
              <c:strCache>
                <c:ptCount val="2"/>
                <c:pt idx="0">
                  <c:v>128BKV</c:v>
                </c:pt>
                <c:pt idx="1">
                  <c:v>1KBKV</c:v>
                </c:pt>
              </c:strCache>
            </c:strRef>
          </c:cat>
          <c:val>
            <c:numRef>
              <c:f>('log,memtable单测'!$X$82,'log,memtable单测'!$AA$82)</c:f>
              <c:numCache>
                <c:formatCode>General</c:formatCode>
                <c:ptCount val="2"/>
                <c:pt idx="0">
                  <c:v>454</c:v>
                </c:pt>
                <c:pt idx="1">
                  <c:v>445</c:v>
                </c:pt>
              </c:numCache>
            </c:numRef>
          </c:val>
          <c:extLst>
            <c:ext xmlns:c16="http://schemas.microsoft.com/office/drawing/2014/chart" uri="{C3380CC4-5D6E-409C-BE32-E72D297353CC}">
              <c16:uniqueId val="{00000001-0742-4B7F-945A-AF4E9CB6B6AF}"/>
            </c:ext>
          </c:extLst>
        </c:ser>
        <c:ser>
          <c:idx val="2"/>
          <c:order val="2"/>
          <c:tx>
            <c:strRef>
              <c:f>'log,memtable单测'!$V$83</c:f>
              <c:strCache>
                <c:ptCount val="1"/>
                <c:pt idx="0">
                  <c:v>8threads</c:v>
                </c:pt>
              </c:strCache>
            </c:strRef>
          </c:tx>
          <c:spPr>
            <a:solidFill>
              <a:schemeClr val="accent3"/>
            </a:solidFill>
            <a:ln>
              <a:noFill/>
            </a:ln>
            <a:effectLst/>
          </c:spPr>
          <c:invertIfNegative val="0"/>
          <c:dPt>
            <c:idx val="1"/>
            <c:invertIfNegative val="0"/>
            <c:bubble3D val="0"/>
            <c:spPr>
              <a:solidFill>
                <a:schemeClr val="accent3"/>
              </a:solidFill>
              <a:ln>
                <a:noFill/>
              </a:ln>
              <a:effectLst/>
            </c:spPr>
            <c:extLst>
              <c:ext xmlns:c16="http://schemas.microsoft.com/office/drawing/2014/chart" uri="{C3380CC4-5D6E-409C-BE32-E72D297353CC}">
                <c16:uniqueId val="{00000005-EB67-4D23-B32C-D8186491603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('log,memtable单测'!$X$80,'log,memtable单测'!$AA$80)</c:f>
              <c:strCache>
                <c:ptCount val="2"/>
                <c:pt idx="0">
                  <c:v>128BKV</c:v>
                </c:pt>
                <c:pt idx="1">
                  <c:v>1KBKV</c:v>
                </c:pt>
              </c:strCache>
            </c:strRef>
          </c:cat>
          <c:val>
            <c:numRef>
              <c:f>('log,memtable单测'!$X$83,'log,memtable单测'!$AA$83)</c:f>
              <c:numCache>
                <c:formatCode>General</c:formatCode>
                <c:ptCount val="2"/>
                <c:pt idx="0">
                  <c:v>701</c:v>
                </c:pt>
                <c:pt idx="1">
                  <c:v>604</c:v>
                </c:pt>
              </c:numCache>
            </c:numRef>
          </c:val>
          <c:extLst>
            <c:ext xmlns:c16="http://schemas.microsoft.com/office/drawing/2014/chart" uri="{C3380CC4-5D6E-409C-BE32-E72D297353CC}">
              <c16:uniqueId val="{00000002-0742-4B7F-945A-AF4E9CB6B6AF}"/>
            </c:ext>
          </c:extLst>
        </c:ser>
        <c:ser>
          <c:idx val="7"/>
          <c:order val="3"/>
          <c:tx>
            <c:strRef>
              <c:f>'log,memtable单测'!$V$84</c:f>
              <c:strCache>
                <c:ptCount val="1"/>
                <c:pt idx="0">
                  <c:v>16threads</c:v>
                </c:pt>
              </c:strCache>
              <c:extLst xmlns:c15="http://schemas.microsoft.com/office/drawing/2012/chart"/>
            </c:strRef>
          </c:tx>
          <c:spPr>
            <a:solidFill>
              <a:schemeClr val="accent2">
                <a:lumMod val="60000"/>
              </a:schemeClr>
            </a:solidFill>
            <a:ln>
              <a:noFill/>
            </a:ln>
            <a:effectLst/>
          </c:spPr>
          <c:invertIfNegative val="0"/>
          <c:dPt>
            <c:idx val="1"/>
            <c:invertIfNegative val="0"/>
            <c:bubble3D val="0"/>
            <c:spPr>
              <a:solidFill>
                <a:schemeClr val="accent2">
                  <a:lumMod val="60000"/>
                </a:schemeClr>
              </a:solidFill>
              <a:ln>
                <a:noFill/>
              </a:ln>
              <a:effectLst/>
            </c:spPr>
            <c:extLst xmlns:c15="http://schemas.microsoft.com/office/drawing/2012/chart">
              <c:ext xmlns:c16="http://schemas.microsoft.com/office/drawing/2014/chart" uri="{C3380CC4-5D6E-409C-BE32-E72D297353CC}">
                <c16:uniqueId val="{0000000A-EB67-4D23-B32C-D8186491603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('log,memtable单测'!$X$80,'log,memtable单测'!$AA$80)</c:f>
              <c:strCache>
                <c:ptCount val="2"/>
                <c:pt idx="0">
                  <c:v>128BKV</c:v>
                </c:pt>
                <c:pt idx="1">
                  <c:v>1KBKV</c:v>
                </c:pt>
              </c:strCache>
              <c:extLst xmlns:c15="http://schemas.microsoft.com/office/drawing/2012/chart"/>
            </c:strRef>
          </c:cat>
          <c:val>
            <c:numRef>
              <c:f>('log,memtable单测'!$X$84,'log,memtable单测'!$AA$84)</c:f>
              <c:numCache>
                <c:formatCode>General</c:formatCode>
                <c:ptCount val="2"/>
                <c:pt idx="0">
                  <c:v>1025</c:v>
                </c:pt>
                <c:pt idx="1">
                  <c:v>742</c:v>
                </c:pt>
              </c:numCache>
              <c:extLst xmlns:c15="http://schemas.microsoft.com/office/drawing/2012/chart"/>
            </c:numRef>
          </c:val>
          <c:extLst xmlns:c15="http://schemas.microsoft.com/office/drawing/2012/chart">
            <c:ext xmlns:c16="http://schemas.microsoft.com/office/drawing/2014/chart" uri="{C3380CC4-5D6E-409C-BE32-E72D297353CC}">
              <c16:uniqueId val="{00000003-0742-4B7F-945A-AF4E9CB6B6AF}"/>
            </c:ext>
          </c:extLst>
        </c:ser>
        <c:ser>
          <c:idx val="6"/>
          <c:order val="4"/>
          <c:spPr>
            <a:solidFill>
              <a:schemeClr val="accent1">
                <a:lumMod val="60000"/>
              </a:schemeClr>
            </a:solidFill>
            <a:ln>
              <a:noFill/>
            </a:ln>
            <a:effectLst/>
          </c:spPr>
          <c:invertIfNegative val="0"/>
          <c:val>
            <c:numLit>
              <c:formatCode>General</c:formatCode>
              <c:ptCount val="1"/>
              <c:pt idx="0">
                <c:v>0</c:v>
              </c:pt>
            </c:numLit>
          </c:val>
          <c:extLst>
            <c:ext xmlns:c16="http://schemas.microsoft.com/office/drawing/2014/chart" uri="{C3380CC4-5D6E-409C-BE32-E72D297353CC}">
              <c16:uniqueId val="{00000038-0742-4B7F-945A-AF4E9CB6B6AF}"/>
            </c:ext>
          </c:extLst>
        </c:ser>
        <c:ser>
          <c:idx val="3"/>
          <c:order val="5"/>
          <c:tx>
            <c:strRef>
              <c:f>'log,memtable单测'!$V$85</c:f>
              <c:strCache>
                <c:ptCount val="1"/>
                <c:pt idx="0">
                  <c:v>4memtables</c:v>
                </c:pt>
              </c:strCache>
            </c:strRef>
          </c:tx>
          <c:spPr>
            <a:solidFill>
              <a:schemeClr val="accent4"/>
            </a:solidFill>
            <a:ln>
              <a:noFill/>
            </a:ln>
            <a:effectLst/>
          </c:spPr>
          <c:invertIfNegative val="0"/>
          <c:dPt>
            <c:idx val="1"/>
            <c:invertIfNegative val="0"/>
            <c:bubble3D val="0"/>
            <c:extLst>
              <c:ext xmlns:c16="http://schemas.microsoft.com/office/drawing/2014/chart" uri="{C3380CC4-5D6E-409C-BE32-E72D297353CC}">
                <c16:uniqueId val="{00000006-EB67-4D23-B32C-D81864916035}"/>
              </c:ext>
            </c:extLst>
          </c:dPt>
          <c:cat>
            <c:strRef>
              <c:f>('log,memtable单测'!$X$80,'log,memtable单测'!$AA$80)</c:f>
              <c:strCache>
                <c:ptCount val="2"/>
                <c:pt idx="0">
                  <c:v>128BKV</c:v>
                </c:pt>
                <c:pt idx="1">
                  <c:v>1KBKV</c:v>
                </c:pt>
              </c:strCache>
            </c:strRef>
          </c:cat>
          <c:val>
            <c:numRef>
              <c:f>('log,memtable单测'!$X$85,'log,memtable单测'!$AA$85)</c:f>
              <c:numCache>
                <c:formatCode>General</c:formatCode>
                <c:ptCount val="2"/>
                <c:pt idx="0">
                  <c:v>2149</c:v>
                </c:pt>
                <c:pt idx="1">
                  <c:v>1833</c:v>
                </c:pt>
              </c:numCache>
            </c:numRef>
          </c:val>
          <c:extLst>
            <c:ext xmlns:c16="http://schemas.microsoft.com/office/drawing/2014/chart" uri="{C3380CC4-5D6E-409C-BE32-E72D297353CC}">
              <c16:uniqueId val="{00000006-0742-4B7F-945A-AF4E9CB6B6AF}"/>
            </c:ext>
          </c:extLst>
        </c:ser>
        <c:ser>
          <c:idx val="4"/>
          <c:order val="6"/>
          <c:tx>
            <c:strRef>
              <c:f>'log,memtable单测'!$V$86</c:f>
              <c:strCache>
                <c:ptCount val="1"/>
                <c:pt idx="0">
                  <c:v>8memtables</c:v>
                </c:pt>
              </c:strCache>
            </c:strRef>
          </c:tx>
          <c:spPr>
            <a:solidFill>
              <a:schemeClr val="accent5"/>
            </a:solidFill>
            <a:ln>
              <a:noFill/>
            </a:ln>
            <a:effectLst/>
          </c:spPr>
          <c:invertIfNegative val="0"/>
          <c:dPt>
            <c:idx val="1"/>
            <c:invertIfNegative val="0"/>
            <c:bubble3D val="0"/>
            <c:spPr>
              <a:solidFill>
                <a:schemeClr val="accent5"/>
              </a:solidFill>
              <a:ln>
                <a:noFill/>
              </a:ln>
              <a:effectLst/>
            </c:spPr>
            <c:extLst>
              <c:ext xmlns:c16="http://schemas.microsoft.com/office/drawing/2014/chart" uri="{C3380CC4-5D6E-409C-BE32-E72D297353CC}">
                <c16:uniqueId val="{00000008-EB67-4D23-B32C-D8186491603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('log,memtable单测'!$X$80,'log,memtable单测'!$AA$80)</c:f>
              <c:strCache>
                <c:ptCount val="2"/>
                <c:pt idx="0">
                  <c:v>128BKV</c:v>
                </c:pt>
                <c:pt idx="1">
                  <c:v>1KBKV</c:v>
                </c:pt>
              </c:strCache>
            </c:strRef>
          </c:cat>
          <c:val>
            <c:numRef>
              <c:f>('log,memtable单测'!$X$86,'log,memtable单测'!$AA$86)</c:f>
              <c:numCache>
                <c:formatCode>General</c:formatCode>
                <c:ptCount val="2"/>
                <c:pt idx="0">
                  <c:v>3628</c:v>
                </c:pt>
                <c:pt idx="1">
                  <c:v>3181</c:v>
                </c:pt>
              </c:numCache>
            </c:numRef>
          </c:val>
          <c:extLst>
            <c:ext xmlns:c16="http://schemas.microsoft.com/office/drawing/2014/chart" uri="{C3380CC4-5D6E-409C-BE32-E72D297353CC}">
              <c16:uniqueId val="{00000004-0742-4B7F-945A-AF4E9CB6B6AF}"/>
            </c:ext>
          </c:extLst>
        </c:ser>
        <c:ser>
          <c:idx val="5"/>
          <c:order val="7"/>
          <c:tx>
            <c:strRef>
              <c:f>'log,memtable单测'!$V$87</c:f>
              <c:strCache>
                <c:ptCount val="1"/>
                <c:pt idx="0">
                  <c:v>16memtables</c:v>
                </c:pt>
              </c:strCache>
              <c:extLst xmlns:c15="http://schemas.microsoft.com/office/drawing/2012/chart"/>
            </c:strRef>
          </c:tx>
          <c:spPr>
            <a:solidFill>
              <a:schemeClr val="accent6"/>
            </a:solidFill>
            <a:ln>
              <a:noFill/>
            </a:ln>
            <a:effectLst/>
          </c:spPr>
          <c:invertIfNegative val="0"/>
          <c:dPt>
            <c:idx val="1"/>
            <c:invertIfNegative val="0"/>
            <c:bubble3D val="0"/>
            <c:spPr>
              <a:solidFill>
                <a:schemeClr val="accent6"/>
              </a:solidFill>
              <a:ln>
                <a:noFill/>
              </a:ln>
              <a:effectLst/>
            </c:spPr>
            <c:extLst xmlns:c15="http://schemas.microsoft.com/office/drawing/2012/chart">
              <c:ext xmlns:c16="http://schemas.microsoft.com/office/drawing/2014/chart" uri="{C3380CC4-5D6E-409C-BE32-E72D297353CC}">
                <c16:uniqueId val="{0000000C-EB67-4D23-B32C-D8186491603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('log,memtable单测'!$X$80,'log,memtable单测'!$AA$80)</c:f>
              <c:strCache>
                <c:ptCount val="2"/>
                <c:pt idx="0">
                  <c:v>128BKV</c:v>
                </c:pt>
                <c:pt idx="1">
                  <c:v>1KBKV</c:v>
                </c:pt>
              </c:strCache>
              <c:extLst xmlns:c15="http://schemas.microsoft.com/office/drawing/2012/chart"/>
            </c:strRef>
          </c:cat>
          <c:val>
            <c:numRef>
              <c:f>('log,memtable单测'!$X$87,'log,memtable单测'!$AA$87)</c:f>
              <c:numCache>
                <c:formatCode>General</c:formatCode>
                <c:ptCount val="2"/>
                <c:pt idx="0">
                  <c:v>6227</c:v>
                </c:pt>
                <c:pt idx="1">
                  <c:v>5209</c:v>
                </c:pt>
              </c:numCache>
              <c:extLst xmlns:c15="http://schemas.microsoft.com/office/drawing/2012/chart"/>
            </c:numRef>
          </c:val>
          <c:extLst xmlns:c15="http://schemas.microsoft.com/office/drawing/2012/chart">
            <c:ext xmlns:c16="http://schemas.microsoft.com/office/drawing/2014/chart" uri="{C3380CC4-5D6E-409C-BE32-E72D297353CC}">
              <c16:uniqueId val="{00000005-0742-4B7F-945A-AF4E9CB6B6AF}"/>
            </c:ext>
          </c:extLst>
        </c:ser>
        <c:dLbls>
          <c:showLegendKey val="0"/>
          <c:showVal val="0"/>
          <c:showCatName val="0"/>
          <c:showSerName val="0"/>
          <c:showPercent val="0"/>
          <c:showBubbleSize val="0"/>
        </c:dLbls>
        <c:gapWidth val="219"/>
        <c:overlap val="-27"/>
        <c:axId val="947017248"/>
        <c:axId val="737935936"/>
        <c:extLst/>
      </c:barChart>
      <c:catAx>
        <c:axId val="94701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crossAx val="737935936"/>
        <c:crosses val="autoZero"/>
        <c:auto val="1"/>
        <c:lblAlgn val="ctr"/>
        <c:lblOffset val="100"/>
        <c:noMultiLvlLbl val="0"/>
      </c:catAx>
      <c:valAx>
        <c:axId val="73793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crossAx val="947017248"/>
        <c:crosses val="autoZero"/>
        <c:crossBetween val="between"/>
      </c:valAx>
      <c:spPr>
        <a:noFill/>
        <a:ln>
          <a:noFill/>
        </a:ln>
        <a:effectLst/>
      </c:spPr>
    </c:plotArea>
    <c:legend>
      <c:legendPos val="b"/>
      <c:legendEntry>
        <c:idx val="4"/>
        <c:delete val="1"/>
      </c:legendEntry>
      <c:layout>
        <c:manualLayout>
          <c:xMode val="edge"/>
          <c:yMode val="edge"/>
          <c:x val="1.6554461942257209E-2"/>
          <c:y val="0.83563174394867312"/>
          <c:w val="0.98344553805774282"/>
          <c:h val="0.1549922740716242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zh-CN"/>
    </a:p>
  </c:txPr>
  <c:printSettings>
    <c:headerFooter/>
    <c:pageMargins b="0.75" l="0.7" r="0.7" t="0.75" header="0.3" footer="0.3"/>
    <c:pageSetup/>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35870516185477"/>
          <c:y val="8.3333333333333329E-2"/>
          <c:w val="0.83953018372703414"/>
          <c:h val="0.63391951006124247"/>
        </c:manualLayout>
      </c:layout>
      <c:barChart>
        <c:barDir val="col"/>
        <c:grouping val="clustered"/>
        <c:varyColors val="0"/>
        <c:ser>
          <c:idx val="0"/>
          <c:order val="0"/>
          <c:tx>
            <c:strRef>
              <c:f>'log,memtable单测'!$N$81</c:f>
              <c:strCache>
                <c:ptCount val="1"/>
                <c:pt idx="0">
                  <c:v>1thread</c:v>
                </c:pt>
              </c:strCache>
            </c:strRef>
          </c:tx>
          <c:spPr>
            <a:solidFill>
              <a:schemeClr val="accent1"/>
            </a:solidFill>
            <a:ln>
              <a:noFill/>
            </a:ln>
            <a:effectLst/>
          </c:spPr>
          <c:invertIfNegative val="0"/>
          <c:cat>
            <c:strRef>
              <c:f>('log,memtable单测'!$P$80,'log,memtable单测'!$S$80)</c:f>
              <c:strCache>
                <c:ptCount val="2"/>
                <c:pt idx="0">
                  <c:v>128BKV</c:v>
                </c:pt>
                <c:pt idx="1">
                  <c:v>1KBKV</c:v>
                </c:pt>
              </c:strCache>
            </c:strRef>
          </c:cat>
          <c:val>
            <c:numRef>
              <c:f>('log,memtable单测'!$P$81,'log,memtable单测'!$S$81)</c:f>
              <c:numCache>
                <c:formatCode>General</c:formatCode>
                <c:ptCount val="2"/>
                <c:pt idx="0">
                  <c:v>487</c:v>
                </c:pt>
                <c:pt idx="1">
                  <c:v>348</c:v>
                </c:pt>
              </c:numCache>
            </c:numRef>
          </c:val>
          <c:extLst>
            <c:ext xmlns:c16="http://schemas.microsoft.com/office/drawing/2014/chart" uri="{C3380CC4-5D6E-409C-BE32-E72D297353CC}">
              <c16:uniqueId val="{00000000-A426-4959-93D0-0F4FC1F6AD82}"/>
            </c:ext>
          </c:extLst>
        </c:ser>
        <c:ser>
          <c:idx val="1"/>
          <c:order val="1"/>
          <c:tx>
            <c:strRef>
              <c:f>'log,memtable单测'!$N$82</c:f>
              <c:strCache>
                <c:ptCount val="1"/>
                <c:pt idx="0">
                  <c:v>4threads</c:v>
                </c:pt>
              </c:strCache>
            </c:strRef>
          </c:tx>
          <c:spPr>
            <a:solidFill>
              <a:schemeClr val="accent2"/>
            </a:solidFill>
            <a:ln>
              <a:noFill/>
            </a:ln>
            <a:effectLst/>
          </c:spPr>
          <c:invertIfNegative val="0"/>
          <c:cat>
            <c:strRef>
              <c:f>('log,memtable单测'!$P$80,'log,memtable单测'!$S$80)</c:f>
              <c:strCache>
                <c:ptCount val="2"/>
                <c:pt idx="0">
                  <c:v>128BKV</c:v>
                </c:pt>
                <c:pt idx="1">
                  <c:v>1KBKV</c:v>
                </c:pt>
              </c:strCache>
            </c:strRef>
          </c:cat>
          <c:val>
            <c:numRef>
              <c:f>('log,memtable单测'!$P$82,'log,memtable单测'!$S$82)</c:f>
              <c:numCache>
                <c:formatCode>General</c:formatCode>
                <c:ptCount val="2"/>
                <c:pt idx="0">
                  <c:v>476</c:v>
                </c:pt>
                <c:pt idx="1">
                  <c:v>313</c:v>
                </c:pt>
              </c:numCache>
            </c:numRef>
          </c:val>
          <c:extLst>
            <c:ext xmlns:c16="http://schemas.microsoft.com/office/drawing/2014/chart" uri="{C3380CC4-5D6E-409C-BE32-E72D297353CC}">
              <c16:uniqueId val="{00000001-A426-4959-93D0-0F4FC1F6AD82}"/>
            </c:ext>
          </c:extLst>
        </c:ser>
        <c:ser>
          <c:idx val="2"/>
          <c:order val="2"/>
          <c:tx>
            <c:strRef>
              <c:f>'log,memtable单测'!$N$83</c:f>
              <c:strCache>
                <c:ptCount val="1"/>
                <c:pt idx="0">
                  <c:v>8threads</c:v>
                </c:pt>
              </c:strCache>
            </c:strRef>
          </c:tx>
          <c:spPr>
            <a:solidFill>
              <a:schemeClr val="accent3"/>
            </a:solidFill>
            <a:ln>
              <a:noFill/>
            </a:ln>
            <a:effectLst/>
          </c:spPr>
          <c:invertIfNegative val="0"/>
          <c:cat>
            <c:strRef>
              <c:f>('log,memtable单测'!$P$80,'log,memtable单测'!$S$80)</c:f>
              <c:strCache>
                <c:ptCount val="2"/>
                <c:pt idx="0">
                  <c:v>128BKV</c:v>
                </c:pt>
                <c:pt idx="1">
                  <c:v>1KBKV</c:v>
                </c:pt>
              </c:strCache>
            </c:strRef>
          </c:cat>
          <c:val>
            <c:numRef>
              <c:f>('log,memtable单测'!$P$83,'log,memtable单测'!$S$83)</c:f>
              <c:numCache>
                <c:formatCode>General</c:formatCode>
                <c:ptCount val="2"/>
                <c:pt idx="0">
                  <c:v>664</c:v>
                </c:pt>
                <c:pt idx="1">
                  <c:v>368</c:v>
                </c:pt>
              </c:numCache>
            </c:numRef>
          </c:val>
          <c:extLst>
            <c:ext xmlns:c16="http://schemas.microsoft.com/office/drawing/2014/chart" uri="{C3380CC4-5D6E-409C-BE32-E72D297353CC}">
              <c16:uniqueId val="{00000002-A426-4959-93D0-0F4FC1F6AD82}"/>
            </c:ext>
          </c:extLst>
        </c:ser>
        <c:ser>
          <c:idx val="7"/>
          <c:order val="3"/>
          <c:spPr>
            <a:solidFill>
              <a:schemeClr val="accent2">
                <a:lumMod val="60000"/>
              </a:schemeClr>
            </a:solidFill>
            <a:ln>
              <a:noFill/>
            </a:ln>
            <a:effectLst/>
          </c:spPr>
          <c:invertIfNegative val="0"/>
          <c:val>
            <c:numLit>
              <c:formatCode>General</c:formatCode>
              <c:ptCount val="1"/>
              <c:pt idx="0">
                <c:v>0</c:v>
              </c:pt>
            </c:numLit>
          </c:val>
          <c:extLst>
            <c:ext xmlns:c16="http://schemas.microsoft.com/office/drawing/2014/chart" uri="{C3380CC4-5D6E-409C-BE32-E72D297353CC}">
              <c16:uniqueId val="{00000003-A426-4959-93D0-0F4FC1F6AD82}"/>
            </c:ext>
          </c:extLst>
        </c:ser>
        <c:ser>
          <c:idx val="4"/>
          <c:order val="5"/>
          <c:tx>
            <c:strRef>
              <c:f>'log,memtable单测'!$N$85</c:f>
              <c:strCache>
                <c:ptCount val="1"/>
                <c:pt idx="0">
                  <c:v>4log files</c:v>
                </c:pt>
              </c:strCache>
            </c:strRef>
          </c:tx>
          <c:spPr>
            <a:solidFill>
              <a:schemeClr val="accent5"/>
            </a:solidFill>
            <a:ln>
              <a:noFill/>
            </a:ln>
            <a:effectLst/>
          </c:spPr>
          <c:invertIfNegative val="0"/>
          <c:cat>
            <c:strRef>
              <c:f>('log,memtable单测'!$P$80,'log,memtable单测'!$S$80)</c:f>
              <c:strCache>
                <c:ptCount val="2"/>
                <c:pt idx="0">
                  <c:v>128BKV</c:v>
                </c:pt>
                <c:pt idx="1">
                  <c:v>1KBKV</c:v>
                </c:pt>
              </c:strCache>
            </c:strRef>
          </c:cat>
          <c:val>
            <c:numRef>
              <c:f>('log,memtable单测'!$P$85,'log,memtable单测'!$S$85)</c:f>
              <c:numCache>
                <c:formatCode>General</c:formatCode>
                <c:ptCount val="2"/>
                <c:pt idx="0">
                  <c:v>1254</c:v>
                </c:pt>
                <c:pt idx="1">
                  <c:v>871</c:v>
                </c:pt>
              </c:numCache>
            </c:numRef>
          </c:val>
          <c:extLst>
            <c:ext xmlns:c16="http://schemas.microsoft.com/office/drawing/2014/chart" uri="{C3380CC4-5D6E-409C-BE32-E72D297353CC}">
              <c16:uniqueId val="{00000004-A426-4959-93D0-0F4FC1F6AD82}"/>
            </c:ext>
          </c:extLst>
        </c:ser>
        <c:ser>
          <c:idx val="5"/>
          <c:order val="6"/>
          <c:tx>
            <c:strRef>
              <c:f>'log,memtable单测'!$N$86</c:f>
              <c:strCache>
                <c:ptCount val="1"/>
                <c:pt idx="0">
                  <c:v>8log files</c:v>
                </c:pt>
              </c:strCache>
            </c:strRef>
          </c:tx>
          <c:spPr>
            <a:solidFill>
              <a:schemeClr val="accent6"/>
            </a:solidFill>
            <a:ln>
              <a:noFill/>
            </a:ln>
            <a:effectLst/>
          </c:spPr>
          <c:invertIfNegative val="0"/>
          <c:cat>
            <c:strRef>
              <c:f>('log,memtable单测'!$P$80,'log,memtable单测'!$S$80)</c:f>
              <c:strCache>
                <c:ptCount val="2"/>
                <c:pt idx="0">
                  <c:v>128BKV</c:v>
                </c:pt>
                <c:pt idx="1">
                  <c:v>1KBKV</c:v>
                </c:pt>
              </c:strCache>
            </c:strRef>
          </c:cat>
          <c:val>
            <c:numRef>
              <c:f>('log,memtable单测'!$P$86,'log,memtable单测'!$S$86)</c:f>
              <c:numCache>
                <c:formatCode>General</c:formatCode>
                <c:ptCount val="2"/>
                <c:pt idx="0">
                  <c:v>1082</c:v>
                </c:pt>
                <c:pt idx="1">
                  <c:v>974</c:v>
                </c:pt>
              </c:numCache>
            </c:numRef>
          </c:val>
          <c:extLst>
            <c:ext xmlns:c16="http://schemas.microsoft.com/office/drawing/2014/chart" uri="{C3380CC4-5D6E-409C-BE32-E72D297353CC}">
              <c16:uniqueId val="{00000005-A426-4959-93D0-0F4FC1F6AD82}"/>
            </c:ext>
          </c:extLst>
        </c:ser>
        <c:dLbls>
          <c:showLegendKey val="0"/>
          <c:showVal val="0"/>
          <c:showCatName val="0"/>
          <c:showSerName val="0"/>
          <c:showPercent val="0"/>
          <c:showBubbleSize val="0"/>
        </c:dLbls>
        <c:gapWidth val="219"/>
        <c:overlap val="-27"/>
        <c:axId val="947017248"/>
        <c:axId val="737935936"/>
        <c:extLst>
          <c:ext xmlns:c15="http://schemas.microsoft.com/office/drawing/2012/chart" uri="{02D57815-91ED-43cb-92C2-25804820EDAC}">
            <c15:filteredBarSeries>
              <c15:ser>
                <c:idx val="3"/>
                <c:order val="4"/>
                <c:tx>
                  <c:strRef>
                    <c:extLst>
                      <c:ext uri="{02D57815-91ED-43cb-92C2-25804820EDAC}">
                        <c15:formulaRef>
                          <c15:sqref>'log,memtable单测'!$N$84</c15:sqref>
                        </c15:formulaRef>
                      </c:ext>
                    </c:extLst>
                    <c:strCache>
                      <c:ptCount val="1"/>
                      <c:pt idx="0">
                        <c:v>16threads</c:v>
                      </c:pt>
                    </c:strCache>
                  </c:strRef>
                </c:tx>
                <c:spPr>
                  <a:solidFill>
                    <a:schemeClr val="accent4"/>
                  </a:solidFill>
                  <a:ln>
                    <a:noFill/>
                  </a:ln>
                  <a:effectLst/>
                </c:spPr>
                <c:invertIfNegative val="0"/>
                <c:cat>
                  <c:strRef>
                    <c:extLst>
                      <c:ext uri="{02D57815-91ED-43cb-92C2-25804820EDAC}">
                        <c15:formulaRef>
                          <c15:sqref>('log,memtable单测'!$P$80,'log,memtable单测'!$S$80)</c15:sqref>
                        </c15:formulaRef>
                      </c:ext>
                    </c:extLst>
                    <c:strCache>
                      <c:ptCount val="2"/>
                      <c:pt idx="0">
                        <c:v>128BKV</c:v>
                      </c:pt>
                      <c:pt idx="1">
                        <c:v>1KBKV</c:v>
                      </c:pt>
                    </c:strCache>
                  </c:strRef>
                </c:cat>
                <c:val>
                  <c:numRef>
                    <c:extLst>
                      <c:ext uri="{02D57815-91ED-43cb-92C2-25804820EDAC}">
                        <c15:formulaRef>
                          <c15:sqref>('log,memtable单测'!$P$84,'log,memtable单测'!$S$84)</c15:sqref>
                        </c15:formulaRef>
                      </c:ext>
                    </c:extLst>
                    <c:numCache>
                      <c:formatCode>General</c:formatCode>
                      <c:ptCount val="2"/>
                      <c:pt idx="0">
                        <c:v>826</c:v>
                      </c:pt>
                      <c:pt idx="1">
                        <c:v>404</c:v>
                      </c:pt>
                    </c:numCache>
                  </c:numRef>
                </c:val>
                <c:extLst>
                  <c:ext xmlns:c16="http://schemas.microsoft.com/office/drawing/2014/chart" uri="{C3380CC4-5D6E-409C-BE32-E72D297353CC}">
                    <c16:uniqueId val="{00000006-A426-4959-93D0-0F4FC1F6AD82}"/>
                  </c:ext>
                </c:extLst>
              </c15:ser>
            </c15:filteredBarSeries>
            <c15:filteredBarSeries>
              <c15:ser>
                <c:idx val="6"/>
                <c:order val="7"/>
                <c:tx>
                  <c:strRef>
                    <c:extLst xmlns:c15="http://schemas.microsoft.com/office/drawing/2012/chart">
                      <c:ext xmlns:c15="http://schemas.microsoft.com/office/drawing/2012/chart" uri="{02D57815-91ED-43cb-92C2-25804820EDAC}">
                        <c15:formulaRef>
                          <c15:sqref>'log,memtable单测'!$N$87</c15:sqref>
                        </c15:formulaRef>
                      </c:ext>
                    </c:extLst>
                    <c:strCache>
                      <c:ptCount val="1"/>
                      <c:pt idx="0">
                        <c:v>16log files</c:v>
                      </c:pt>
                    </c:strCache>
                  </c:strRef>
                </c:tx>
                <c:spPr>
                  <a:solidFill>
                    <a:schemeClr val="accent1">
                      <a:lumMod val="60000"/>
                    </a:schemeClr>
                  </a:solidFill>
                  <a:ln>
                    <a:noFill/>
                  </a:ln>
                  <a:effectLst/>
                </c:spPr>
                <c:invertIfNegative val="0"/>
                <c:cat>
                  <c:strRef>
                    <c:extLst xmlns:c15="http://schemas.microsoft.com/office/drawing/2012/chart">
                      <c:ext xmlns:c15="http://schemas.microsoft.com/office/drawing/2012/chart" uri="{02D57815-91ED-43cb-92C2-25804820EDAC}">
                        <c15:formulaRef>
                          <c15:sqref>('log,memtable单测'!$P$80,'log,memtable单测'!$S$80)</c15:sqref>
                        </c15:formulaRef>
                      </c:ext>
                    </c:extLst>
                    <c:strCache>
                      <c:ptCount val="2"/>
                      <c:pt idx="0">
                        <c:v>128BKV</c:v>
                      </c:pt>
                      <c:pt idx="1">
                        <c:v>1KBKV</c:v>
                      </c:pt>
                    </c:strCache>
                  </c:strRef>
                </c:cat>
                <c:val>
                  <c:numRef>
                    <c:extLst xmlns:c15="http://schemas.microsoft.com/office/drawing/2012/chart">
                      <c:ext xmlns:c15="http://schemas.microsoft.com/office/drawing/2012/chart" uri="{02D57815-91ED-43cb-92C2-25804820EDAC}">
                        <c15:formulaRef>
                          <c15:sqref>('log,memtable单测'!$P$87,'log,memtable单测'!$S$87)</c15:sqref>
                        </c15:formulaRef>
                      </c:ext>
                    </c:extLst>
                    <c:numCache>
                      <c:formatCode>General</c:formatCode>
                      <c:ptCount val="2"/>
                      <c:pt idx="0">
                        <c:v>1046</c:v>
                      </c:pt>
                      <c:pt idx="1">
                        <c:v>826</c:v>
                      </c:pt>
                    </c:numCache>
                  </c:numRef>
                </c:val>
                <c:extLst xmlns:c15="http://schemas.microsoft.com/office/drawing/2012/chart">
                  <c:ext xmlns:c16="http://schemas.microsoft.com/office/drawing/2014/chart" uri="{C3380CC4-5D6E-409C-BE32-E72D297353CC}">
                    <c16:uniqueId val="{00000007-A426-4959-93D0-0F4FC1F6AD82}"/>
                  </c:ext>
                </c:extLst>
              </c15:ser>
            </c15:filteredBarSeries>
          </c:ext>
        </c:extLst>
      </c:barChart>
      <c:catAx>
        <c:axId val="94701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crossAx val="737935936"/>
        <c:crosses val="autoZero"/>
        <c:auto val="1"/>
        <c:lblAlgn val="ctr"/>
        <c:lblOffset val="100"/>
        <c:noMultiLvlLbl val="0"/>
      </c:catAx>
      <c:valAx>
        <c:axId val="73793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crossAx val="947017248"/>
        <c:crosses val="autoZero"/>
        <c:crossBetween val="between"/>
      </c:valAx>
      <c:spPr>
        <a:noFill/>
        <a:ln>
          <a:noFill/>
        </a:ln>
        <a:effectLst/>
      </c:spPr>
    </c:plotArea>
    <c:legend>
      <c:legendPos val="b"/>
      <c:legendEntry>
        <c:idx val="3"/>
        <c:delete val="1"/>
      </c:legendEntry>
      <c:layout>
        <c:manualLayout>
          <c:xMode val="edge"/>
          <c:yMode val="edge"/>
          <c:x val="0.18877668416447943"/>
          <c:y val="0.83563174394867312"/>
          <c:w val="0.78077974628171465"/>
          <c:h val="9.492381160688247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zh-CN"/>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ltLang="zh-CN"/>
              <a:t>Throughput MB/s</a:t>
            </a:r>
            <a:endParaRPr lang="zh-C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manualLayout>
          <c:layoutTarget val="inner"/>
          <c:xMode val="edge"/>
          <c:yMode val="edge"/>
          <c:x val="4.4063028706777509E-2"/>
          <c:y val="0.18300925925925926"/>
          <c:w val="0.47914602138147366"/>
          <c:h val="0.64198612721996895"/>
        </c:manualLayout>
      </c:layout>
      <c:barChart>
        <c:barDir val="col"/>
        <c:grouping val="clustered"/>
        <c:varyColors val="0"/>
        <c:ser>
          <c:idx val="0"/>
          <c:order val="0"/>
          <c:tx>
            <c:strRef>
              <c:f>多介质下KV不同!$A$45</c:f>
              <c:strCache>
                <c:ptCount val="1"/>
                <c:pt idx="0">
                  <c:v>HDD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多介质下KV不同!$B$44:$D$44</c:f>
              <c:strCache>
                <c:ptCount val="3"/>
                <c:pt idx="0">
                  <c:v>Seq Write</c:v>
                </c:pt>
                <c:pt idx="1">
                  <c:v>Rand Write</c:v>
                </c:pt>
                <c:pt idx="2">
                  <c:v>Update</c:v>
                </c:pt>
              </c:strCache>
            </c:strRef>
          </c:cat>
          <c:val>
            <c:numRef>
              <c:f>多介质下KV不同!$B$45:$D$45</c:f>
              <c:numCache>
                <c:formatCode>General</c:formatCode>
                <c:ptCount val="3"/>
                <c:pt idx="0">
                  <c:v>49.9</c:v>
                </c:pt>
                <c:pt idx="1">
                  <c:v>31.6</c:v>
                </c:pt>
                <c:pt idx="2">
                  <c:v>28.1</c:v>
                </c:pt>
              </c:numCache>
            </c:numRef>
          </c:val>
          <c:extLst>
            <c:ext xmlns:c16="http://schemas.microsoft.com/office/drawing/2014/chart" uri="{C3380CC4-5D6E-409C-BE32-E72D297353CC}">
              <c16:uniqueId val="{00000000-6409-4925-BAB2-C80721C7504C}"/>
            </c:ext>
          </c:extLst>
        </c:ser>
        <c:ser>
          <c:idx val="1"/>
          <c:order val="1"/>
          <c:tx>
            <c:strRef>
              <c:f>多介质下KV不同!$A$46</c:f>
              <c:strCache>
                <c:ptCount val="1"/>
                <c:pt idx="0">
                  <c:v>Flash-based SSD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多介质下KV不同!$B$44:$D$44</c:f>
              <c:strCache>
                <c:ptCount val="3"/>
                <c:pt idx="0">
                  <c:v>Seq Write</c:v>
                </c:pt>
                <c:pt idx="1">
                  <c:v>Rand Write</c:v>
                </c:pt>
                <c:pt idx="2">
                  <c:v>Update</c:v>
                </c:pt>
              </c:strCache>
            </c:strRef>
          </c:cat>
          <c:val>
            <c:numRef>
              <c:f>多介质下KV不同!$B$49:$D$49</c:f>
              <c:numCache>
                <c:formatCode>General</c:formatCode>
                <c:ptCount val="3"/>
                <c:pt idx="0">
                  <c:v>49.1</c:v>
                </c:pt>
                <c:pt idx="1">
                  <c:v>31</c:v>
                </c:pt>
                <c:pt idx="2">
                  <c:v>29.3</c:v>
                </c:pt>
              </c:numCache>
            </c:numRef>
          </c:val>
          <c:extLst>
            <c:ext xmlns:c16="http://schemas.microsoft.com/office/drawing/2014/chart" uri="{C3380CC4-5D6E-409C-BE32-E72D297353CC}">
              <c16:uniqueId val="{00000001-6409-4925-BAB2-C80721C7504C}"/>
            </c:ext>
          </c:extLst>
        </c:ser>
        <c:ser>
          <c:idx val="2"/>
          <c:order val="2"/>
          <c:tx>
            <c:strRef>
              <c:f>多介质下KV不同!$A$47</c:f>
              <c:strCache>
                <c:ptCount val="1"/>
                <c:pt idx="0">
                  <c:v>OptaneSSD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多介质下KV不同!$B$44:$D$44</c:f>
              <c:strCache>
                <c:ptCount val="3"/>
                <c:pt idx="0">
                  <c:v>Seq Write</c:v>
                </c:pt>
                <c:pt idx="1">
                  <c:v>Rand Write</c:v>
                </c:pt>
                <c:pt idx="2">
                  <c:v>Update</c:v>
                </c:pt>
              </c:strCache>
            </c:strRef>
          </c:cat>
          <c:val>
            <c:numRef>
              <c:f>多介质下KV不同!$B$47:$D$47</c:f>
              <c:numCache>
                <c:formatCode>General</c:formatCode>
                <c:ptCount val="3"/>
                <c:pt idx="0">
                  <c:v>52.8</c:v>
                </c:pt>
                <c:pt idx="1">
                  <c:v>28.3</c:v>
                </c:pt>
                <c:pt idx="2">
                  <c:v>31.6</c:v>
                </c:pt>
              </c:numCache>
            </c:numRef>
          </c:val>
          <c:extLst>
            <c:ext xmlns:c16="http://schemas.microsoft.com/office/drawing/2014/chart" uri="{C3380CC4-5D6E-409C-BE32-E72D297353CC}">
              <c16:uniqueId val="{00000002-6409-4925-BAB2-C80721C7504C}"/>
            </c:ext>
          </c:extLst>
        </c:ser>
        <c:ser>
          <c:idx val="3"/>
          <c:order val="3"/>
          <c:tx>
            <c:strRef>
              <c:f>多介质下KV不同!$A$48</c:f>
              <c:strCache>
                <c:ptCount val="1"/>
                <c:pt idx="0">
                  <c:v>ramdisk</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多介质下KV不同!$B$44:$D$44</c:f>
              <c:strCache>
                <c:ptCount val="3"/>
                <c:pt idx="0">
                  <c:v>Seq Write</c:v>
                </c:pt>
                <c:pt idx="1">
                  <c:v>Rand Write</c:v>
                </c:pt>
                <c:pt idx="2">
                  <c:v>Update</c:v>
                </c:pt>
              </c:strCache>
            </c:strRef>
          </c:cat>
          <c:val>
            <c:numRef>
              <c:f>多介质下KV不同!$B$48:$D$48</c:f>
              <c:numCache>
                <c:formatCode>General</c:formatCode>
                <c:ptCount val="3"/>
                <c:pt idx="0">
                  <c:v>65.099999999999994</c:v>
                </c:pt>
                <c:pt idx="1">
                  <c:v>38.5</c:v>
                </c:pt>
                <c:pt idx="2">
                  <c:v>38.700000000000003</c:v>
                </c:pt>
              </c:numCache>
            </c:numRef>
          </c:val>
          <c:extLst>
            <c:ext xmlns:c16="http://schemas.microsoft.com/office/drawing/2014/chart" uri="{C3380CC4-5D6E-409C-BE32-E72D297353CC}">
              <c16:uniqueId val="{00000003-6409-4925-BAB2-C80721C7504C}"/>
            </c:ext>
          </c:extLst>
        </c:ser>
        <c:dLbls>
          <c:showLegendKey val="0"/>
          <c:showVal val="0"/>
          <c:showCatName val="0"/>
          <c:showSerName val="0"/>
          <c:showPercent val="0"/>
          <c:showBubbleSize val="0"/>
        </c:dLbls>
        <c:gapWidth val="100"/>
        <c:overlap val="-24"/>
        <c:axId val="405735024"/>
        <c:axId val="411021456"/>
      </c:barChart>
      <c:catAx>
        <c:axId val="4057350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411021456"/>
        <c:crosses val="autoZero"/>
        <c:auto val="1"/>
        <c:lblAlgn val="ctr"/>
        <c:lblOffset val="100"/>
        <c:noMultiLvlLbl val="0"/>
      </c:catAx>
      <c:valAx>
        <c:axId val="4110214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405735024"/>
        <c:crosses val="autoZero"/>
        <c:crossBetween val="between"/>
      </c:valAx>
      <c:spPr>
        <a:noFill/>
        <a:ln>
          <a:noFill/>
        </a:ln>
        <a:effectLst/>
      </c:spPr>
    </c:plotArea>
    <c:legend>
      <c:legendPos val="b"/>
      <c:layout>
        <c:manualLayout>
          <c:xMode val="edge"/>
          <c:yMode val="edge"/>
          <c:x val="0.27560337063492929"/>
          <c:y val="0.90443328132031975"/>
          <c:w val="0.45368509689404918"/>
          <c:h val="8.00458057691963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35870516185477"/>
          <c:y val="8.3333333333333329E-2"/>
          <c:w val="0.83953018372703414"/>
          <c:h val="0.63391951006124247"/>
        </c:manualLayout>
      </c:layout>
      <c:barChart>
        <c:barDir val="col"/>
        <c:grouping val="clustered"/>
        <c:varyColors val="0"/>
        <c:ser>
          <c:idx val="0"/>
          <c:order val="0"/>
          <c:tx>
            <c:strRef>
              <c:f>'log,memtable单测'!$V$81</c:f>
              <c:strCache>
                <c:ptCount val="1"/>
                <c:pt idx="0">
                  <c:v>1thread</c:v>
                </c:pt>
              </c:strCache>
            </c:strRef>
          </c:tx>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1-D902-46EE-9CCE-68A10DD257D7}"/>
              </c:ext>
            </c:extLst>
          </c:dPt>
          <c:cat>
            <c:strRef>
              <c:f>('log,memtable单测'!$X$80,'log,memtable单测'!$AA$80)</c:f>
              <c:strCache>
                <c:ptCount val="2"/>
                <c:pt idx="0">
                  <c:v>128BKV</c:v>
                </c:pt>
                <c:pt idx="1">
                  <c:v>1KBKV</c:v>
                </c:pt>
              </c:strCache>
            </c:strRef>
          </c:cat>
          <c:val>
            <c:numRef>
              <c:f>('log,memtable单测'!$X$81,'log,memtable单测'!$AA$81)</c:f>
              <c:numCache>
                <c:formatCode>General</c:formatCode>
                <c:ptCount val="2"/>
                <c:pt idx="0">
                  <c:v>553</c:v>
                </c:pt>
                <c:pt idx="1">
                  <c:v>543</c:v>
                </c:pt>
              </c:numCache>
            </c:numRef>
          </c:val>
          <c:extLst>
            <c:ext xmlns:c16="http://schemas.microsoft.com/office/drawing/2014/chart" uri="{C3380CC4-5D6E-409C-BE32-E72D297353CC}">
              <c16:uniqueId val="{00000002-D902-46EE-9CCE-68A10DD257D7}"/>
            </c:ext>
          </c:extLst>
        </c:ser>
        <c:ser>
          <c:idx val="1"/>
          <c:order val="1"/>
          <c:tx>
            <c:strRef>
              <c:f>'log,memtable单测'!$V$82</c:f>
              <c:strCache>
                <c:ptCount val="1"/>
                <c:pt idx="0">
                  <c:v>4threads</c:v>
                </c:pt>
              </c:strCache>
            </c:strRef>
          </c:tx>
          <c:spPr>
            <a:solidFill>
              <a:schemeClr val="accent2"/>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4-D902-46EE-9CCE-68A10DD257D7}"/>
              </c:ext>
            </c:extLst>
          </c:dPt>
          <c:cat>
            <c:strRef>
              <c:f>('log,memtable单测'!$X$80,'log,memtable单测'!$AA$80)</c:f>
              <c:strCache>
                <c:ptCount val="2"/>
                <c:pt idx="0">
                  <c:v>128BKV</c:v>
                </c:pt>
                <c:pt idx="1">
                  <c:v>1KBKV</c:v>
                </c:pt>
              </c:strCache>
            </c:strRef>
          </c:cat>
          <c:val>
            <c:numRef>
              <c:f>('log,memtable单测'!$X$82,'log,memtable单测'!$AA$82)</c:f>
              <c:numCache>
                <c:formatCode>General</c:formatCode>
                <c:ptCount val="2"/>
                <c:pt idx="0">
                  <c:v>454</c:v>
                </c:pt>
                <c:pt idx="1">
                  <c:v>445</c:v>
                </c:pt>
              </c:numCache>
            </c:numRef>
          </c:val>
          <c:extLst>
            <c:ext xmlns:c16="http://schemas.microsoft.com/office/drawing/2014/chart" uri="{C3380CC4-5D6E-409C-BE32-E72D297353CC}">
              <c16:uniqueId val="{00000005-D902-46EE-9CCE-68A10DD257D7}"/>
            </c:ext>
          </c:extLst>
        </c:ser>
        <c:ser>
          <c:idx val="2"/>
          <c:order val="2"/>
          <c:tx>
            <c:strRef>
              <c:f>'log,memtable单测'!$V$83</c:f>
              <c:strCache>
                <c:ptCount val="1"/>
                <c:pt idx="0">
                  <c:v>8threads</c:v>
                </c:pt>
              </c:strCache>
            </c:strRef>
          </c:tx>
          <c:spPr>
            <a:solidFill>
              <a:schemeClr val="accent3"/>
            </a:solidFill>
            <a:ln>
              <a:noFill/>
            </a:ln>
            <a:effectLst/>
          </c:spPr>
          <c:invertIfNegative val="0"/>
          <c:dPt>
            <c:idx val="1"/>
            <c:invertIfNegative val="0"/>
            <c:bubble3D val="0"/>
            <c:spPr>
              <a:solidFill>
                <a:schemeClr val="accent3"/>
              </a:solidFill>
              <a:ln>
                <a:noFill/>
              </a:ln>
              <a:effectLst/>
            </c:spPr>
            <c:extLst>
              <c:ext xmlns:c16="http://schemas.microsoft.com/office/drawing/2014/chart" uri="{C3380CC4-5D6E-409C-BE32-E72D297353CC}">
                <c16:uniqueId val="{00000007-D902-46EE-9CCE-68A10DD257D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('log,memtable单测'!$X$80,'log,memtable单测'!$AA$80)</c:f>
              <c:strCache>
                <c:ptCount val="2"/>
                <c:pt idx="0">
                  <c:v>128BKV</c:v>
                </c:pt>
                <c:pt idx="1">
                  <c:v>1KBKV</c:v>
                </c:pt>
              </c:strCache>
            </c:strRef>
          </c:cat>
          <c:val>
            <c:numRef>
              <c:f>('log,memtable单测'!$X$83,'log,memtable单测'!$AA$83)</c:f>
              <c:numCache>
                <c:formatCode>General</c:formatCode>
                <c:ptCount val="2"/>
                <c:pt idx="0">
                  <c:v>701</c:v>
                </c:pt>
                <c:pt idx="1">
                  <c:v>604</c:v>
                </c:pt>
              </c:numCache>
            </c:numRef>
          </c:val>
          <c:extLst>
            <c:ext xmlns:c16="http://schemas.microsoft.com/office/drawing/2014/chart" uri="{C3380CC4-5D6E-409C-BE32-E72D297353CC}">
              <c16:uniqueId val="{00000008-D902-46EE-9CCE-68A10DD257D7}"/>
            </c:ext>
          </c:extLst>
        </c:ser>
        <c:ser>
          <c:idx val="6"/>
          <c:order val="4"/>
          <c:spPr>
            <a:solidFill>
              <a:schemeClr val="accent1">
                <a:lumMod val="60000"/>
              </a:schemeClr>
            </a:solidFill>
            <a:ln>
              <a:noFill/>
            </a:ln>
            <a:effectLst/>
          </c:spPr>
          <c:invertIfNegative val="0"/>
          <c:val>
            <c:numLit>
              <c:formatCode>General</c:formatCode>
              <c:ptCount val="1"/>
              <c:pt idx="0">
                <c:v>0</c:v>
              </c:pt>
            </c:numLit>
          </c:val>
          <c:extLst>
            <c:ext xmlns:c16="http://schemas.microsoft.com/office/drawing/2014/chart" uri="{C3380CC4-5D6E-409C-BE32-E72D297353CC}">
              <c16:uniqueId val="{00000009-D902-46EE-9CCE-68A10DD257D7}"/>
            </c:ext>
          </c:extLst>
        </c:ser>
        <c:ser>
          <c:idx val="3"/>
          <c:order val="5"/>
          <c:tx>
            <c:strRef>
              <c:f>'log,memtable单测'!$V$85</c:f>
              <c:strCache>
                <c:ptCount val="1"/>
                <c:pt idx="0">
                  <c:v>4memtables</c:v>
                </c:pt>
              </c:strCache>
            </c:strRef>
          </c:tx>
          <c:spPr>
            <a:solidFill>
              <a:schemeClr val="accent4"/>
            </a:solidFill>
            <a:ln>
              <a:noFill/>
            </a:ln>
            <a:effectLst/>
          </c:spPr>
          <c:invertIfNegative val="0"/>
          <c:dPt>
            <c:idx val="1"/>
            <c:invertIfNegative val="0"/>
            <c:bubble3D val="0"/>
            <c:extLst>
              <c:ext xmlns:c16="http://schemas.microsoft.com/office/drawing/2014/chart" uri="{C3380CC4-5D6E-409C-BE32-E72D297353CC}">
                <c16:uniqueId val="{0000000A-D902-46EE-9CCE-68A10DD257D7}"/>
              </c:ext>
            </c:extLst>
          </c:dPt>
          <c:cat>
            <c:strRef>
              <c:f>('log,memtable单测'!$X$80,'log,memtable单测'!$AA$80)</c:f>
              <c:strCache>
                <c:ptCount val="2"/>
                <c:pt idx="0">
                  <c:v>128BKV</c:v>
                </c:pt>
                <c:pt idx="1">
                  <c:v>1KBKV</c:v>
                </c:pt>
              </c:strCache>
            </c:strRef>
          </c:cat>
          <c:val>
            <c:numRef>
              <c:f>('log,memtable单测'!$X$85,'log,memtable单测'!$AA$85)</c:f>
              <c:numCache>
                <c:formatCode>General</c:formatCode>
                <c:ptCount val="2"/>
                <c:pt idx="0">
                  <c:v>2149</c:v>
                </c:pt>
                <c:pt idx="1">
                  <c:v>1833</c:v>
                </c:pt>
              </c:numCache>
            </c:numRef>
          </c:val>
          <c:extLst>
            <c:ext xmlns:c16="http://schemas.microsoft.com/office/drawing/2014/chart" uri="{C3380CC4-5D6E-409C-BE32-E72D297353CC}">
              <c16:uniqueId val="{0000000B-D902-46EE-9CCE-68A10DD257D7}"/>
            </c:ext>
          </c:extLst>
        </c:ser>
        <c:ser>
          <c:idx val="4"/>
          <c:order val="6"/>
          <c:tx>
            <c:strRef>
              <c:f>'log,memtable单测'!$V$86</c:f>
              <c:strCache>
                <c:ptCount val="1"/>
                <c:pt idx="0">
                  <c:v>8memtables</c:v>
                </c:pt>
              </c:strCache>
            </c:strRef>
          </c:tx>
          <c:spPr>
            <a:solidFill>
              <a:schemeClr val="accent5"/>
            </a:solidFill>
            <a:ln>
              <a:noFill/>
            </a:ln>
            <a:effectLst/>
          </c:spPr>
          <c:invertIfNegative val="0"/>
          <c:dPt>
            <c:idx val="1"/>
            <c:invertIfNegative val="0"/>
            <c:bubble3D val="0"/>
            <c:spPr>
              <a:solidFill>
                <a:schemeClr val="accent5"/>
              </a:solidFill>
              <a:ln>
                <a:noFill/>
              </a:ln>
              <a:effectLst/>
            </c:spPr>
            <c:extLst>
              <c:ext xmlns:c16="http://schemas.microsoft.com/office/drawing/2014/chart" uri="{C3380CC4-5D6E-409C-BE32-E72D297353CC}">
                <c16:uniqueId val="{0000000D-D902-46EE-9CCE-68A10DD257D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('log,memtable单测'!$X$80,'log,memtable单测'!$AA$80)</c:f>
              <c:strCache>
                <c:ptCount val="2"/>
                <c:pt idx="0">
                  <c:v>128BKV</c:v>
                </c:pt>
                <c:pt idx="1">
                  <c:v>1KBKV</c:v>
                </c:pt>
              </c:strCache>
            </c:strRef>
          </c:cat>
          <c:val>
            <c:numRef>
              <c:f>('log,memtable单测'!$X$86,'log,memtable单测'!$AA$86)</c:f>
              <c:numCache>
                <c:formatCode>General</c:formatCode>
                <c:ptCount val="2"/>
                <c:pt idx="0">
                  <c:v>3628</c:v>
                </c:pt>
                <c:pt idx="1">
                  <c:v>3181</c:v>
                </c:pt>
              </c:numCache>
            </c:numRef>
          </c:val>
          <c:extLst>
            <c:ext xmlns:c16="http://schemas.microsoft.com/office/drawing/2014/chart" uri="{C3380CC4-5D6E-409C-BE32-E72D297353CC}">
              <c16:uniqueId val="{0000000E-D902-46EE-9CCE-68A10DD257D7}"/>
            </c:ext>
          </c:extLst>
        </c:ser>
        <c:dLbls>
          <c:showLegendKey val="0"/>
          <c:showVal val="0"/>
          <c:showCatName val="0"/>
          <c:showSerName val="0"/>
          <c:showPercent val="0"/>
          <c:showBubbleSize val="0"/>
        </c:dLbls>
        <c:gapWidth val="219"/>
        <c:overlap val="-27"/>
        <c:axId val="947017248"/>
        <c:axId val="737935936"/>
        <c:extLst>
          <c:ext xmlns:c15="http://schemas.microsoft.com/office/drawing/2012/chart" uri="{02D57815-91ED-43cb-92C2-25804820EDAC}">
            <c15:filteredBarSeries>
              <c15:ser>
                <c:idx val="7"/>
                <c:order val="3"/>
                <c:tx>
                  <c:strRef>
                    <c:extLst>
                      <c:ext uri="{02D57815-91ED-43cb-92C2-25804820EDAC}">
                        <c15:formulaRef>
                          <c15:sqref>'log,memtable单测'!$V$84</c15:sqref>
                        </c15:formulaRef>
                      </c:ext>
                    </c:extLst>
                    <c:strCache>
                      <c:ptCount val="1"/>
                      <c:pt idx="0">
                        <c:v>16threads</c:v>
                      </c:pt>
                    </c:strCache>
                  </c:strRef>
                </c:tx>
                <c:spPr>
                  <a:solidFill>
                    <a:schemeClr val="accent2">
                      <a:lumMod val="60000"/>
                    </a:schemeClr>
                  </a:solidFill>
                  <a:ln>
                    <a:noFill/>
                  </a:ln>
                  <a:effectLst/>
                </c:spPr>
                <c:invertIfNegative val="0"/>
                <c:dPt>
                  <c:idx val="1"/>
                  <c:invertIfNegative val="0"/>
                  <c:bubble3D val="0"/>
                  <c:spPr>
                    <a:solidFill>
                      <a:schemeClr val="accent2">
                        <a:lumMod val="60000"/>
                      </a:schemeClr>
                    </a:solidFill>
                    <a:ln>
                      <a:noFill/>
                    </a:ln>
                    <a:effectLst/>
                  </c:spPr>
                  <c:extLst>
                    <c:ext xmlns:c16="http://schemas.microsoft.com/office/drawing/2014/chart" uri="{C3380CC4-5D6E-409C-BE32-E72D297353CC}">
                      <c16:uniqueId val="{00000010-D902-46EE-9CCE-68A10DD257D7}"/>
                    </c:ext>
                  </c:extLst>
                </c:dPt>
                <c:cat>
                  <c:strRef>
                    <c:extLst>
                      <c:ext uri="{02D57815-91ED-43cb-92C2-25804820EDAC}">
                        <c15:formulaRef>
                          <c15:sqref>('log,memtable单测'!$X$80,'log,memtable单测'!$AA$80)</c15:sqref>
                        </c15:formulaRef>
                      </c:ext>
                    </c:extLst>
                    <c:strCache>
                      <c:ptCount val="2"/>
                      <c:pt idx="0">
                        <c:v>128BKV</c:v>
                      </c:pt>
                      <c:pt idx="1">
                        <c:v>1KBKV</c:v>
                      </c:pt>
                    </c:strCache>
                  </c:strRef>
                </c:cat>
                <c:val>
                  <c:numRef>
                    <c:extLst>
                      <c:ext uri="{02D57815-91ED-43cb-92C2-25804820EDAC}">
                        <c15:formulaRef>
                          <c15:sqref>('log,memtable单测'!$X$84,'log,memtable单测'!$AA$84)</c15:sqref>
                        </c15:formulaRef>
                      </c:ext>
                    </c:extLst>
                    <c:numCache>
                      <c:formatCode>General</c:formatCode>
                      <c:ptCount val="2"/>
                      <c:pt idx="0">
                        <c:v>1025</c:v>
                      </c:pt>
                      <c:pt idx="1">
                        <c:v>742</c:v>
                      </c:pt>
                    </c:numCache>
                  </c:numRef>
                </c:val>
                <c:extLst>
                  <c:ext xmlns:c16="http://schemas.microsoft.com/office/drawing/2014/chart" uri="{C3380CC4-5D6E-409C-BE32-E72D297353CC}">
                    <c16:uniqueId val="{00000011-D902-46EE-9CCE-68A10DD257D7}"/>
                  </c:ext>
                </c:extLst>
              </c15:ser>
            </c15:filteredBarSeries>
            <c15:filteredBarSeries>
              <c15:ser>
                <c:idx val="5"/>
                <c:order val="7"/>
                <c:tx>
                  <c:strRef>
                    <c:extLst xmlns:c15="http://schemas.microsoft.com/office/drawing/2012/chart">
                      <c:ext xmlns:c15="http://schemas.microsoft.com/office/drawing/2012/chart" uri="{02D57815-91ED-43cb-92C2-25804820EDAC}">
                        <c15:formulaRef>
                          <c15:sqref>'log,memtable单测'!$V$87</c15:sqref>
                        </c15:formulaRef>
                      </c:ext>
                    </c:extLst>
                    <c:strCache>
                      <c:ptCount val="1"/>
                      <c:pt idx="0">
                        <c:v>16memtables</c:v>
                      </c:pt>
                    </c:strCache>
                  </c:strRef>
                </c:tx>
                <c:spPr>
                  <a:solidFill>
                    <a:schemeClr val="accent6"/>
                  </a:solidFill>
                  <a:ln>
                    <a:noFill/>
                  </a:ln>
                  <a:effectLst/>
                </c:spPr>
                <c:invertIfNegative val="0"/>
                <c:dPt>
                  <c:idx val="1"/>
                  <c:invertIfNegative val="0"/>
                  <c:bubble3D val="0"/>
                  <c:spPr>
                    <a:solidFill>
                      <a:schemeClr val="accent6"/>
                    </a:solidFill>
                    <a:ln>
                      <a:noFill/>
                    </a:ln>
                    <a:effectLst/>
                  </c:spPr>
                  <c:extLst xmlns:c15="http://schemas.microsoft.com/office/drawing/2012/chart">
                    <c:ext xmlns:c16="http://schemas.microsoft.com/office/drawing/2014/chart" uri="{C3380CC4-5D6E-409C-BE32-E72D297353CC}">
                      <c16:uniqueId val="{00000013-D902-46EE-9CCE-68A10DD257D7}"/>
                    </c:ext>
                  </c:extLst>
                </c:dPt>
                <c:cat>
                  <c:strRef>
                    <c:extLst xmlns:c15="http://schemas.microsoft.com/office/drawing/2012/chart">
                      <c:ext xmlns:c15="http://schemas.microsoft.com/office/drawing/2012/chart" uri="{02D57815-91ED-43cb-92C2-25804820EDAC}">
                        <c15:formulaRef>
                          <c15:sqref>('log,memtable单测'!$X$80,'log,memtable单测'!$AA$80)</c15:sqref>
                        </c15:formulaRef>
                      </c:ext>
                    </c:extLst>
                    <c:strCache>
                      <c:ptCount val="2"/>
                      <c:pt idx="0">
                        <c:v>128BKV</c:v>
                      </c:pt>
                      <c:pt idx="1">
                        <c:v>1KBKV</c:v>
                      </c:pt>
                    </c:strCache>
                  </c:strRef>
                </c:cat>
                <c:val>
                  <c:numRef>
                    <c:extLst xmlns:c15="http://schemas.microsoft.com/office/drawing/2012/chart">
                      <c:ext xmlns:c15="http://schemas.microsoft.com/office/drawing/2012/chart" uri="{02D57815-91ED-43cb-92C2-25804820EDAC}">
                        <c15:formulaRef>
                          <c15:sqref>('log,memtable单测'!$X$87,'log,memtable单测'!$AA$87)</c15:sqref>
                        </c15:formulaRef>
                      </c:ext>
                    </c:extLst>
                    <c:numCache>
                      <c:formatCode>General</c:formatCode>
                      <c:ptCount val="2"/>
                      <c:pt idx="0">
                        <c:v>6227</c:v>
                      </c:pt>
                      <c:pt idx="1">
                        <c:v>5209</c:v>
                      </c:pt>
                    </c:numCache>
                  </c:numRef>
                </c:val>
                <c:extLst xmlns:c15="http://schemas.microsoft.com/office/drawing/2012/chart">
                  <c:ext xmlns:c16="http://schemas.microsoft.com/office/drawing/2014/chart" uri="{C3380CC4-5D6E-409C-BE32-E72D297353CC}">
                    <c16:uniqueId val="{00000014-D902-46EE-9CCE-68A10DD257D7}"/>
                  </c:ext>
                </c:extLst>
              </c15:ser>
            </c15:filteredBarSeries>
          </c:ext>
        </c:extLst>
      </c:barChart>
      <c:catAx>
        <c:axId val="94701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crossAx val="737935936"/>
        <c:crosses val="autoZero"/>
        <c:auto val="1"/>
        <c:lblAlgn val="ctr"/>
        <c:lblOffset val="100"/>
        <c:noMultiLvlLbl val="0"/>
      </c:catAx>
      <c:valAx>
        <c:axId val="73793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crossAx val="947017248"/>
        <c:crosses val="autoZero"/>
        <c:crossBetween val="between"/>
      </c:valAx>
      <c:spPr>
        <a:noFill/>
        <a:ln>
          <a:noFill/>
        </a:ln>
        <a:effectLst/>
      </c:spPr>
    </c:plotArea>
    <c:legend>
      <c:legendPos val="b"/>
      <c:legendEntry>
        <c:idx val="3"/>
        <c:delete val="1"/>
      </c:legendEntry>
      <c:layout>
        <c:manualLayout>
          <c:xMode val="edge"/>
          <c:yMode val="edge"/>
          <c:x val="1.6554461942257209E-2"/>
          <c:y val="0.83563174394867312"/>
          <c:w val="0.98344553805774282"/>
          <c:h val="9.492381160688247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zh-CN"/>
    </a:p>
  </c:txPr>
  <c:printSettings>
    <c:headerFooter/>
    <c:pageMargins b="0.75" l="0.7" r="0.7" t="0.75" header="0.3" footer="0.3"/>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FillSeq</a:t>
            </a:r>
            <a:r>
              <a:rPr lang="zh-CN" altLang="en-US"/>
              <a:t>负载写入吞吐量</a:t>
            </a:r>
            <a:r>
              <a:rPr lang="en-US" altLang="zh-CN"/>
              <a:t>(MB/s)</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模拟测试!$A$2</c:f>
              <c:strCache>
                <c:ptCount val="1"/>
                <c:pt idx="0">
                  <c:v>Batch=1</c:v>
                </c:pt>
              </c:strCache>
            </c:strRef>
          </c:tx>
          <c:spPr>
            <a:solidFill>
              <a:schemeClr val="accent1"/>
            </a:solidFill>
            <a:ln>
              <a:noFill/>
            </a:ln>
            <a:effectLst/>
          </c:spPr>
          <c:invertIfNegative val="0"/>
          <c:cat>
            <c:strRef>
              <c:extLst>
                <c:ext xmlns:c15="http://schemas.microsoft.com/office/drawing/2012/chart" uri="{02D57815-91ED-43cb-92C2-25804820EDAC}">
                  <c15:fullRef>
                    <c15:sqref>模拟测试!$A$1:$G$1</c15:sqref>
                  </c15:fullRef>
                </c:ext>
              </c:extLst>
              <c:f>模拟测试!$B$1:$G$1</c:f>
              <c:strCache>
                <c:ptCount val="6"/>
                <c:pt idx="0">
                  <c:v>SingleDB</c:v>
                </c:pt>
                <c:pt idx="1">
                  <c:v>SingleDB4th</c:v>
                </c:pt>
                <c:pt idx="2">
                  <c:v>Column=4</c:v>
                </c:pt>
                <c:pt idx="3">
                  <c:v>Column=8</c:v>
                </c:pt>
                <c:pt idx="4">
                  <c:v>MultDB=4</c:v>
                </c:pt>
                <c:pt idx="5">
                  <c:v>MultiDB=8</c:v>
                </c:pt>
              </c:strCache>
            </c:strRef>
          </c:cat>
          <c:val>
            <c:numRef>
              <c:extLst>
                <c:ext xmlns:c15="http://schemas.microsoft.com/office/drawing/2012/chart" uri="{02D57815-91ED-43cb-92C2-25804820EDAC}">
                  <c15:fullRef>
                    <c15:sqref>模拟测试!$A$2:$G$2</c15:sqref>
                  </c15:fullRef>
                </c:ext>
              </c:extLst>
              <c:f>模拟测试!$B$2:$G$2</c:f>
              <c:numCache>
                <c:formatCode>General</c:formatCode>
                <c:ptCount val="6"/>
                <c:pt idx="0">
                  <c:v>47</c:v>
                </c:pt>
                <c:pt idx="1">
                  <c:v>51</c:v>
                </c:pt>
                <c:pt idx="2">
                  <c:v>36</c:v>
                </c:pt>
                <c:pt idx="3">
                  <c:v>50</c:v>
                </c:pt>
                <c:pt idx="4">
                  <c:v>126</c:v>
                </c:pt>
                <c:pt idx="5">
                  <c:v>149</c:v>
                </c:pt>
              </c:numCache>
            </c:numRef>
          </c:val>
          <c:extLst>
            <c:ext xmlns:c16="http://schemas.microsoft.com/office/drawing/2014/chart" uri="{C3380CC4-5D6E-409C-BE32-E72D297353CC}">
              <c16:uniqueId val="{00000000-47E6-4E2B-8947-41C8709146A5}"/>
            </c:ext>
          </c:extLst>
        </c:ser>
        <c:ser>
          <c:idx val="1"/>
          <c:order val="1"/>
          <c:tx>
            <c:strRef>
              <c:f>模拟测试!$A$3</c:f>
              <c:strCache>
                <c:ptCount val="1"/>
                <c:pt idx="0">
                  <c:v>Batch=8</c:v>
                </c:pt>
              </c:strCache>
            </c:strRef>
          </c:tx>
          <c:spPr>
            <a:solidFill>
              <a:schemeClr val="accent2"/>
            </a:solidFill>
            <a:ln>
              <a:noFill/>
            </a:ln>
            <a:effectLst/>
          </c:spPr>
          <c:invertIfNegative val="0"/>
          <c:cat>
            <c:strRef>
              <c:extLst>
                <c:ext xmlns:c15="http://schemas.microsoft.com/office/drawing/2012/chart" uri="{02D57815-91ED-43cb-92C2-25804820EDAC}">
                  <c15:fullRef>
                    <c15:sqref>模拟测试!$A$1:$G$1</c15:sqref>
                  </c15:fullRef>
                </c:ext>
              </c:extLst>
              <c:f>模拟测试!$B$1:$G$1</c:f>
              <c:strCache>
                <c:ptCount val="6"/>
                <c:pt idx="0">
                  <c:v>SingleDB</c:v>
                </c:pt>
                <c:pt idx="1">
                  <c:v>SingleDB4th</c:v>
                </c:pt>
                <c:pt idx="2">
                  <c:v>Column=4</c:v>
                </c:pt>
                <c:pt idx="3">
                  <c:v>Column=8</c:v>
                </c:pt>
                <c:pt idx="4">
                  <c:v>MultDB=4</c:v>
                </c:pt>
                <c:pt idx="5">
                  <c:v>MultiDB=8</c:v>
                </c:pt>
              </c:strCache>
            </c:strRef>
          </c:cat>
          <c:val>
            <c:numRef>
              <c:extLst>
                <c:ext xmlns:c15="http://schemas.microsoft.com/office/drawing/2012/chart" uri="{02D57815-91ED-43cb-92C2-25804820EDAC}">
                  <c15:fullRef>
                    <c15:sqref>模拟测试!$A$3:$G$3</c15:sqref>
                  </c15:fullRef>
                </c:ext>
              </c:extLst>
              <c:f>模拟测试!$B$3:$G$3</c:f>
              <c:numCache>
                <c:formatCode>General</c:formatCode>
                <c:ptCount val="6"/>
                <c:pt idx="0">
                  <c:v>154</c:v>
                </c:pt>
                <c:pt idx="1">
                  <c:v>160</c:v>
                </c:pt>
                <c:pt idx="2">
                  <c:v>145</c:v>
                </c:pt>
                <c:pt idx="3">
                  <c:v>190</c:v>
                </c:pt>
                <c:pt idx="4">
                  <c:v>586</c:v>
                </c:pt>
                <c:pt idx="5">
                  <c:v>836</c:v>
                </c:pt>
              </c:numCache>
            </c:numRef>
          </c:val>
          <c:extLst>
            <c:ext xmlns:c16="http://schemas.microsoft.com/office/drawing/2014/chart" uri="{C3380CC4-5D6E-409C-BE32-E72D297353CC}">
              <c16:uniqueId val="{00000001-47E6-4E2B-8947-41C8709146A5}"/>
            </c:ext>
          </c:extLst>
        </c:ser>
        <c:ser>
          <c:idx val="2"/>
          <c:order val="2"/>
          <c:tx>
            <c:strRef>
              <c:f>模拟测试!$A$4</c:f>
              <c:strCache>
                <c:ptCount val="1"/>
                <c:pt idx="0">
                  <c:v>Batch=32</c:v>
                </c:pt>
              </c:strCache>
            </c:strRef>
          </c:tx>
          <c:spPr>
            <a:solidFill>
              <a:schemeClr val="accent3"/>
            </a:solidFill>
            <a:ln>
              <a:noFill/>
            </a:ln>
            <a:effectLst/>
          </c:spPr>
          <c:invertIfNegative val="0"/>
          <c:cat>
            <c:strRef>
              <c:extLst>
                <c:ext xmlns:c15="http://schemas.microsoft.com/office/drawing/2012/chart" uri="{02D57815-91ED-43cb-92C2-25804820EDAC}">
                  <c15:fullRef>
                    <c15:sqref>模拟测试!$A$1:$G$1</c15:sqref>
                  </c15:fullRef>
                </c:ext>
              </c:extLst>
              <c:f>模拟测试!$B$1:$G$1</c:f>
              <c:strCache>
                <c:ptCount val="6"/>
                <c:pt idx="0">
                  <c:v>SingleDB</c:v>
                </c:pt>
                <c:pt idx="1">
                  <c:v>SingleDB4th</c:v>
                </c:pt>
                <c:pt idx="2">
                  <c:v>Column=4</c:v>
                </c:pt>
                <c:pt idx="3">
                  <c:v>Column=8</c:v>
                </c:pt>
                <c:pt idx="4">
                  <c:v>MultDB=4</c:v>
                </c:pt>
                <c:pt idx="5">
                  <c:v>MultiDB=8</c:v>
                </c:pt>
              </c:strCache>
            </c:strRef>
          </c:cat>
          <c:val>
            <c:numRef>
              <c:extLst>
                <c:ext xmlns:c15="http://schemas.microsoft.com/office/drawing/2012/chart" uri="{02D57815-91ED-43cb-92C2-25804820EDAC}">
                  <c15:fullRef>
                    <c15:sqref>模拟测试!$A$4:$G$4</c15:sqref>
                  </c15:fullRef>
                </c:ext>
              </c:extLst>
              <c:f>模拟测试!$B$4:$G$4</c:f>
              <c:numCache>
                <c:formatCode>General</c:formatCode>
                <c:ptCount val="6"/>
                <c:pt idx="0">
                  <c:v>211</c:v>
                </c:pt>
                <c:pt idx="1">
                  <c:v>216</c:v>
                </c:pt>
                <c:pt idx="2">
                  <c:v>230</c:v>
                </c:pt>
                <c:pt idx="3">
                  <c:v>280</c:v>
                </c:pt>
                <c:pt idx="4">
                  <c:v>891</c:v>
                </c:pt>
                <c:pt idx="5">
                  <c:v>1487</c:v>
                </c:pt>
              </c:numCache>
            </c:numRef>
          </c:val>
          <c:extLst>
            <c:ext xmlns:c16="http://schemas.microsoft.com/office/drawing/2014/chart" uri="{C3380CC4-5D6E-409C-BE32-E72D297353CC}">
              <c16:uniqueId val="{00000002-47E6-4E2B-8947-41C8709146A5}"/>
            </c:ext>
          </c:extLst>
        </c:ser>
        <c:dLbls>
          <c:showLegendKey val="0"/>
          <c:showVal val="0"/>
          <c:showCatName val="0"/>
          <c:showSerName val="0"/>
          <c:showPercent val="0"/>
          <c:showBubbleSize val="0"/>
        </c:dLbls>
        <c:gapWidth val="219"/>
        <c:overlap val="-27"/>
        <c:axId val="354323936"/>
        <c:axId val="223570880"/>
      </c:barChart>
      <c:catAx>
        <c:axId val="35432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3570880"/>
        <c:crosses val="autoZero"/>
        <c:auto val="1"/>
        <c:lblAlgn val="ctr"/>
        <c:lblOffset val="100"/>
        <c:noMultiLvlLbl val="0"/>
      </c:catAx>
      <c:valAx>
        <c:axId val="22357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54323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10M</a:t>
            </a:r>
            <a:r>
              <a:rPr lang="zh-CN"/>
              <a:t> 顺序写</a:t>
            </a:r>
            <a:r>
              <a:rPr lang="en-US"/>
              <a:t> 28B+100B KV</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模拟测试修改版!$O$6</c:f>
              <c:strCache>
                <c:ptCount val="1"/>
                <c:pt idx="0">
                  <c:v>1th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模拟测试修改版!$P$5:$R$5</c:f>
              <c:strCache>
                <c:ptCount val="3"/>
                <c:pt idx="0">
                  <c:v>Batch=1</c:v>
                </c:pt>
                <c:pt idx="1">
                  <c:v>Batch=8</c:v>
                </c:pt>
                <c:pt idx="2">
                  <c:v>Batch=32</c:v>
                </c:pt>
              </c:strCache>
            </c:strRef>
          </c:cat>
          <c:val>
            <c:numRef>
              <c:f>模拟测试修改版!$P$6:$R$6</c:f>
              <c:numCache>
                <c:formatCode>General</c:formatCode>
                <c:ptCount val="3"/>
                <c:pt idx="0">
                  <c:v>52</c:v>
                </c:pt>
                <c:pt idx="1">
                  <c:v>180</c:v>
                </c:pt>
                <c:pt idx="2">
                  <c:v>247</c:v>
                </c:pt>
              </c:numCache>
            </c:numRef>
          </c:val>
          <c:extLst>
            <c:ext xmlns:c16="http://schemas.microsoft.com/office/drawing/2014/chart" uri="{C3380CC4-5D6E-409C-BE32-E72D297353CC}">
              <c16:uniqueId val="{00000000-F32B-4372-9275-918BE8DD5067}"/>
            </c:ext>
          </c:extLst>
        </c:ser>
        <c:ser>
          <c:idx val="1"/>
          <c:order val="1"/>
          <c:tx>
            <c:strRef>
              <c:f>模拟测试修改版!$O$7</c:f>
              <c:strCache>
                <c:ptCount val="1"/>
                <c:pt idx="0">
                  <c:v>4th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模拟测试修改版!$P$5:$R$5</c:f>
              <c:strCache>
                <c:ptCount val="3"/>
                <c:pt idx="0">
                  <c:v>Batch=1</c:v>
                </c:pt>
                <c:pt idx="1">
                  <c:v>Batch=8</c:v>
                </c:pt>
                <c:pt idx="2">
                  <c:v>Batch=32</c:v>
                </c:pt>
              </c:strCache>
            </c:strRef>
          </c:cat>
          <c:val>
            <c:numRef>
              <c:f>模拟测试修改版!$P$7:$R$7</c:f>
              <c:numCache>
                <c:formatCode>General</c:formatCode>
                <c:ptCount val="3"/>
                <c:pt idx="0">
                  <c:v>137</c:v>
                </c:pt>
                <c:pt idx="1">
                  <c:v>558</c:v>
                </c:pt>
                <c:pt idx="2">
                  <c:v>756</c:v>
                </c:pt>
              </c:numCache>
            </c:numRef>
          </c:val>
          <c:extLst>
            <c:ext xmlns:c16="http://schemas.microsoft.com/office/drawing/2014/chart" uri="{C3380CC4-5D6E-409C-BE32-E72D297353CC}">
              <c16:uniqueId val="{00000001-F32B-4372-9275-918BE8DD5067}"/>
            </c:ext>
          </c:extLst>
        </c:ser>
        <c:ser>
          <c:idx val="2"/>
          <c:order val="2"/>
          <c:tx>
            <c:strRef>
              <c:f>模拟测试修改版!$O$8</c:f>
              <c:strCache>
                <c:ptCount val="1"/>
                <c:pt idx="0">
                  <c:v>8th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模拟测试修改版!$P$5:$R$5</c:f>
              <c:strCache>
                <c:ptCount val="3"/>
                <c:pt idx="0">
                  <c:v>Batch=1</c:v>
                </c:pt>
                <c:pt idx="1">
                  <c:v>Batch=8</c:v>
                </c:pt>
                <c:pt idx="2">
                  <c:v>Batch=32</c:v>
                </c:pt>
              </c:strCache>
            </c:strRef>
          </c:cat>
          <c:val>
            <c:numRef>
              <c:f>模拟测试修改版!$P$8:$R$8</c:f>
              <c:numCache>
                <c:formatCode>General</c:formatCode>
                <c:ptCount val="3"/>
                <c:pt idx="0">
                  <c:v>150</c:v>
                </c:pt>
                <c:pt idx="1">
                  <c:v>828</c:v>
                </c:pt>
                <c:pt idx="2">
                  <c:v>1395</c:v>
                </c:pt>
              </c:numCache>
            </c:numRef>
          </c:val>
          <c:extLst>
            <c:ext xmlns:c16="http://schemas.microsoft.com/office/drawing/2014/chart" uri="{C3380CC4-5D6E-409C-BE32-E72D297353CC}">
              <c16:uniqueId val="{00000002-F32B-4372-9275-918BE8DD5067}"/>
            </c:ext>
          </c:extLst>
        </c:ser>
        <c:ser>
          <c:idx val="3"/>
          <c:order val="3"/>
          <c:tx>
            <c:strRef>
              <c:f>模拟测试修改版!$O$9</c:f>
              <c:strCache>
                <c:ptCount val="1"/>
                <c:pt idx="0">
                  <c:v>12th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模拟测试修改版!$P$5:$R$5</c:f>
              <c:strCache>
                <c:ptCount val="3"/>
                <c:pt idx="0">
                  <c:v>Batch=1</c:v>
                </c:pt>
                <c:pt idx="1">
                  <c:v>Batch=8</c:v>
                </c:pt>
                <c:pt idx="2">
                  <c:v>Batch=32</c:v>
                </c:pt>
              </c:strCache>
            </c:strRef>
          </c:cat>
          <c:val>
            <c:numRef>
              <c:f>模拟测试修改版!$P$9:$R$9</c:f>
              <c:numCache>
                <c:formatCode>General</c:formatCode>
                <c:ptCount val="3"/>
                <c:pt idx="0">
                  <c:v>128</c:v>
                </c:pt>
                <c:pt idx="1">
                  <c:v>859</c:v>
                </c:pt>
                <c:pt idx="2">
                  <c:v>1690</c:v>
                </c:pt>
              </c:numCache>
            </c:numRef>
          </c:val>
          <c:extLst>
            <c:ext xmlns:c16="http://schemas.microsoft.com/office/drawing/2014/chart" uri="{C3380CC4-5D6E-409C-BE32-E72D297353CC}">
              <c16:uniqueId val="{00000003-FD36-4B84-9B6D-2500C23974D2}"/>
            </c:ext>
          </c:extLst>
        </c:ser>
        <c:dLbls>
          <c:showLegendKey val="0"/>
          <c:showVal val="0"/>
          <c:showCatName val="0"/>
          <c:showSerName val="0"/>
          <c:showPercent val="0"/>
          <c:showBubbleSize val="0"/>
        </c:dLbls>
        <c:gapWidth val="219"/>
        <c:overlap val="-27"/>
        <c:axId val="1653057664"/>
        <c:axId val="1652826272"/>
      </c:barChart>
      <c:catAx>
        <c:axId val="165305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crossAx val="1652826272"/>
        <c:crosses val="autoZero"/>
        <c:auto val="1"/>
        <c:lblAlgn val="ctr"/>
        <c:lblOffset val="100"/>
        <c:noMultiLvlLbl val="0"/>
      </c:catAx>
      <c:valAx>
        <c:axId val="165282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crossAx val="1653057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zh-CN"/>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10M </a:t>
            </a:r>
            <a:r>
              <a:rPr lang="zh-CN"/>
              <a:t>随机写 </a:t>
            </a:r>
            <a:r>
              <a:rPr lang="en-US"/>
              <a:t>28B+100B KV</a:t>
            </a:r>
            <a:endParaRPr lang="zh-CN"/>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模拟测试修改版!$O$12</c:f>
              <c:strCache>
                <c:ptCount val="1"/>
                <c:pt idx="0">
                  <c:v>1th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模拟测试修改版!$P$11:$R$11</c:f>
              <c:strCache>
                <c:ptCount val="3"/>
                <c:pt idx="0">
                  <c:v>Batch=1</c:v>
                </c:pt>
                <c:pt idx="1">
                  <c:v>Batch=8</c:v>
                </c:pt>
                <c:pt idx="2">
                  <c:v>Batch=32</c:v>
                </c:pt>
              </c:strCache>
            </c:strRef>
          </c:cat>
          <c:val>
            <c:numRef>
              <c:f>模拟测试修改版!$P$12:$R$12</c:f>
              <c:numCache>
                <c:formatCode>General</c:formatCode>
                <c:ptCount val="3"/>
                <c:pt idx="0">
                  <c:v>35</c:v>
                </c:pt>
                <c:pt idx="1">
                  <c:v>65</c:v>
                </c:pt>
                <c:pt idx="2">
                  <c:v>73</c:v>
                </c:pt>
              </c:numCache>
            </c:numRef>
          </c:val>
          <c:extLst>
            <c:ext xmlns:c16="http://schemas.microsoft.com/office/drawing/2014/chart" uri="{C3380CC4-5D6E-409C-BE32-E72D297353CC}">
              <c16:uniqueId val="{00000000-C991-4188-96E9-0975DFB09635}"/>
            </c:ext>
          </c:extLst>
        </c:ser>
        <c:ser>
          <c:idx val="1"/>
          <c:order val="1"/>
          <c:tx>
            <c:strRef>
              <c:f>模拟测试修改版!$O$13</c:f>
              <c:strCache>
                <c:ptCount val="1"/>
                <c:pt idx="0">
                  <c:v>4th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模拟测试修改版!$P$11:$R$11</c:f>
              <c:strCache>
                <c:ptCount val="3"/>
                <c:pt idx="0">
                  <c:v>Batch=1</c:v>
                </c:pt>
                <c:pt idx="1">
                  <c:v>Batch=8</c:v>
                </c:pt>
                <c:pt idx="2">
                  <c:v>Batch=32</c:v>
                </c:pt>
              </c:strCache>
            </c:strRef>
          </c:cat>
          <c:val>
            <c:numRef>
              <c:f>模拟测试修改版!$P$13:$R$13</c:f>
              <c:numCache>
                <c:formatCode>General</c:formatCode>
                <c:ptCount val="3"/>
                <c:pt idx="0">
                  <c:v>107</c:v>
                </c:pt>
                <c:pt idx="1">
                  <c:v>226</c:v>
                </c:pt>
                <c:pt idx="2">
                  <c:v>246</c:v>
                </c:pt>
              </c:numCache>
            </c:numRef>
          </c:val>
          <c:extLst>
            <c:ext xmlns:c16="http://schemas.microsoft.com/office/drawing/2014/chart" uri="{C3380CC4-5D6E-409C-BE32-E72D297353CC}">
              <c16:uniqueId val="{00000001-C991-4188-96E9-0975DFB09635}"/>
            </c:ext>
          </c:extLst>
        </c:ser>
        <c:ser>
          <c:idx val="2"/>
          <c:order val="2"/>
          <c:tx>
            <c:strRef>
              <c:f>模拟测试修改版!$O$14</c:f>
              <c:strCache>
                <c:ptCount val="1"/>
                <c:pt idx="0">
                  <c:v>8th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模拟测试修改版!$P$11:$R$11</c:f>
              <c:strCache>
                <c:ptCount val="3"/>
                <c:pt idx="0">
                  <c:v>Batch=1</c:v>
                </c:pt>
                <c:pt idx="1">
                  <c:v>Batch=8</c:v>
                </c:pt>
                <c:pt idx="2">
                  <c:v>Batch=32</c:v>
                </c:pt>
              </c:strCache>
            </c:strRef>
          </c:cat>
          <c:val>
            <c:numRef>
              <c:f>模拟测试修改版!$P$14:$R$14</c:f>
              <c:numCache>
                <c:formatCode>General</c:formatCode>
                <c:ptCount val="3"/>
                <c:pt idx="0">
                  <c:v>162</c:v>
                </c:pt>
                <c:pt idx="1">
                  <c:v>417</c:v>
                </c:pt>
                <c:pt idx="2">
                  <c:v>439</c:v>
                </c:pt>
              </c:numCache>
            </c:numRef>
          </c:val>
          <c:extLst>
            <c:ext xmlns:c16="http://schemas.microsoft.com/office/drawing/2014/chart" uri="{C3380CC4-5D6E-409C-BE32-E72D297353CC}">
              <c16:uniqueId val="{00000002-C991-4188-96E9-0975DFB09635}"/>
            </c:ext>
          </c:extLst>
        </c:ser>
        <c:ser>
          <c:idx val="3"/>
          <c:order val="3"/>
          <c:tx>
            <c:strRef>
              <c:f>模拟测试修改版!$O$15</c:f>
              <c:strCache>
                <c:ptCount val="1"/>
                <c:pt idx="0">
                  <c:v>12th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模拟测试修改版!$P$11:$R$11</c:f>
              <c:strCache>
                <c:ptCount val="3"/>
                <c:pt idx="0">
                  <c:v>Batch=1</c:v>
                </c:pt>
                <c:pt idx="1">
                  <c:v>Batch=8</c:v>
                </c:pt>
                <c:pt idx="2">
                  <c:v>Batch=32</c:v>
                </c:pt>
              </c:strCache>
            </c:strRef>
          </c:cat>
          <c:val>
            <c:numRef>
              <c:f>模拟测试修改版!$P$15:$R$15</c:f>
              <c:numCache>
                <c:formatCode>General</c:formatCode>
                <c:ptCount val="3"/>
                <c:pt idx="0">
                  <c:v>164</c:v>
                </c:pt>
                <c:pt idx="1">
                  <c:v>551</c:v>
                </c:pt>
                <c:pt idx="2">
                  <c:v>645</c:v>
                </c:pt>
              </c:numCache>
            </c:numRef>
          </c:val>
          <c:extLst>
            <c:ext xmlns:c16="http://schemas.microsoft.com/office/drawing/2014/chart" uri="{C3380CC4-5D6E-409C-BE32-E72D297353CC}">
              <c16:uniqueId val="{00000000-31F8-4DA0-A0A8-7F6D79A569E9}"/>
            </c:ext>
          </c:extLst>
        </c:ser>
        <c:dLbls>
          <c:showLegendKey val="0"/>
          <c:showVal val="0"/>
          <c:showCatName val="0"/>
          <c:showSerName val="0"/>
          <c:showPercent val="0"/>
          <c:showBubbleSize val="0"/>
        </c:dLbls>
        <c:gapWidth val="219"/>
        <c:overlap val="-27"/>
        <c:axId val="1653006864"/>
        <c:axId val="1652820032"/>
      </c:barChart>
      <c:catAx>
        <c:axId val="165300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crossAx val="1652820032"/>
        <c:crosses val="autoZero"/>
        <c:auto val="1"/>
        <c:lblAlgn val="ctr"/>
        <c:lblOffset val="100"/>
        <c:noMultiLvlLbl val="0"/>
      </c:catAx>
      <c:valAx>
        <c:axId val="165282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crossAx val="1653006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zh-CN"/>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10M </a:t>
            </a:r>
            <a:r>
              <a:rPr lang="zh-CN"/>
              <a:t>随机读 </a:t>
            </a:r>
            <a:r>
              <a:rPr lang="en-US"/>
              <a:t>28B+100B KV</a:t>
            </a:r>
            <a:endParaRPr lang="zh-CN"/>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模拟测试修改版!$A$21</c:f>
              <c:strCache>
                <c:ptCount val="1"/>
                <c:pt idx="0">
                  <c:v>1th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模拟测试修改版!$B$20:$D$20</c:f>
              <c:strCache>
                <c:ptCount val="3"/>
                <c:pt idx="0">
                  <c:v>Batch=1</c:v>
                </c:pt>
                <c:pt idx="1">
                  <c:v>Batch=8</c:v>
                </c:pt>
                <c:pt idx="2">
                  <c:v>Batch=32</c:v>
                </c:pt>
              </c:strCache>
            </c:strRef>
          </c:cat>
          <c:val>
            <c:numRef>
              <c:f>模拟测试修改版!$B$21:$D$21</c:f>
              <c:numCache>
                <c:formatCode>General</c:formatCode>
                <c:ptCount val="3"/>
                <c:pt idx="0">
                  <c:v>19</c:v>
                </c:pt>
                <c:pt idx="1">
                  <c:v>54</c:v>
                </c:pt>
                <c:pt idx="2">
                  <c:v>57</c:v>
                </c:pt>
              </c:numCache>
            </c:numRef>
          </c:val>
          <c:extLst>
            <c:ext xmlns:c16="http://schemas.microsoft.com/office/drawing/2014/chart" uri="{C3380CC4-5D6E-409C-BE32-E72D297353CC}">
              <c16:uniqueId val="{00000000-B145-4B71-905D-1752E92D3691}"/>
            </c:ext>
          </c:extLst>
        </c:ser>
        <c:ser>
          <c:idx val="1"/>
          <c:order val="1"/>
          <c:tx>
            <c:strRef>
              <c:f>模拟测试修改版!$A$22</c:f>
              <c:strCache>
                <c:ptCount val="1"/>
                <c:pt idx="0">
                  <c:v>4th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模拟测试修改版!$B$20:$D$20</c:f>
              <c:strCache>
                <c:ptCount val="3"/>
                <c:pt idx="0">
                  <c:v>Batch=1</c:v>
                </c:pt>
                <c:pt idx="1">
                  <c:v>Batch=8</c:v>
                </c:pt>
                <c:pt idx="2">
                  <c:v>Batch=32</c:v>
                </c:pt>
              </c:strCache>
            </c:strRef>
          </c:cat>
          <c:val>
            <c:numRef>
              <c:f>模拟测试修改版!$B$22:$D$22</c:f>
              <c:numCache>
                <c:formatCode>General</c:formatCode>
                <c:ptCount val="3"/>
                <c:pt idx="0">
                  <c:v>24</c:v>
                </c:pt>
                <c:pt idx="1">
                  <c:v>72</c:v>
                </c:pt>
                <c:pt idx="2">
                  <c:v>86</c:v>
                </c:pt>
              </c:numCache>
            </c:numRef>
          </c:val>
          <c:extLst>
            <c:ext xmlns:c16="http://schemas.microsoft.com/office/drawing/2014/chart" uri="{C3380CC4-5D6E-409C-BE32-E72D297353CC}">
              <c16:uniqueId val="{00000001-B145-4B71-905D-1752E92D3691}"/>
            </c:ext>
          </c:extLst>
        </c:ser>
        <c:ser>
          <c:idx val="2"/>
          <c:order val="2"/>
          <c:tx>
            <c:strRef>
              <c:f>模拟测试修改版!$A$23</c:f>
              <c:strCache>
                <c:ptCount val="1"/>
                <c:pt idx="0">
                  <c:v>8th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模拟测试修改版!$B$20:$D$20</c:f>
              <c:strCache>
                <c:ptCount val="3"/>
                <c:pt idx="0">
                  <c:v>Batch=1</c:v>
                </c:pt>
                <c:pt idx="1">
                  <c:v>Batch=8</c:v>
                </c:pt>
                <c:pt idx="2">
                  <c:v>Batch=32</c:v>
                </c:pt>
              </c:strCache>
            </c:strRef>
          </c:cat>
          <c:val>
            <c:numRef>
              <c:f>模拟测试修改版!$B$23:$D$23</c:f>
              <c:numCache>
                <c:formatCode>General</c:formatCode>
                <c:ptCount val="3"/>
                <c:pt idx="0">
                  <c:v>141</c:v>
                </c:pt>
                <c:pt idx="1">
                  <c:v>368</c:v>
                </c:pt>
                <c:pt idx="2">
                  <c:v>468</c:v>
                </c:pt>
              </c:numCache>
            </c:numRef>
          </c:val>
          <c:extLst>
            <c:ext xmlns:c16="http://schemas.microsoft.com/office/drawing/2014/chart" uri="{C3380CC4-5D6E-409C-BE32-E72D297353CC}">
              <c16:uniqueId val="{00000002-B145-4B71-905D-1752E92D3691}"/>
            </c:ext>
          </c:extLst>
        </c:ser>
        <c:dLbls>
          <c:showLegendKey val="0"/>
          <c:showVal val="0"/>
          <c:showCatName val="0"/>
          <c:showSerName val="0"/>
          <c:showPercent val="0"/>
          <c:showBubbleSize val="0"/>
        </c:dLbls>
        <c:gapWidth val="219"/>
        <c:overlap val="-27"/>
        <c:axId val="1550043840"/>
        <c:axId val="1652990496"/>
      </c:barChart>
      <c:catAx>
        <c:axId val="155004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crossAx val="1652990496"/>
        <c:crosses val="autoZero"/>
        <c:auto val="1"/>
        <c:lblAlgn val="ctr"/>
        <c:lblOffset val="100"/>
        <c:noMultiLvlLbl val="0"/>
      </c:catAx>
      <c:valAx>
        <c:axId val="165299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crossAx val="1550043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zh-CN"/>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单库多线程</a:t>
            </a:r>
            <a:r>
              <a:rPr lang="en-US" altLang="zh-CN"/>
              <a:t>vs</a:t>
            </a:r>
            <a:r>
              <a:rPr lang="zh-CN" altLang="en-US"/>
              <a:t>多库单线程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模拟测试修改版!$B$41</c:f>
              <c:strCache>
                <c:ptCount val="1"/>
                <c:pt idx="0">
                  <c:v>1th</c:v>
                </c:pt>
              </c:strCache>
            </c:strRef>
          </c:tx>
          <c:spPr>
            <a:solidFill>
              <a:schemeClr val="accent1"/>
            </a:solidFill>
            <a:ln>
              <a:noFill/>
            </a:ln>
            <a:effectLst/>
          </c:spPr>
          <c:invertIfNegative val="0"/>
          <c:cat>
            <c:strRef>
              <c:f>模拟测试修改版!$C$40:$F$40</c:f>
              <c:strCache>
                <c:ptCount val="4"/>
                <c:pt idx="0">
                  <c:v>db_bench</c:v>
                </c:pt>
                <c:pt idx="1">
                  <c:v>get</c:v>
                </c:pt>
                <c:pt idx="2">
                  <c:v>multiget</c:v>
                </c:pt>
                <c:pt idx="3">
                  <c:v>YCSB C</c:v>
                </c:pt>
              </c:strCache>
            </c:strRef>
          </c:cat>
          <c:val>
            <c:numRef>
              <c:f>模拟测试修改版!$C$41:$F$41</c:f>
              <c:numCache>
                <c:formatCode>General</c:formatCode>
                <c:ptCount val="4"/>
                <c:pt idx="0">
                  <c:v>26.5</c:v>
                </c:pt>
                <c:pt idx="1">
                  <c:v>29</c:v>
                </c:pt>
                <c:pt idx="2">
                  <c:v>25</c:v>
                </c:pt>
                <c:pt idx="3">
                  <c:v>26</c:v>
                </c:pt>
              </c:numCache>
            </c:numRef>
          </c:val>
          <c:extLst>
            <c:ext xmlns:c16="http://schemas.microsoft.com/office/drawing/2014/chart" uri="{C3380CC4-5D6E-409C-BE32-E72D297353CC}">
              <c16:uniqueId val="{00000000-882A-434B-8838-6A3BC391F3E9}"/>
            </c:ext>
          </c:extLst>
        </c:ser>
        <c:ser>
          <c:idx val="1"/>
          <c:order val="1"/>
          <c:tx>
            <c:strRef>
              <c:f>模拟测试修改版!$B$42</c:f>
              <c:strCache>
                <c:ptCount val="1"/>
                <c:pt idx="0">
                  <c:v>4th</c:v>
                </c:pt>
              </c:strCache>
            </c:strRef>
          </c:tx>
          <c:spPr>
            <a:solidFill>
              <a:schemeClr val="accent2"/>
            </a:solidFill>
            <a:ln>
              <a:noFill/>
            </a:ln>
            <a:effectLst/>
          </c:spPr>
          <c:invertIfNegative val="0"/>
          <c:cat>
            <c:strRef>
              <c:f>模拟测试修改版!$C$40:$F$40</c:f>
              <c:strCache>
                <c:ptCount val="4"/>
                <c:pt idx="0">
                  <c:v>db_bench</c:v>
                </c:pt>
                <c:pt idx="1">
                  <c:v>get</c:v>
                </c:pt>
                <c:pt idx="2">
                  <c:v>multiget</c:v>
                </c:pt>
                <c:pt idx="3">
                  <c:v>YCSB C</c:v>
                </c:pt>
              </c:strCache>
            </c:strRef>
          </c:cat>
          <c:val>
            <c:numRef>
              <c:f>模拟测试修改版!$C$42:$F$42</c:f>
              <c:numCache>
                <c:formatCode>General</c:formatCode>
                <c:ptCount val="4"/>
                <c:pt idx="0">
                  <c:v>77.2</c:v>
                </c:pt>
                <c:pt idx="1">
                  <c:v>87</c:v>
                </c:pt>
                <c:pt idx="2">
                  <c:v>82</c:v>
                </c:pt>
                <c:pt idx="3">
                  <c:v>96</c:v>
                </c:pt>
              </c:numCache>
            </c:numRef>
          </c:val>
          <c:extLst>
            <c:ext xmlns:c16="http://schemas.microsoft.com/office/drawing/2014/chart" uri="{C3380CC4-5D6E-409C-BE32-E72D297353CC}">
              <c16:uniqueId val="{00000001-882A-434B-8838-6A3BC391F3E9}"/>
            </c:ext>
          </c:extLst>
        </c:ser>
        <c:ser>
          <c:idx val="2"/>
          <c:order val="2"/>
          <c:tx>
            <c:strRef>
              <c:f>模拟测试修改版!$B$43</c:f>
              <c:strCache>
                <c:ptCount val="1"/>
                <c:pt idx="0">
                  <c:v>8th</c:v>
                </c:pt>
              </c:strCache>
            </c:strRef>
          </c:tx>
          <c:spPr>
            <a:solidFill>
              <a:schemeClr val="accent3"/>
            </a:solidFill>
            <a:ln>
              <a:noFill/>
            </a:ln>
            <a:effectLst/>
          </c:spPr>
          <c:invertIfNegative val="0"/>
          <c:cat>
            <c:strRef>
              <c:f>模拟测试修改版!$C$40:$F$40</c:f>
              <c:strCache>
                <c:ptCount val="4"/>
                <c:pt idx="0">
                  <c:v>db_bench</c:v>
                </c:pt>
                <c:pt idx="1">
                  <c:v>get</c:v>
                </c:pt>
                <c:pt idx="2">
                  <c:v>multiget</c:v>
                </c:pt>
                <c:pt idx="3">
                  <c:v>YCSB C</c:v>
                </c:pt>
              </c:strCache>
            </c:strRef>
          </c:cat>
          <c:val>
            <c:numRef>
              <c:f>模拟测试修改版!$C$43:$F$43</c:f>
              <c:numCache>
                <c:formatCode>General</c:formatCode>
                <c:ptCount val="4"/>
                <c:pt idx="0">
                  <c:v>141.19999999999999</c:v>
                </c:pt>
                <c:pt idx="1">
                  <c:v>161</c:v>
                </c:pt>
                <c:pt idx="2">
                  <c:v>150</c:v>
                </c:pt>
                <c:pt idx="3">
                  <c:v>160</c:v>
                </c:pt>
              </c:numCache>
            </c:numRef>
          </c:val>
          <c:extLst>
            <c:ext xmlns:c16="http://schemas.microsoft.com/office/drawing/2014/chart" uri="{C3380CC4-5D6E-409C-BE32-E72D297353CC}">
              <c16:uniqueId val="{00000002-882A-434B-8838-6A3BC391F3E9}"/>
            </c:ext>
          </c:extLst>
        </c:ser>
        <c:dLbls>
          <c:showLegendKey val="0"/>
          <c:showVal val="0"/>
          <c:showCatName val="0"/>
          <c:showSerName val="0"/>
          <c:showPercent val="0"/>
          <c:showBubbleSize val="0"/>
        </c:dLbls>
        <c:gapWidth val="219"/>
        <c:overlap val="-27"/>
        <c:axId val="1540554032"/>
        <c:axId val="1648951760"/>
      </c:barChart>
      <c:catAx>
        <c:axId val="154055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48951760"/>
        <c:crosses val="autoZero"/>
        <c:auto val="1"/>
        <c:lblAlgn val="ctr"/>
        <c:lblOffset val="100"/>
        <c:noMultiLvlLbl val="0"/>
      </c:catAx>
      <c:valAx>
        <c:axId val="164895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40554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zh-CN" sz="1000"/>
              <a:t>不同前台线程数量下的读性能</a:t>
            </a:r>
            <a:r>
              <a:rPr lang="en-US" altLang="zh-CN" sz="1000"/>
              <a:t>M</a:t>
            </a:r>
            <a:r>
              <a:rPr lang="en-US" sz="1000"/>
              <a:t>B/s</a:t>
            </a:r>
            <a:endParaRPr lang="zh-CN" sz="1000"/>
          </a:p>
        </c:rich>
      </c:tx>
      <c:layout>
        <c:manualLayout>
          <c:xMode val="edge"/>
          <c:yMode val="edge"/>
          <c:x val="0.11687344913151365"/>
          <c:y val="2.2115739034279394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1462769387077236"/>
          <c:y val="0.18628824179874678"/>
          <c:w val="0.83078173540962463"/>
          <c:h val="0.58506287893519404"/>
        </c:manualLayout>
      </c:layout>
      <c:barChart>
        <c:barDir val="col"/>
        <c:grouping val="clustered"/>
        <c:varyColors val="0"/>
        <c:ser>
          <c:idx val="0"/>
          <c:order val="0"/>
          <c:tx>
            <c:strRef>
              <c:f>模拟测试修改版!$N$67</c:f>
              <c:strCache>
                <c:ptCount val="1"/>
                <c:pt idx="0">
                  <c:v>1th</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模拟测试修改版!$O$66:$P$66</c:f>
              <c:strCache>
                <c:ptCount val="2"/>
                <c:pt idx="0">
                  <c:v>RocksDB</c:v>
                </c:pt>
                <c:pt idx="1">
                  <c:v>XXX</c:v>
                </c:pt>
              </c:strCache>
            </c:strRef>
          </c:cat>
          <c:val>
            <c:numRef>
              <c:f>模拟测试修改版!$O$67:$P$67</c:f>
              <c:numCache>
                <c:formatCode>General</c:formatCode>
                <c:ptCount val="2"/>
                <c:pt idx="0">
                  <c:v>6.7</c:v>
                </c:pt>
                <c:pt idx="1">
                  <c:v>6.8</c:v>
                </c:pt>
              </c:numCache>
            </c:numRef>
          </c:val>
          <c:extLst>
            <c:ext xmlns:c16="http://schemas.microsoft.com/office/drawing/2014/chart" uri="{C3380CC4-5D6E-409C-BE32-E72D297353CC}">
              <c16:uniqueId val="{00000000-DE4A-42EA-865A-3DCC82FE8A76}"/>
            </c:ext>
          </c:extLst>
        </c:ser>
        <c:ser>
          <c:idx val="1"/>
          <c:order val="1"/>
          <c:tx>
            <c:strRef>
              <c:f>模拟测试修改版!$N$68</c:f>
              <c:strCache>
                <c:ptCount val="1"/>
                <c:pt idx="0">
                  <c:v>4th</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模拟测试修改版!$O$66:$P$66</c:f>
              <c:strCache>
                <c:ptCount val="2"/>
                <c:pt idx="0">
                  <c:v>RocksDB</c:v>
                </c:pt>
                <c:pt idx="1">
                  <c:v>XXX</c:v>
                </c:pt>
              </c:strCache>
            </c:strRef>
          </c:cat>
          <c:val>
            <c:numRef>
              <c:f>模拟测试修改版!$O$68:$P$68</c:f>
              <c:numCache>
                <c:formatCode>General</c:formatCode>
                <c:ptCount val="2"/>
                <c:pt idx="0">
                  <c:v>23.4</c:v>
                </c:pt>
                <c:pt idx="1">
                  <c:v>25.6</c:v>
                </c:pt>
              </c:numCache>
            </c:numRef>
          </c:val>
          <c:extLst>
            <c:ext xmlns:c16="http://schemas.microsoft.com/office/drawing/2014/chart" uri="{C3380CC4-5D6E-409C-BE32-E72D297353CC}">
              <c16:uniqueId val="{00000001-DE4A-42EA-865A-3DCC82FE8A76}"/>
            </c:ext>
          </c:extLst>
        </c:ser>
        <c:ser>
          <c:idx val="2"/>
          <c:order val="2"/>
          <c:tx>
            <c:strRef>
              <c:f>模拟测试修改版!$N$69</c:f>
              <c:strCache>
                <c:ptCount val="1"/>
                <c:pt idx="0">
                  <c:v>8th</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模拟测试修改版!$O$66:$P$66</c:f>
              <c:strCache>
                <c:ptCount val="2"/>
                <c:pt idx="0">
                  <c:v>RocksDB</c:v>
                </c:pt>
                <c:pt idx="1">
                  <c:v>XXX</c:v>
                </c:pt>
              </c:strCache>
            </c:strRef>
          </c:cat>
          <c:val>
            <c:numRef>
              <c:f>模拟测试修改版!$O$69:$P$69</c:f>
              <c:numCache>
                <c:formatCode>General</c:formatCode>
                <c:ptCount val="2"/>
                <c:pt idx="0">
                  <c:v>41.5</c:v>
                </c:pt>
                <c:pt idx="1">
                  <c:v>45</c:v>
                </c:pt>
              </c:numCache>
            </c:numRef>
          </c:val>
          <c:extLst>
            <c:ext xmlns:c16="http://schemas.microsoft.com/office/drawing/2014/chart" uri="{C3380CC4-5D6E-409C-BE32-E72D297353CC}">
              <c16:uniqueId val="{00000002-DE4A-42EA-865A-3DCC82FE8A76}"/>
            </c:ext>
          </c:extLst>
        </c:ser>
        <c:dLbls>
          <c:showLegendKey val="0"/>
          <c:showVal val="0"/>
          <c:showCatName val="0"/>
          <c:showSerName val="0"/>
          <c:showPercent val="0"/>
          <c:showBubbleSize val="0"/>
        </c:dLbls>
        <c:gapWidth val="219"/>
        <c:overlap val="-27"/>
        <c:axId val="122978272"/>
        <c:axId val="123145120"/>
      </c:barChart>
      <c:catAx>
        <c:axId val="12297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3145120"/>
        <c:crosses val="autoZero"/>
        <c:auto val="1"/>
        <c:lblAlgn val="ctr"/>
        <c:lblOffset val="100"/>
        <c:noMultiLvlLbl val="0"/>
      </c:catAx>
      <c:valAx>
        <c:axId val="12314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2978272"/>
        <c:crosses val="autoZero"/>
        <c:crossBetween val="between"/>
      </c:valAx>
      <c:spPr>
        <a:noFill/>
        <a:ln>
          <a:noFill/>
        </a:ln>
        <a:effectLst/>
      </c:spPr>
    </c:plotArea>
    <c:legend>
      <c:legendPos val="b"/>
      <c:layout>
        <c:manualLayout>
          <c:xMode val="edge"/>
          <c:yMode val="edge"/>
          <c:x val="0.31247376956292372"/>
          <c:y val="0.87260463617867889"/>
          <c:w val="0.3750524608741525"/>
          <c:h val="0.112651537798468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900"/>
      </a:pPr>
      <a:endParaRPr lang="zh-CN"/>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r>
              <a:rPr lang="zh-CN" altLang="en-US" sz="800"/>
              <a:t>批量读请求内部并行对读性能的影响</a:t>
            </a:r>
            <a:r>
              <a:rPr lang="en-US" altLang="zh-CN" sz="800"/>
              <a:t>MB/s</a:t>
            </a:r>
            <a:endParaRPr lang="zh-CN" altLang="en-US" sz="800"/>
          </a:p>
        </c:rich>
      </c:tx>
      <c:layout>
        <c:manualLayout>
          <c:xMode val="edge"/>
          <c:yMode val="edge"/>
          <c:x val="0.23405246152136111"/>
          <c:y val="2.8917943145571175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3901363453163859"/>
          <c:y val="0.16595232100347918"/>
          <c:w val="0.80605502963814912"/>
          <c:h val="0.6086390999816883"/>
        </c:manualLayout>
      </c:layout>
      <c:barChart>
        <c:barDir val="col"/>
        <c:grouping val="clustered"/>
        <c:varyColors val="0"/>
        <c:ser>
          <c:idx val="0"/>
          <c:order val="0"/>
          <c:tx>
            <c:strRef>
              <c:f>模拟测试修改版!$I$67</c:f>
              <c:strCache>
                <c:ptCount val="1"/>
                <c:pt idx="0">
                  <c:v>batch=1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模拟测试修改版!$J$66:$L$66</c:f>
              <c:strCache>
                <c:ptCount val="3"/>
                <c:pt idx="0">
                  <c:v>RocksDB</c:v>
                </c:pt>
                <c:pt idx="1">
                  <c:v>XXX-4</c:v>
                </c:pt>
                <c:pt idx="2">
                  <c:v>XXX-8</c:v>
                </c:pt>
              </c:strCache>
            </c:strRef>
          </c:cat>
          <c:val>
            <c:numRef>
              <c:f>模拟测试修改版!$J$67:$L$67</c:f>
              <c:numCache>
                <c:formatCode>General</c:formatCode>
                <c:ptCount val="3"/>
                <c:pt idx="0">
                  <c:v>6.7</c:v>
                </c:pt>
                <c:pt idx="1">
                  <c:v>25.6</c:v>
                </c:pt>
                <c:pt idx="2">
                  <c:v>45</c:v>
                </c:pt>
              </c:numCache>
            </c:numRef>
          </c:val>
          <c:extLst>
            <c:ext xmlns:c16="http://schemas.microsoft.com/office/drawing/2014/chart" uri="{C3380CC4-5D6E-409C-BE32-E72D297353CC}">
              <c16:uniqueId val="{00000000-DA86-47F3-A43C-41ABDC5674C2}"/>
            </c:ext>
          </c:extLst>
        </c:ser>
        <c:ser>
          <c:idx val="2"/>
          <c:order val="1"/>
          <c:tx>
            <c:strRef>
              <c:f>模拟测试修改版!$I$69</c:f>
              <c:strCache>
                <c:ptCount val="1"/>
                <c:pt idx="0">
                  <c:v>batch=32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模拟测试修改版!$J$66:$L$66</c:f>
              <c:strCache>
                <c:ptCount val="3"/>
                <c:pt idx="0">
                  <c:v>RocksDB</c:v>
                </c:pt>
                <c:pt idx="1">
                  <c:v>XXX-4</c:v>
                </c:pt>
                <c:pt idx="2">
                  <c:v>XXX-8</c:v>
                </c:pt>
              </c:strCache>
            </c:strRef>
          </c:cat>
          <c:val>
            <c:numRef>
              <c:f>模拟测试修改版!$J$69:$L$69</c:f>
              <c:numCache>
                <c:formatCode>General</c:formatCode>
                <c:ptCount val="3"/>
                <c:pt idx="0">
                  <c:v>50.6</c:v>
                </c:pt>
                <c:pt idx="1">
                  <c:v>187</c:v>
                </c:pt>
                <c:pt idx="2">
                  <c:v>340</c:v>
                </c:pt>
              </c:numCache>
            </c:numRef>
          </c:val>
          <c:extLst>
            <c:ext xmlns:c16="http://schemas.microsoft.com/office/drawing/2014/chart" uri="{C3380CC4-5D6E-409C-BE32-E72D297353CC}">
              <c16:uniqueId val="{00000002-DA86-47F3-A43C-41ABDC5674C2}"/>
            </c:ext>
          </c:extLst>
        </c:ser>
        <c:dLbls>
          <c:showLegendKey val="0"/>
          <c:showVal val="0"/>
          <c:showCatName val="0"/>
          <c:showSerName val="0"/>
          <c:showPercent val="0"/>
          <c:showBubbleSize val="0"/>
        </c:dLbls>
        <c:gapWidth val="219"/>
        <c:overlap val="-27"/>
        <c:axId val="122967072"/>
        <c:axId val="347030688"/>
      </c:barChart>
      <c:catAx>
        <c:axId val="12296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47030688"/>
        <c:crosses val="autoZero"/>
        <c:auto val="1"/>
        <c:lblAlgn val="ctr"/>
        <c:lblOffset val="100"/>
        <c:noMultiLvlLbl val="0"/>
      </c:catAx>
      <c:valAx>
        <c:axId val="347030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2967072"/>
        <c:crosses val="autoZero"/>
        <c:crossBetween val="between"/>
      </c:valAx>
      <c:spPr>
        <a:noFill/>
        <a:ln>
          <a:noFill/>
        </a:ln>
        <a:effectLst/>
      </c:spPr>
    </c:plotArea>
    <c:legend>
      <c:legendPos val="b"/>
      <c:layout>
        <c:manualLayout>
          <c:xMode val="edge"/>
          <c:yMode val="edge"/>
          <c:x val="0.1195269692412044"/>
          <c:y val="0.87441002105841426"/>
          <c:w val="0.76094606151759125"/>
          <c:h val="0.111055095220655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模拟测试YCSB版!$A$7</c:f>
              <c:strCache>
                <c:ptCount val="1"/>
                <c:pt idx="0">
                  <c:v>1q1b</c:v>
                </c:pt>
              </c:strCache>
            </c:strRef>
          </c:tx>
          <c:spPr>
            <a:solidFill>
              <a:schemeClr val="accent1"/>
            </a:solidFill>
            <a:ln>
              <a:noFill/>
            </a:ln>
            <a:effectLst/>
          </c:spPr>
          <c:invertIfNegative val="0"/>
          <c:cat>
            <c:multiLvlStrRef>
              <c:f>模拟测试YCSB版!$B$4:$M$6</c:f>
              <c:multiLvlStrCache>
                <c:ptCount val="12"/>
                <c:lvl>
                  <c:pt idx="0">
                    <c:v>load a</c:v>
                  </c:pt>
                  <c:pt idx="1">
                    <c:v>a</c:v>
                  </c:pt>
                  <c:pt idx="2">
                    <c:v>loadb</c:v>
                  </c:pt>
                  <c:pt idx="3">
                    <c:v>b</c:v>
                  </c:pt>
                  <c:pt idx="4">
                    <c:v>loadc</c:v>
                  </c:pt>
                  <c:pt idx="5">
                    <c:v>c</c:v>
                  </c:pt>
                  <c:pt idx="6">
                    <c:v>loadd</c:v>
                  </c:pt>
                  <c:pt idx="7">
                    <c:v>d</c:v>
                  </c:pt>
                  <c:pt idx="8">
                    <c:v>loade</c:v>
                  </c:pt>
                  <c:pt idx="9">
                    <c:v>e</c:v>
                  </c:pt>
                  <c:pt idx="10">
                    <c:v>loadf</c:v>
                  </c:pt>
                  <c:pt idx="11">
                    <c:v>f</c:v>
                  </c:pt>
                </c:lvl>
                <c:lvl>
                  <c:pt idx="0">
                    <c:v>50%read50%update</c:v>
                  </c:pt>
                  <c:pt idx="2">
                    <c:v>95%read5%update</c:v>
                  </c:pt>
                  <c:pt idx="4">
                    <c:v>100%read</c:v>
                  </c:pt>
                  <c:pt idx="6">
                    <c:v>95%read 5%insert</c:v>
                  </c:pt>
                  <c:pt idx="8">
                    <c:v>95%scan 5%insert</c:v>
                  </c:pt>
                  <c:pt idx="10">
                    <c:v>50%read50%readmodifywrite</c:v>
                  </c:pt>
                </c:lvl>
                <c:lvl>
                  <c:pt idx="0">
                    <c:v>zipfian</c:v>
                  </c:pt>
                  <c:pt idx="2">
                    <c:v>zipfian</c:v>
                  </c:pt>
                  <c:pt idx="4">
                    <c:v>zipfian</c:v>
                  </c:pt>
                  <c:pt idx="6">
                    <c:v>latest</c:v>
                  </c:pt>
                  <c:pt idx="8">
                    <c:v>uniform</c:v>
                  </c:pt>
                  <c:pt idx="10">
                    <c:v>zipfian</c:v>
                  </c:pt>
                </c:lvl>
              </c:multiLvlStrCache>
            </c:multiLvlStrRef>
          </c:cat>
          <c:val>
            <c:numRef>
              <c:f>模拟测试YCSB版!$B$7:$M$7</c:f>
              <c:numCache>
                <c:formatCode>General</c:formatCode>
                <c:ptCount val="12"/>
                <c:pt idx="0">
                  <c:v>35</c:v>
                </c:pt>
                <c:pt idx="1">
                  <c:v>25</c:v>
                </c:pt>
                <c:pt idx="2">
                  <c:v>34</c:v>
                </c:pt>
                <c:pt idx="3">
                  <c:v>26</c:v>
                </c:pt>
                <c:pt idx="4">
                  <c:v>37</c:v>
                </c:pt>
                <c:pt idx="5">
                  <c:v>26</c:v>
                </c:pt>
                <c:pt idx="6">
                  <c:v>38</c:v>
                </c:pt>
                <c:pt idx="7">
                  <c:v>43</c:v>
                </c:pt>
                <c:pt idx="8">
                  <c:v>38</c:v>
                </c:pt>
                <c:pt idx="9">
                  <c:v>355</c:v>
                </c:pt>
                <c:pt idx="10">
                  <c:v>35</c:v>
                </c:pt>
                <c:pt idx="11">
                  <c:v>26</c:v>
                </c:pt>
              </c:numCache>
            </c:numRef>
          </c:val>
          <c:extLst>
            <c:ext xmlns:c16="http://schemas.microsoft.com/office/drawing/2014/chart" uri="{C3380CC4-5D6E-409C-BE32-E72D297353CC}">
              <c16:uniqueId val="{00000000-4E5B-4C52-887B-B5C7F12B7B54}"/>
            </c:ext>
          </c:extLst>
        </c:ser>
        <c:ser>
          <c:idx val="1"/>
          <c:order val="1"/>
          <c:tx>
            <c:strRef>
              <c:f>模拟测试YCSB版!$A$8</c:f>
              <c:strCache>
                <c:ptCount val="1"/>
                <c:pt idx="0">
                  <c:v>1q32b</c:v>
                </c:pt>
              </c:strCache>
            </c:strRef>
          </c:tx>
          <c:spPr>
            <a:solidFill>
              <a:schemeClr val="accent2"/>
            </a:solidFill>
            <a:ln>
              <a:noFill/>
            </a:ln>
            <a:effectLst/>
          </c:spPr>
          <c:invertIfNegative val="0"/>
          <c:cat>
            <c:multiLvlStrRef>
              <c:f>模拟测试YCSB版!$B$4:$M$6</c:f>
              <c:multiLvlStrCache>
                <c:ptCount val="12"/>
                <c:lvl>
                  <c:pt idx="0">
                    <c:v>load a</c:v>
                  </c:pt>
                  <c:pt idx="1">
                    <c:v>a</c:v>
                  </c:pt>
                  <c:pt idx="2">
                    <c:v>loadb</c:v>
                  </c:pt>
                  <c:pt idx="3">
                    <c:v>b</c:v>
                  </c:pt>
                  <c:pt idx="4">
                    <c:v>loadc</c:v>
                  </c:pt>
                  <c:pt idx="5">
                    <c:v>c</c:v>
                  </c:pt>
                  <c:pt idx="6">
                    <c:v>loadd</c:v>
                  </c:pt>
                  <c:pt idx="7">
                    <c:v>d</c:v>
                  </c:pt>
                  <c:pt idx="8">
                    <c:v>loade</c:v>
                  </c:pt>
                  <c:pt idx="9">
                    <c:v>e</c:v>
                  </c:pt>
                  <c:pt idx="10">
                    <c:v>loadf</c:v>
                  </c:pt>
                  <c:pt idx="11">
                    <c:v>f</c:v>
                  </c:pt>
                </c:lvl>
                <c:lvl>
                  <c:pt idx="0">
                    <c:v>50%read50%update</c:v>
                  </c:pt>
                  <c:pt idx="2">
                    <c:v>95%read5%update</c:v>
                  </c:pt>
                  <c:pt idx="4">
                    <c:v>100%read</c:v>
                  </c:pt>
                  <c:pt idx="6">
                    <c:v>95%read 5%insert</c:v>
                  </c:pt>
                  <c:pt idx="8">
                    <c:v>95%scan 5%insert</c:v>
                  </c:pt>
                  <c:pt idx="10">
                    <c:v>50%read50%readmodifywrite</c:v>
                  </c:pt>
                </c:lvl>
                <c:lvl>
                  <c:pt idx="0">
                    <c:v>zipfian</c:v>
                  </c:pt>
                  <c:pt idx="2">
                    <c:v>zipfian</c:v>
                  </c:pt>
                  <c:pt idx="4">
                    <c:v>zipfian</c:v>
                  </c:pt>
                  <c:pt idx="6">
                    <c:v>latest</c:v>
                  </c:pt>
                  <c:pt idx="8">
                    <c:v>uniform</c:v>
                  </c:pt>
                  <c:pt idx="10">
                    <c:v>zipfian</c:v>
                  </c:pt>
                </c:lvl>
              </c:multiLvlStrCache>
            </c:multiLvlStrRef>
          </c:cat>
          <c:val>
            <c:numRef>
              <c:f>模拟测试YCSB版!$B$8:$M$8</c:f>
              <c:numCache>
                <c:formatCode>General</c:formatCode>
                <c:ptCount val="12"/>
                <c:pt idx="0">
                  <c:v>76</c:v>
                </c:pt>
                <c:pt idx="1">
                  <c:v>56</c:v>
                </c:pt>
                <c:pt idx="2">
                  <c:v>82</c:v>
                </c:pt>
                <c:pt idx="3">
                  <c:v>63</c:v>
                </c:pt>
                <c:pt idx="4">
                  <c:v>80</c:v>
                </c:pt>
                <c:pt idx="5">
                  <c:v>45</c:v>
                </c:pt>
                <c:pt idx="6">
                  <c:v>80</c:v>
                </c:pt>
                <c:pt idx="7">
                  <c:v>99</c:v>
                </c:pt>
                <c:pt idx="8">
                  <c:v>80</c:v>
                </c:pt>
                <c:pt idx="9">
                  <c:v>355</c:v>
                </c:pt>
                <c:pt idx="10">
                  <c:v>81</c:v>
                </c:pt>
                <c:pt idx="11">
                  <c:v>48</c:v>
                </c:pt>
              </c:numCache>
            </c:numRef>
          </c:val>
          <c:extLst>
            <c:ext xmlns:c16="http://schemas.microsoft.com/office/drawing/2014/chart" uri="{C3380CC4-5D6E-409C-BE32-E72D297353CC}">
              <c16:uniqueId val="{00000001-4E5B-4C52-887B-B5C7F12B7B54}"/>
            </c:ext>
          </c:extLst>
        </c:ser>
        <c:ser>
          <c:idx val="2"/>
          <c:order val="2"/>
          <c:tx>
            <c:strRef>
              <c:f>模拟测试YCSB版!$A$9</c:f>
              <c:strCache>
                <c:ptCount val="1"/>
                <c:pt idx="0">
                  <c:v>4q1b</c:v>
                </c:pt>
              </c:strCache>
            </c:strRef>
          </c:tx>
          <c:spPr>
            <a:solidFill>
              <a:schemeClr val="accent3"/>
            </a:solidFill>
            <a:ln>
              <a:noFill/>
            </a:ln>
            <a:effectLst/>
          </c:spPr>
          <c:invertIfNegative val="0"/>
          <c:cat>
            <c:multiLvlStrRef>
              <c:f>模拟测试YCSB版!$B$4:$M$6</c:f>
              <c:multiLvlStrCache>
                <c:ptCount val="12"/>
                <c:lvl>
                  <c:pt idx="0">
                    <c:v>load a</c:v>
                  </c:pt>
                  <c:pt idx="1">
                    <c:v>a</c:v>
                  </c:pt>
                  <c:pt idx="2">
                    <c:v>loadb</c:v>
                  </c:pt>
                  <c:pt idx="3">
                    <c:v>b</c:v>
                  </c:pt>
                  <c:pt idx="4">
                    <c:v>loadc</c:v>
                  </c:pt>
                  <c:pt idx="5">
                    <c:v>c</c:v>
                  </c:pt>
                  <c:pt idx="6">
                    <c:v>loadd</c:v>
                  </c:pt>
                  <c:pt idx="7">
                    <c:v>d</c:v>
                  </c:pt>
                  <c:pt idx="8">
                    <c:v>loade</c:v>
                  </c:pt>
                  <c:pt idx="9">
                    <c:v>e</c:v>
                  </c:pt>
                  <c:pt idx="10">
                    <c:v>loadf</c:v>
                  </c:pt>
                  <c:pt idx="11">
                    <c:v>f</c:v>
                  </c:pt>
                </c:lvl>
                <c:lvl>
                  <c:pt idx="0">
                    <c:v>50%read50%update</c:v>
                  </c:pt>
                  <c:pt idx="2">
                    <c:v>95%read5%update</c:v>
                  </c:pt>
                  <c:pt idx="4">
                    <c:v>100%read</c:v>
                  </c:pt>
                  <c:pt idx="6">
                    <c:v>95%read 5%insert</c:v>
                  </c:pt>
                  <c:pt idx="8">
                    <c:v>95%scan 5%insert</c:v>
                  </c:pt>
                  <c:pt idx="10">
                    <c:v>50%read50%readmodifywrite</c:v>
                  </c:pt>
                </c:lvl>
                <c:lvl>
                  <c:pt idx="0">
                    <c:v>zipfian</c:v>
                  </c:pt>
                  <c:pt idx="2">
                    <c:v>zipfian</c:v>
                  </c:pt>
                  <c:pt idx="4">
                    <c:v>zipfian</c:v>
                  </c:pt>
                  <c:pt idx="6">
                    <c:v>latest</c:v>
                  </c:pt>
                  <c:pt idx="8">
                    <c:v>uniform</c:v>
                  </c:pt>
                  <c:pt idx="10">
                    <c:v>zipfian</c:v>
                  </c:pt>
                </c:lvl>
              </c:multiLvlStrCache>
            </c:multiLvlStrRef>
          </c:cat>
          <c:val>
            <c:numRef>
              <c:f>模拟测试YCSB版!$B$9:$M$9</c:f>
              <c:numCache>
                <c:formatCode>General</c:formatCode>
                <c:ptCount val="12"/>
                <c:pt idx="0">
                  <c:v>127</c:v>
                </c:pt>
                <c:pt idx="1">
                  <c:v>105</c:v>
                </c:pt>
                <c:pt idx="2">
                  <c:v>117</c:v>
                </c:pt>
                <c:pt idx="3">
                  <c:v>97</c:v>
                </c:pt>
                <c:pt idx="4">
                  <c:v>116</c:v>
                </c:pt>
                <c:pt idx="5">
                  <c:v>92</c:v>
                </c:pt>
                <c:pt idx="6">
                  <c:v>126</c:v>
                </c:pt>
                <c:pt idx="7">
                  <c:v>162</c:v>
                </c:pt>
                <c:pt idx="8">
                  <c:v>114</c:v>
                </c:pt>
                <c:pt idx="9">
                  <c:v>216</c:v>
                </c:pt>
                <c:pt idx="10">
                  <c:v>111</c:v>
                </c:pt>
                <c:pt idx="11">
                  <c:v>104</c:v>
                </c:pt>
              </c:numCache>
            </c:numRef>
          </c:val>
          <c:extLst>
            <c:ext xmlns:c16="http://schemas.microsoft.com/office/drawing/2014/chart" uri="{C3380CC4-5D6E-409C-BE32-E72D297353CC}">
              <c16:uniqueId val="{00000002-4E5B-4C52-887B-B5C7F12B7B54}"/>
            </c:ext>
          </c:extLst>
        </c:ser>
        <c:ser>
          <c:idx val="3"/>
          <c:order val="3"/>
          <c:tx>
            <c:strRef>
              <c:f>模拟测试YCSB版!$A$10</c:f>
              <c:strCache>
                <c:ptCount val="1"/>
                <c:pt idx="0">
                  <c:v>4q32b</c:v>
                </c:pt>
              </c:strCache>
            </c:strRef>
          </c:tx>
          <c:spPr>
            <a:solidFill>
              <a:schemeClr val="accent4"/>
            </a:solidFill>
            <a:ln>
              <a:noFill/>
            </a:ln>
            <a:effectLst/>
          </c:spPr>
          <c:invertIfNegative val="0"/>
          <c:cat>
            <c:multiLvlStrRef>
              <c:f>模拟测试YCSB版!$B$4:$M$6</c:f>
              <c:multiLvlStrCache>
                <c:ptCount val="12"/>
                <c:lvl>
                  <c:pt idx="0">
                    <c:v>load a</c:v>
                  </c:pt>
                  <c:pt idx="1">
                    <c:v>a</c:v>
                  </c:pt>
                  <c:pt idx="2">
                    <c:v>loadb</c:v>
                  </c:pt>
                  <c:pt idx="3">
                    <c:v>b</c:v>
                  </c:pt>
                  <c:pt idx="4">
                    <c:v>loadc</c:v>
                  </c:pt>
                  <c:pt idx="5">
                    <c:v>c</c:v>
                  </c:pt>
                  <c:pt idx="6">
                    <c:v>loadd</c:v>
                  </c:pt>
                  <c:pt idx="7">
                    <c:v>d</c:v>
                  </c:pt>
                  <c:pt idx="8">
                    <c:v>loade</c:v>
                  </c:pt>
                  <c:pt idx="9">
                    <c:v>e</c:v>
                  </c:pt>
                  <c:pt idx="10">
                    <c:v>loadf</c:v>
                  </c:pt>
                  <c:pt idx="11">
                    <c:v>f</c:v>
                  </c:pt>
                </c:lvl>
                <c:lvl>
                  <c:pt idx="0">
                    <c:v>50%read50%update</c:v>
                  </c:pt>
                  <c:pt idx="2">
                    <c:v>95%read5%update</c:v>
                  </c:pt>
                  <c:pt idx="4">
                    <c:v>100%read</c:v>
                  </c:pt>
                  <c:pt idx="6">
                    <c:v>95%read 5%insert</c:v>
                  </c:pt>
                  <c:pt idx="8">
                    <c:v>95%scan 5%insert</c:v>
                  </c:pt>
                  <c:pt idx="10">
                    <c:v>50%read50%readmodifywrite</c:v>
                  </c:pt>
                </c:lvl>
                <c:lvl>
                  <c:pt idx="0">
                    <c:v>zipfian</c:v>
                  </c:pt>
                  <c:pt idx="2">
                    <c:v>zipfian</c:v>
                  </c:pt>
                  <c:pt idx="4">
                    <c:v>zipfian</c:v>
                  </c:pt>
                  <c:pt idx="6">
                    <c:v>latest</c:v>
                  </c:pt>
                  <c:pt idx="8">
                    <c:v>uniform</c:v>
                  </c:pt>
                  <c:pt idx="10">
                    <c:v>zipfian</c:v>
                  </c:pt>
                </c:lvl>
              </c:multiLvlStrCache>
            </c:multiLvlStrRef>
          </c:cat>
          <c:val>
            <c:numRef>
              <c:f>模拟测试YCSB版!$B$10:$M$10</c:f>
              <c:numCache>
                <c:formatCode>General</c:formatCode>
                <c:ptCount val="12"/>
                <c:pt idx="0">
                  <c:v>320</c:v>
                </c:pt>
                <c:pt idx="1">
                  <c:v>224</c:v>
                </c:pt>
                <c:pt idx="2">
                  <c:v>318</c:v>
                </c:pt>
                <c:pt idx="3">
                  <c:v>225</c:v>
                </c:pt>
                <c:pt idx="4">
                  <c:v>325</c:v>
                </c:pt>
                <c:pt idx="5">
                  <c:v>256</c:v>
                </c:pt>
                <c:pt idx="6">
                  <c:v>333</c:v>
                </c:pt>
                <c:pt idx="7">
                  <c:v>349</c:v>
                </c:pt>
                <c:pt idx="8">
                  <c:v>319</c:v>
                </c:pt>
                <c:pt idx="9">
                  <c:v>221</c:v>
                </c:pt>
                <c:pt idx="10">
                  <c:v>318</c:v>
                </c:pt>
                <c:pt idx="11">
                  <c:v>203</c:v>
                </c:pt>
              </c:numCache>
            </c:numRef>
          </c:val>
          <c:extLst>
            <c:ext xmlns:c16="http://schemas.microsoft.com/office/drawing/2014/chart" uri="{C3380CC4-5D6E-409C-BE32-E72D297353CC}">
              <c16:uniqueId val="{00000003-4E5B-4C52-887B-B5C7F12B7B54}"/>
            </c:ext>
          </c:extLst>
        </c:ser>
        <c:ser>
          <c:idx val="4"/>
          <c:order val="4"/>
          <c:tx>
            <c:strRef>
              <c:f>模拟测试YCSB版!$A$11</c:f>
              <c:strCache>
                <c:ptCount val="1"/>
                <c:pt idx="0">
                  <c:v>8q1b</c:v>
                </c:pt>
              </c:strCache>
            </c:strRef>
          </c:tx>
          <c:spPr>
            <a:solidFill>
              <a:schemeClr val="accent5"/>
            </a:solidFill>
            <a:ln>
              <a:noFill/>
            </a:ln>
            <a:effectLst/>
          </c:spPr>
          <c:invertIfNegative val="0"/>
          <c:cat>
            <c:multiLvlStrRef>
              <c:f>模拟测试YCSB版!$B$4:$M$6</c:f>
              <c:multiLvlStrCache>
                <c:ptCount val="12"/>
                <c:lvl>
                  <c:pt idx="0">
                    <c:v>load a</c:v>
                  </c:pt>
                  <c:pt idx="1">
                    <c:v>a</c:v>
                  </c:pt>
                  <c:pt idx="2">
                    <c:v>loadb</c:v>
                  </c:pt>
                  <c:pt idx="3">
                    <c:v>b</c:v>
                  </c:pt>
                  <c:pt idx="4">
                    <c:v>loadc</c:v>
                  </c:pt>
                  <c:pt idx="5">
                    <c:v>c</c:v>
                  </c:pt>
                  <c:pt idx="6">
                    <c:v>loadd</c:v>
                  </c:pt>
                  <c:pt idx="7">
                    <c:v>d</c:v>
                  </c:pt>
                  <c:pt idx="8">
                    <c:v>loade</c:v>
                  </c:pt>
                  <c:pt idx="9">
                    <c:v>e</c:v>
                  </c:pt>
                  <c:pt idx="10">
                    <c:v>loadf</c:v>
                  </c:pt>
                  <c:pt idx="11">
                    <c:v>f</c:v>
                  </c:pt>
                </c:lvl>
                <c:lvl>
                  <c:pt idx="0">
                    <c:v>50%read50%update</c:v>
                  </c:pt>
                  <c:pt idx="2">
                    <c:v>95%read5%update</c:v>
                  </c:pt>
                  <c:pt idx="4">
                    <c:v>100%read</c:v>
                  </c:pt>
                  <c:pt idx="6">
                    <c:v>95%read 5%insert</c:v>
                  </c:pt>
                  <c:pt idx="8">
                    <c:v>95%scan 5%insert</c:v>
                  </c:pt>
                  <c:pt idx="10">
                    <c:v>50%read50%readmodifywrite</c:v>
                  </c:pt>
                </c:lvl>
                <c:lvl>
                  <c:pt idx="0">
                    <c:v>zipfian</c:v>
                  </c:pt>
                  <c:pt idx="2">
                    <c:v>zipfian</c:v>
                  </c:pt>
                  <c:pt idx="4">
                    <c:v>zipfian</c:v>
                  </c:pt>
                  <c:pt idx="6">
                    <c:v>latest</c:v>
                  </c:pt>
                  <c:pt idx="8">
                    <c:v>uniform</c:v>
                  </c:pt>
                  <c:pt idx="10">
                    <c:v>zipfian</c:v>
                  </c:pt>
                </c:lvl>
              </c:multiLvlStrCache>
            </c:multiLvlStrRef>
          </c:cat>
          <c:val>
            <c:numRef>
              <c:f>模拟测试YCSB版!$B$11:$M$11</c:f>
              <c:numCache>
                <c:formatCode>General</c:formatCode>
                <c:ptCount val="12"/>
                <c:pt idx="0">
                  <c:v>197</c:v>
                </c:pt>
                <c:pt idx="1">
                  <c:v>191</c:v>
                </c:pt>
                <c:pt idx="2">
                  <c:v>187</c:v>
                </c:pt>
                <c:pt idx="3">
                  <c:v>184</c:v>
                </c:pt>
                <c:pt idx="4">
                  <c:v>162</c:v>
                </c:pt>
                <c:pt idx="5">
                  <c:v>160</c:v>
                </c:pt>
                <c:pt idx="6">
                  <c:v>179</c:v>
                </c:pt>
                <c:pt idx="7">
                  <c:v>307</c:v>
                </c:pt>
                <c:pt idx="8">
                  <c:v>166</c:v>
                </c:pt>
                <c:pt idx="9">
                  <c:v>121</c:v>
                </c:pt>
                <c:pt idx="10">
                  <c:v>180</c:v>
                </c:pt>
                <c:pt idx="11">
                  <c:v>176</c:v>
                </c:pt>
              </c:numCache>
            </c:numRef>
          </c:val>
          <c:extLst>
            <c:ext xmlns:c16="http://schemas.microsoft.com/office/drawing/2014/chart" uri="{C3380CC4-5D6E-409C-BE32-E72D297353CC}">
              <c16:uniqueId val="{00000004-4E5B-4C52-887B-B5C7F12B7B54}"/>
            </c:ext>
          </c:extLst>
        </c:ser>
        <c:ser>
          <c:idx val="5"/>
          <c:order val="5"/>
          <c:tx>
            <c:strRef>
              <c:f>模拟测试YCSB版!$A$12</c:f>
              <c:strCache>
                <c:ptCount val="1"/>
                <c:pt idx="0">
                  <c:v>8q32b</c:v>
                </c:pt>
              </c:strCache>
            </c:strRef>
          </c:tx>
          <c:spPr>
            <a:solidFill>
              <a:schemeClr val="accent6"/>
            </a:solidFill>
            <a:ln>
              <a:noFill/>
            </a:ln>
            <a:effectLst/>
          </c:spPr>
          <c:invertIfNegative val="0"/>
          <c:cat>
            <c:multiLvlStrRef>
              <c:f>模拟测试YCSB版!$B$4:$M$6</c:f>
              <c:multiLvlStrCache>
                <c:ptCount val="12"/>
                <c:lvl>
                  <c:pt idx="0">
                    <c:v>load a</c:v>
                  </c:pt>
                  <c:pt idx="1">
                    <c:v>a</c:v>
                  </c:pt>
                  <c:pt idx="2">
                    <c:v>loadb</c:v>
                  </c:pt>
                  <c:pt idx="3">
                    <c:v>b</c:v>
                  </c:pt>
                  <c:pt idx="4">
                    <c:v>loadc</c:v>
                  </c:pt>
                  <c:pt idx="5">
                    <c:v>c</c:v>
                  </c:pt>
                  <c:pt idx="6">
                    <c:v>loadd</c:v>
                  </c:pt>
                  <c:pt idx="7">
                    <c:v>d</c:v>
                  </c:pt>
                  <c:pt idx="8">
                    <c:v>loade</c:v>
                  </c:pt>
                  <c:pt idx="9">
                    <c:v>e</c:v>
                  </c:pt>
                  <c:pt idx="10">
                    <c:v>loadf</c:v>
                  </c:pt>
                  <c:pt idx="11">
                    <c:v>f</c:v>
                  </c:pt>
                </c:lvl>
                <c:lvl>
                  <c:pt idx="0">
                    <c:v>50%read50%update</c:v>
                  </c:pt>
                  <c:pt idx="2">
                    <c:v>95%read5%update</c:v>
                  </c:pt>
                  <c:pt idx="4">
                    <c:v>100%read</c:v>
                  </c:pt>
                  <c:pt idx="6">
                    <c:v>95%read 5%insert</c:v>
                  </c:pt>
                  <c:pt idx="8">
                    <c:v>95%scan 5%insert</c:v>
                  </c:pt>
                  <c:pt idx="10">
                    <c:v>50%read50%readmodifywrite</c:v>
                  </c:pt>
                </c:lvl>
                <c:lvl>
                  <c:pt idx="0">
                    <c:v>zipfian</c:v>
                  </c:pt>
                  <c:pt idx="2">
                    <c:v>zipfian</c:v>
                  </c:pt>
                  <c:pt idx="4">
                    <c:v>zipfian</c:v>
                  </c:pt>
                  <c:pt idx="6">
                    <c:v>latest</c:v>
                  </c:pt>
                  <c:pt idx="8">
                    <c:v>uniform</c:v>
                  </c:pt>
                  <c:pt idx="10">
                    <c:v>zipfian</c:v>
                  </c:pt>
                </c:lvl>
              </c:multiLvlStrCache>
            </c:multiLvlStrRef>
          </c:cat>
          <c:val>
            <c:numRef>
              <c:f>模拟测试YCSB版!$B$12:$M$12</c:f>
              <c:numCache>
                <c:formatCode>General</c:formatCode>
                <c:ptCount val="12"/>
                <c:pt idx="0">
                  <c:v>590</c:v>
                </c:pt>
                <c:pt idx="1">
                  <c:v>363</c:v>
                </c:pt>
                <c:pt idx="2">
                  <c:v>629</c:v>
                </c:pt>
                <c:pt idx="3">
                  <c:v>456</c:v>
                </c:pt>
                <c:pt idx="4">
                  <c:v>668</c:v>
                </c:pt>
                <c:pt idx="5">
                  <c:v>429</c:v>
                </c:pt>
                <c:pt idx="6">
                  <c:v>636</c:v>
                </c:pt>
                <c:pt idx="7">
                  <c:v>682</c:v>
                </c:pt>
                <c:pt idx="8">
                  <c:v>507</c:v>
                </c:pt>
                <c:pt idx="9">
                  <c:v>129</c:v>
                </c:pt>
                <c:pt idx="10">
                  <c:v>651</c:v>
                </c:pt>
                <c:pt idx="11">
                  <c:v>318</c:v>
                </c:pt>
              </c:numCache>
            </c:numRef>
          </c:val>
          <c:extLst>
            <c:ext xmlns:c16="http://schemas.microsoft.com/office/drawing/2014/chart" uri="{C3380CC4-5D6E-409C-BE32-E72D297353CC}">
              <c16:uniqueId val="{00000005-4E5B-4C52-887B-B5C7F12B7B54}"/>
            </c:ext>
          </c:extLst>
        </c:ser>
        <c:dLbls>
          <c:showLegendKey val="0"/>
          <c:showVal val="0"/>
          <c:showCatName val="0"/>
          <c:showSerName val="0"/>
          <c:showPercent val="0"/>
          <c:showBubbleSize val="0"/>
        </c:dLbls>
        <c:gapWidth val="219"/>
        <c:overlap val="-27"/>
        <c:axId val="1539156144"/>
        <c:axId val="1415923760"/>
      </c:barChart>
      <c:catAx>
        <c:axId val="153915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crossAx val="1415923760"/>
        <c:crosses val="autoZero"/>
        <c:auto val="1"/>
        <c:lblAlgn val="ctr"/>
        <c:lblOffset val="100"/>
        <c:noMultiLvlLbl val="0"/>
      </c:catAx>
      <c:valAx>
        <c:axId val="141592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39156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YCSB 1M 28B+100B KV</a:t>
            </a:r>
            <a:r>
              <a:rPr lang="zh-CN"/>
              <a:t>（单位</a:t>
            </a:r>
            <a:r>
              <a:rPr lang="en-US"/>
              <a:t>MB/s</a:t>
            </a:r>
            <a:r>
              <a:rPr lang="zh-CN"/>
              <a:t>）</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7.9247594050743664E-2"/>
          <c:y val="0.12078703703703704"/>
          <c:w val="0.89019685039370078"/>
          <c:h val="0.70170455646407137"/>
        </c:manualLayout>
      </c:layout>
      <c:barChart>
        <c:barDir val="col"/>
        <c:grouping val="clustered"/>
        <c:varyColors val="0"/>
        <c:ser>
          <c:idx val="0"/>
          <c:order val="0"/>
          <c:tx>
            <c:strRef>
              <c:f>模拟测试YCSB版!$A$7</c:f>
              <c:strCache>
                <c:ptCount val="1"/>
                <c:pt idx="0">
                  <c:v>1q1b</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(模拟测试YCSB版!$B$6:$C$6,模拟测试YCSB版!$E$6,模拟测试YCSB版!$G$6,模拟测试YCSB版!$I$6,模拟测试YCSB版!$K$6,模拟测试YCSB版!$M$6)</c:f>
              <c:strCache>
                <c:ptCount val="7"/>
                <c:pt idx="0">
                  <c:v>load a</c:v>
                </c:pt>
                <c:pt idx="1">
                  <c:v>a</c:v>
                </c:pt>
                <c:pt idx="2">
                  <c:v>b</c:v>
                </c:pt>
                <c:pt idx="3">
                  <c:v>c</c:v>
                </c:pt>
                <c:pt idx="4">
                  <c:v>d</c:v>
                </c:pt>
                <c:pt idx="5">
                  <c:v>e</c:v>
                </c:pt>
                <c:pt idx="6">
                  <c:v>f</c:v>
                </c:pt>
              </c:strCache>
            </c:strRef>
          </c:cat>
          <c:val>
            <c:numRef>
              <c:f>(模拟测试YCSB版!$B$7:$C$7,模拟测试YCSB版!$E$7,模拟测试YCSB版!$G$7,模拟测试YCSB版!$I$7,模拟测试YCSB版!$K$7,模拟测试YCSB版!$M$7)</c:f>
              <c:numCache>
                <c:formatCode>General</c:formatCode>
                <c:ptCount val="7"/>
                <c:pt idx="0">
                  <c:v>35</c:v>
                </c:pt>
                <c:pt idx="1">
                  <c:v>25</c:v>
                </c:pt>
                <c:pt idx="2">
                  <c:v>26</c:v>
                </c:pt>
                <c:pt idx="3">
                  <c:v>26</c:v>
                </c:pt>
                <c:pt idx="4">
                  <c:v>43</c:v>
                </c:pt>
                <c:pt idx="5">
                  <c:v>355</c:v>
                </c:pt>
                <c:pt idx="6">
                  <c:v>26</c:v>
                </c:pt>
              </c:numCache>
            </c:numRef>
          </c:val>
          <c:extLst>
            <c:ext xmlns:c16="http://schemas.microsoft.com/office/drawing/2014/chart" uri="{C3380CC4-5D6E-409C-BE32-E72D297353CC}">
              <c16:uniqueId val="{00000000-FCEA-4776-8A91-346470769639}"/>
            </c:ext>
          </c:extLst>
        </c:ser>
        <c:ser>
          <c:idx val="2"/>
          <c:order val="1"/>
          <c:tx>
            <c:strRef>
              <c:f>模拟测试YCSB版!$A$9</c:f>
              <c:strCache>
                <c:ptCount val="1"/>
                <c:pt idx="0">
                  <c:v>4q1b</c:v>
                </c:pt>
              </c:strCache>
            </c:strRef>
          </c:tx>
          <c:spPr>
            <a:solidFill>
              <a:schemeClr val="accent3"/>
            </a:solidFill>
            <a:ln>
              <a:noFill/>
            </a:ln>
            <a:effectLst/>
          </c:spPr>
          <c:invertIfNegative val="0"/>
          <c:cat>
            <c:strRef>
              <c:f>(模拟测试YCSB版!$B$6:$C$6,模拟测试YCSB版!$E$6,模拟测试YCSB版!$G$6,模拟测试YCSB版!$I$6,模拟测试YCSB版!$K$6,模拟测试YCSB版!$M$6)</c:f>
              <c:strCache>
                <c:ptCount val="7"/>
                <c:pt idx="0">
                  <c:v>load a</c:v>
                </c:pt>
                <c:pt idx="1">
                  <c:v>a</c:v>
                </c:pt>
                <c:pt idx="2">
                  <c:v>b</c:v>
                </c:pt>
                <c:pt idx="3">
                  <c:v>c</c:v>
                </c:pt>
                <c:pt idx="4">
                  <c:v>d</c:v>
                </c:pt>
                <c:pt idx="5">
                  <c:v>e</c:v>
                </c:pt>
                <c:pt idx="6">
                  <c:v>f</c:v>
                </c:pt>
              </c:strCache>
            </c:strRef>
          </c:cat>
          <c:val>
            <c:numRef>
              <c:f>(模拟测试YCSB版!$B$9:$C$9,模拟测试YCSB版!$E$9,模拟测试YCSB版!$G$9,模拟测试YCSB版!$I$9,模拟测试YCSB版!$K$9,模拟测试YCSB版!$M$9)</c:f>
              <c:numCache>
                <c:formatCode>General</c:formatCode>
                <c:ptCount val="7"/>
                <c:pt idx="0">
                  <c:v>127</c:v>
                </c:pt>
                <c:pt idx="1">
                  <c:v>105</c:v>
                </c:pt>
                <c:pt idx="2">
                  <c:v>97</c:v>
                </c:pt>
                <c:pt idx="3">
                  <c:v>92</c:v>
                </c:pt>
                <c:pt idx="4">
                  <c:v>162</c:v>
                </c:pt>
                <c:pt idx="5">
                  <c:v>216</c:v>
                </c:pt>
                <c:pt idx="6">
                  <c:v>104</c:v>
                </c:pt>
              </c:numCache>
            </c:numRef>
          </c:val>
          <c:extLst>
            <c:ext xmlns:c16="http://schemas.microsoft.com/office/drawing/2014/chart" uri="{C3380CC4-5D6E-409C-BE32-E72D297353CC}">
              <c16:uniqueId val="{00000002-FCEA-4776-8A91-346470769639}"/>
            </c:ext>
          </c:extLst>
        </c:ser>
        <c:ser>
          <c:idx val="4"/>
          <c:order val="2"/>
          <c:tx>
            <c:strRef>
              <c:f>模拟测试YCSB版!$A$11</c:f>
              <c:strCache>
                <c:ptCount val="1"/>
                <c:pt idx="0">
                  <c:v>8q1b</c:v>
                </c:pt>
              </c:strCache>
            </c:strRef>
          </c:tx>
          <c:spPr>
            <a:solidFill>
              <a:schemeClr val="accent5"/>
            </a:solidFill>
            <a:ln>
              <a:noFill/>
            </a:ln>
            <a:effectLst/>
          </c:spPr>
          <c:invertIfNegative val="0"/>
          <c:cat>
            <c:strRef>
              <c:f>(模拟测试YCSB版!$B$6:$C$6,模拟测试YCSB版!$E$6,模拟测试YCSB版!$G$6,模拟测试YCSB版!$I$6,模拟测试YCSB版!$K$6,模拟测试YCSB版!$M$6)</c:f>
              <c:strCache>
                <c:ptCount val="7"/>
                <c:pt idx="0">
                  <c:v>load a</c:v>
                </c:pt>
                <c:pt idx="1">
                  <c:v>a</c:v>
                </c:pt>
                <c:pt idx="2">
                  <c:v>b</c:v>
                </c:pt>
                <c:pt idx="3">
                  <c:v>c</c:v>
                </c:pt>
                <c:pt idx="4">
                  <c:v>d</c:v>
                </c:pt>
                <c:pt idx="5">
                  <c:v>e</c:v>
                </c:pt>
                <c:pt idx="6">
                  <c:v>f</c:v>
                </c:pt>
              </c:strCache>
            </c:strRef>
          </c:cat>
          <c:val>
            <c:numRef>
              <c:f>(模拟测试YCSB版!$B$11:$C$11,模拟测试YCSB版!$E$11,模拟测试YCSB版!$G$11,模拟测试YCSB版!$I$11,模拟测试YCSB版!$K$11,模拟测试YCSB版!$M$11)</c:f>
              <c:numCache>
                <c:formatCode>General</c:formatCode>
                <c:ptCount val="7"/>
                <c:pt idx="0">
                  <c:v>197</c:v>
                </c:pt>
                <c:pt idx="1">
                  <c:v>191</c:v>
                </c:pt>
                <c:pt idx="2">
                  <c:v>184</c:v>
                </c:pt>
                <c:pt idx="3">
                  <c:v>160</c:v>
                </c:pt>
                <c:pt idx="4">
                  <c:v>307</c:v>
                </c:pt>
                <c:pt idx="5">
                  <c:v>121</c:v>
                </c:pt>
                <c:pt idx="6">
                  <c:v>176</c:v>
                </c:pt>
              </c:numCache>
            </c:numRef>
          </c:val>
          <c:extLst>
            <c:ext xmlns:c16="http://schemas.microsoft.com/office/drawing/2014/chart" uri="{C3380CC4-5D6E-409C-BE32-E72D297353CC}">
              <c16:uniqueId val="{00000004-FCEA-4776-8A91-346470769639}"/>
            </c:ext>
          </c:extLst>
        </c:ser>
        <c:ser>
          <c:idx val="1"/>
          <c:order val="3"/>
          <c:tx>
            <c:strRef>
              <c:f>模拟测试YCSB版!$A$8</c:f>
              <c:strCache>
                <c:ptCount val="1"/>
                <c:pt idx="0">
                  <c:v>1q32b</c:v>
                </c:pt>
              </c:strCache>
            </c:strRef>
          </c:tx>
          <c:spPr>
            <a:solidFill>
              <a:schemeClr val="accent2"/>
            </a:solidFill>
            <a:ln>
              <a:noFill/>
            </a:ln>
            <a:effectLst/>
          </c:spPr>
          <c:invertIfNegative val="0"/>
          <c:cat>
            <c:strRef>
              <c:f>(模拟测试YCSB版!$B$6:$C$6,模拟测试YCSB版!$E$6,模拟测试YCSB版!$G$6,模拟测试YCSB版!$I$6,模拟测试YCSB版!$K$6,模拟测试YCSB版!$M$6)</c:f>
              <c:strCache>
                <c:ptCount val="7"/>
                <c:pt idx="0">
                  <c:v>load a</c:v>
                </c:pt>
                <c:pt idx="1">
                  <c:v>a</c:v>
                </c:pt>
                <c:pt idx="2">
                  <c:v>b</c:v>
                </c:pt>
                <c:pt idx="3">
                  <c:v>c</c:v>
                </c:pt>
                <c:pt idx="4">
                  <c:v>d</c:v>
                </c:pt>
                <c:pt idx="5">
                  <c:v>e</c:v>
                </c:pt>
                <c:pt idx="6">
                  <c:v>f</c:v>
                </c:pt>
              </c:strCache>
            </c:strRef>
          </c:cat>
          <c:val>
            <c:numRef>
              <c:f>(模拟测试YCSB版!$B$8:$C$8,模拟测试YCSB版!$E$8,模拟测试YCSB版!$G$8,模拟测试YCSB版!$I$8,模拟测试YCSB版!$K$8,模拟测试YCSB版!$M$8)</c:f>
              <c:numCache>
                <c:formatCode>General</c:formatCode>
                <c:ptCount val="7"/>
                <c:pt idx="0">
                  <c:v>76</c:v>
                </c:pt>
                <c:pt idx="1">
                  <c:v>56</c:v>
                </c:pt>
                <c:pt idx="2">
                  <c:v>63</c:v>
                </c:pt>
                <c:pt idx="3">
                  <c:v>45</c:v>
                </c:pt>
                <c:pt idx="4">
                  <c:v>99</c:v>
                </c:pt>
                <c:pt idx="5">
                  <c:v>355</c:v>
                </c:pt>
                <c:pt idx="6">
                  <c:v>48</c:v>
                </c:pt>
              </c:numCache>
            </c:numRef>
          </c:val>
          <c:extLst>
            <c:ext xmlns:c16="http://schemas.microsoft.com/office/drawing/2014/chart" uri="{C3380CC4-5D6E-409C-BE32-E72D297353CC}">
              <c16:uniqueId val="{00000001-FCEA-4776-8A91-346470769639}"/>
            </c:ext>
          </c:extLst>
        </c:ser>
        <c:ser>
          <c:idx val="3"/>
          <c:order val="4"/>
          <c:tx>
            <c:strRef>
              <c:f>模拟测试YCSB版!$A$10</c:f>
              <c:strCache>
                <c:ptCount val="1"/>
                <c:pt idx="0">
                  <c:v>4q32b</c:v>
                </c:pt>
              </c:strCache>
            </c:strRef>
          </c:tx>
          <c:spPr>
            <a:solidFill>
              <a:schemeClr val="accent4"/>
            </a:solidFill>
            <a:ln>
              <a:noFill/>
            </a:ln>
            <a:effectLst/>
          </c:spPr>
          <c:invertIfNegative val="0"/>
          <c:cat>
            <c:strRef>
              <c:f>(模拟测试YCSB版!$B$6:$C$6,模拟测试YCSB版!$E$6,模拟测试YCSB版!$G$6,模拟测试YCSB版!$I$6,模拟测试YCSB版!$K$6,模拟测试YCSB版!$M$6)</c:f>
              <c:strCache>
                <c:ptCount val="7"/>
                <c:pt idx="0">
                  <c:v>load a</c:v>
                </c:pt>
                <c:pt idx="1">
                  <c:v>a</c:v>
                </c:pt>
                <c:pt idx="2">
                  <c:v>b</c:v>
                </c:pt>
                <c:pt idx="3">
                  <c:v>c</c:v>
                </c:pt>
                <c:pt idx="4">
                  <c:v>d</c:v>
                </c:pt>
                <c:pt idx="5">
                  <c:v>e</c:v>
                </c:pt>
                <c:pt idx="6">
                  <c:v>f</c:v>
                </c:pt>
              </c:strCache>
            </c:strRef>
          </c:cat>
          <c:val>
            <c:numRef>
              <c:f>(模拟测试YCSB版!$B$10:$C$10,模拟测试YCSB版!$E$10,模拟测试YCSB版!$G$10,模拟测试YCSB版!$I$10,模拟测试YCSB版!$K$10,模拟测试YCSB版!$M$10)</c:f>
              <c:numCache>
                <c:formatCode>General</c:formatCode>
                <c:ptCount val="7"/>
                <c:pt idx="0">
                  <c:v>320</c:v>
                </c:pt>
                <c:pt idx="1">
                  <c:v>224</c:v>
                </c:pt>
                <c:pt idx="2">
                  <c:v>225</c:v>
                </c:pt>
                <c:pt idx="3">
                  <c:v>256</c:v>
                </c:pt>
                <c:pt idx="4">
                  <c:v>349</c:v>
                </c:pt>
                <c:pt idx="5">
                  <c:v>221</c:v>
                </c:pt>
                <c:pt idx="6">
                  <c:v>203</c:v>
                </c:pt>
              </c:numCache>
            </c:numRef>
          </c:val>
          <c:extLst>
            <c:ext xmlns:c16="http://schemas.microsoft.com/office/drawing/2014/chart" uri="{C3380CC4-5D6E-409C-BE32-E72D297353CC}">
              <c16:uniqueId val="{00000003-FCEA-4776-8A91-346470769639}"/>
            </c:ext>
          </c:extLst>
        </c:ser>
        <c:ser>
          <c:idx val="5"/>
          <c:order val="5"/>
          <c:tx>
            <c:strRef>
              <c:f>模拟测试YCSB版!$A$12</c:f>
              <c:strCache>
                <c:ptCount val="1"/>
                <c:pt idx="0">
                  <c:v>8q32b</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(模拟测试YCSB版!$B$6:$C$6,模拟测试YCSB版!$E$6,模拟测试YCSB版!$G$6,模拟测试YCSB版!$I$6,模拟测试YCSB版!$K$6,模拟测试YCSB版!$M$6)</c:f>
              <c:strCache>
                <c:ptCount val="7"/>
                <c:pt idx="0">
                  <c:v>load a</c:v>
                </c:pt>
                <c:pt idx="1">
                  <c:v>a</c:v>
                </c:pt>
                <c:pt idx="2">
                  <c:v>b</c:v>
                </c:pt>
                <c:pt idx="3">
                  <c:v>c</c:v>
                </c:pt>
                <c:pt idx="4">
                  <c:v>d</c:v>
                </c:pt>
                <c:pt idx="5">
                  <c:v>e</c:v>
                </c:pt>
                <c:pt idx="6">
                  <c:v>f</c:v>
                </c:pt>
              </c:strCache>
            </c:strRef>
          </c:cat>
          <c:val>
            <c:numRef>
              <c:f>(模拟测试YCSB版!$B$12:$C$12,模拟测试YCSB版!$E$12,模拟测试YCSB版!$G$12,模拟测试YCSB版!$I$12,模拟测试YCSB版!$K$12,模拟测试YCSB版!$M$12)</c:f>
              <c:numCache>
                <c:formatCode>General</c:formatCode>
                <c:ptCount val="7"/>
                <c:pt idx="0">
                  <c:v>590</c:v>
                </c:pt>
                <c:pt idx="1">
                  <c:v>363</c:v>
                </c:pt>
                <c:pt idx="2">
                  <c:v>456</c:v>
                </c:pt>
                <c:pt idx="3">
                  <c:v>429</c:v>
                </c:pt>
                <c:pt idx="4">
                  <c:v>682</c:v>
                </c:pt>
                <c:pt idx="5">
                  <c:v>129</c:v>
                </c:pt>
                <c:pt idx="6">
                  <c:v>318</c:v>
                </c:pt>
              </c:numCache>
            </c:numRef>
          </c:val>
          <c:extLst>
            <c:ext xmlns:c16="http://schemas.microsoft.com/office/drawing/2014/chart" uri="{C3380CC4-5D6E-409C-BE32-E72D297353CC}">
              <c16:uniqueId val="{00000005-FCEA-4776-8A91-346470769639}"/>
            </c:ext>
          </c:extLst>
        </c:ser>
        <c:dLbls>
          <c:showLegendKey val="0"/>
          <c:showVal val="0"/>
          <c:showCatName val="0"/>
          <c:showSerName val="0"/>
          <c:showPercent val="0"/>
          <c:showBubbleSize val="0"/>
        </c:dLbls>
        <c:gapWidth val="219"/>
        <c:overlap val="-27"/>
        <c:axId val="1543425696"/>
        <c:axId val="1539395744"/>
      </c:barChart>
      <c:catAx>
        <c:axId val="154342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1539395744"/>
        <c:crosses val="autoZero"/>
        <c:auto val="1"/>
        <c:lblAlgn val="ctr"/>
        <c:lblOffset val="100"/>
        <c:noMultiLvlLbl val="0"/>
      </c:catAx>
      <c:valAx>
        <c:axId val="1539395744"/>
        <c:scaling>
          <c:orientation val="minMax"/>
          <c:max val="7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1543425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zh-CN"/>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82522132919915"/>
          <c:y val="7.2314776854302029E-2"/>
          <c:w val="0.75617477867080085"/>
          <c:h val="0.76728928809544517"/>
        </c:manualLayout>
      </c:layout>
      <c:barChart>
        <c:barDir val="col"/>
        <c:grouping val="clustered"/>
        <c:varyColors val="0"/>
        <c:ser>
          <c:idx val="0"/>
          <c:order val="0"/>
          <c:tx>
            <c:strRef>
              <c:f>多介质下KV不同!$A$45</c:f>
              <c:strCache>
                <c:ptCount val="1"/>
                <c:pt idx="0">
                  <c:v>HDD</c:v>
                </c:pt>
              </c:strCache>
            </c:strRef>
          </c:tx>
          <c:spPr>
            <a:solidFill>
              <a:schemeClr val="accent1"/>
            </a:solidFill>
            <a:ln>
              <a:noFill/>
            </a:ln>
            <a:effectLst/>
          </c:spPr>
          <c:invertIfNegative val="0"/>
          <c:cat>
            <c:strRef>
              <c:f>多介质下KV不同!$E$44</c:f>
              <c:strCache>
                <c:ptCount val="1"/>
                <c:pt idx="0">
                  <c:v>Seq Read</c:v>
                </c:pt>
              </c:strCache>
            </c:strRef>
          </c:cat>
          <c:val>
            <c:numRef>
              <c:f>多介质下KV不同!$E$45</c:f>
              <c:numCache>
                <c:formatCode>General</c:formatCode>
                <c:ptCount val="1"/>
                <c:pt idx="0">
                  <c:v>52.9</c:v>
                </c:pt>
              </c:numCache>
            </c:numRef>
          </c:val>
          <c:extLst>
            <c:ext xmlns:c16="http://schemas.microsoft.com/office/drawing/2014/chart" uri="{C3380CC4-5D6E-409C-BE32-E72D297353CC}">
              <c16:uniqueId val="{00000000-6A78-4459-871F-70265E70119C}"/>
            </c:ext>
          </c:extLst>
        </c:ser>
        <c:ser>
          <c:idx val="1"/>
          <c:order val="1"/>
          <c:tx>
            <c:strRef>
              <c:f>多介质下KV不同!$A$46</c:f>
              <c:strCache>
                <c:ptCount val="1"/>
                <c:pt idx="0">
                  <c:v>Flash-based SSD</c:v>
                </c:pt>
              </c:strCache>
            </c:strRef>
          </c:tx>
          <c:spPr>
            <a:solidFill>
              <a:schemeClr val="accent2"/>
            </a:solidFill>
            <a:ln>
              <a:noFill/>
            </a:ln>
            <a:effectLst/>
          </c:spPr>
          <c:invertIfNegative val="0"/>
          <c:cat>
            <c:strRef>
              <c:f>多介质下KV不同!$E$44</c:f>
              <c:strCache>
                <c:ptCount val="1"/>
                <c:pt idx="0">
                  <c:v>Seq Read</c:v>
                </c:pt>
              </c:strCache>
            </c:strRef>
          </c:cat>
          <c:val>
            <c:numRef>
              <c:f>多介质下KV不同!$E$49</c:f>
              <c:numCache>
                <c:formatCode>General</c:formatCode>
                <c:ptCount val="1"/>
                <c:pt idx="0">
                  <c:v>255.6</c:v>
                </c:pt>
              </c:numCache>
            </c:numRef>
          </c:val>
          <c:extLst>
            <c:ext xmlns:c16="http://schemas.microsoft.com/office/drawing/2014/chart" uri="{C3380CC4-5D6E-409C-BE32-E72D297353CC}">
              <c16:uniqueId val="{00000001-6A78-4459-871F-70265E70119C}"/>
            </c:ext>
          </c:extLst>
        </c:ser>
        <c:ser>
          <c:idx val="2"/>
          <c:order val="2"/>
          <c:tx>
            <c:strRef>
              <c:f>多介质下KV不同!$A$47</c:f>
              <c:strCache>
                <c:ptCount val="1"/>
                <c:pt idx="0">
                  <c:v>OptaneSSD</c:v>
                </c:pt>
              </c:strCache>
            </c:strRef>
          </c:tx>
          <c:spPr>
            <a:solidFill>
              <a:schemeClr val="accent3"/>
            </a:solidFill>
            <a:ln>
              <a:noFill/>
            </a:ln>
            <a:effectLst/>
          </c:spPr>
          <c:invertIfNegative val="0"/>
          <c:cat>
            <c:strRef>
              <c:f>多介质下KV不同!$E$44</c:f>
              <c:strCache>
                <c:ptCount val="1"/>
                <c:pt idx="0">
                  <c:v>Seq Read</c:v>
                </c:pt>
              </c:strCache>
            </c:strRef>
          </c:cat>
          <c:val>
            <c:numRef>
              <c:f>多介质下KV不同!$E$47</c:f>
              <c:numCache>
                <c:formatCode>General</c:formatCode>
                <c:ptCount val="1"/>
                <c:pt idx="0">
                  <c:v>240.7</c:v>
                </c:pt>
              </c:numCache>
            </c:numRef>
          </c:val>
          <c:extLst>
            <c:ext xmlns:c16="http://schemas.microsoft.com/office/drawing/2014/chart" uri="{C3380CC4-5D6E-409C-BE32-E72D297353CC}">
              <c16:uniqueId val="{00000002-6A78-4459-871F-70265E70119C}"/>
            </c:ext>
          </c:extLst>
        </c:ser>
        <c:ser>
          <c:idx val="3"/>
          <c:order val="3"/>
          <c:tx>
            <c:strRef>
              <c:f>多介质下KV不同!$A$48</c:f>
              <c:strCache>
                <c:ptCount val="1"/>
                <c:pt idx="0">
                  <c:v>ramdisk</c:v>
                </c:pt>
              </c:strCache>
            </c:strRef>
          </c:tx>
          <c:spPr>
            <a:solidFill>
              <a:schemeClr val="accent4"/>
            </a:solidFill>
            <a:ln>
              <a:noFill/>
            </a:ln>
            <a:effectLst/>
          </c:spPr>
          <c:invertIfNegative val="0"/>
          <c:cat>
            <c:strRef>
              <c:f>多介质下KV不同!$E$44</c:f>
              <c:strCache>
                <c:ptCount val="1"/>
                <c:pt idx="0">
                  <c:v>Seq Read</c:v>
                </c:pt>
              </c:strCache>
            </c:strRef>
          </c:cat>
          <c:val>
            <c:numRef>
              <c:f>多介质下KV不同!$E$48</c:f>
              <c:numCache>
                <c:formatCode>General</c:formatCode>
                <c:ptCount val="1"/>
                <c:pt idx="0">
                  <c:v>373.1</c:v>
                </c:pt>
              </c:numCache>
            </c:numRef>
          </c:val>
          <c:extLst>
            <c:ext xmlns:c16="http://schemas.microsoft.com/office/drawing/2014/chart" uri="{C3380CC4-5D6E-409C-BE32-E72D297353CC}">
              <c16:uniqueId val="{00000003-6A78-4459-871F-70265E70119C}"/>
            </c:ext>
          </c:extLst>
        </c:ser>
        <c:dLbls>
          <c:showLegendKey val="0"/>
          <c:showVal val="0"/>
          <c:showCatName val="0"/>
          <c:showSerName val="0"/>
          <c:showPercent val="0"/>
          <c:showBubbleSize val="0"/>
        </c:dLbls>
        <c:gapWidth val="219"/>
        <c:overlap val="-27"/>
        <c:axId val="339772720"/>
        <c:axId val="475430480"/>
      </c:barChart>
      <c:catAx>
        <c:axId val="33977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altLang="en-US" sz="900" b="0" i="0" u="none" strike="noStrike" kern="1200" baseline="0">
                <a:solidFill>
                  <a:schemeClr val="tx2"/>
                </a:solidFill>
                <a:latin typeface="+mn-lt"/>
                <a:ea typeface="+mn-ea"/>
                <a:cs typeface="+mn-cs"/>
              </a:defRPr>
            </a:pPr>
            <a:endParaRPr lang="zh-CN"/>
          </a:p>
        </c:txPr>
        <c:crossAx val="475430480"/>
        <c:crosses val="autoZero"/>
        <c:auto val="1"/>
        <c:lblAlgn val="ctr"/>
        <c:lblOffset val="100"/>
        <c:noMultiLvlLbl val="0"/>
      </c:catAx>
      <c:valAx>
        <c:axId val="47543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altLang="en-US" sz="900" b="0" i="0" u="none" strike="noStrike" kern="1200" baseline="0">
                <a:solidFill>
                  <a:schemeClr val="tx2"/>
                </a:solidFill>
                <a:latin typeface="+mn-lt"/>
                <a:ea typeface="+mn-ea"/>
                <a:cs typeface="+mn-cs"/>
              </a:defRPr>
            </a:pPr>
            <a:endParaRPr lang="zh-CN"/>
          </a:p>
        </c:txPr>
        <c:crossAx val="33977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27000"/>
    </a:effectLst>
  </c:spPr>
  <c:txPr>
    <a:bodyPr/>
    <a:lstStyle/>
    <a:p>
      <a:pPr>
        <a:defRPr lang="zh-CN" altLang="en-US" sz="900" b="0" i="0" u="none" strike="noStrike" kern="1200" baseline="0">
          <a:solidFill>
            <a:schemeClr val="tx2"/>
          </a:solidFill>
          <a:latin typeface="+mn-lt"/>
          <a:ea typeface="+mn-ea"/>
          <a:cs typeface="+mn-cs"/>
        </a:defRPr>
      </a:pPr>
      <a:endParaRPr lang="zh-CN"/>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YCSB 1M 28B+100B KV</a:t>
            </a:r>
            <a:r>
              <a:rPr lang="zh-CN"/>
              <a:t>（单位</a:t>
            </a:r>
            <a:r>
              <a:rPr lang="en-US"/>
              <a:t>MB/s</a:t>
            </a:r>
            <a:r>
              <a:rPr lang="zh-CN"/>
              <a:t>）</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7.9247594050743664E-2"/>
          <c:y val="0.12078703703703704"/>
          <c:w val="0.89019685039370078"/>
          <c:h val="0.70170455646407137"/>
        </c:manualLayout>
      </c:layout>
      <c:barChart>
        <c:barDir val="col"/>
        <c:grouping val="clustered"/>
        <c:varyColors val="0"/>
        <c:ser>
          <c:idx val="0"/>
          <c:order val="0"/>
          <c:tx>
            <c:strRef>
              <c:f>模拟测试YCSB版!$A$39</c:f>
              <c:strCache>
                <c:ptCount val="1"/>
                <c:pt idx="0">
                  <c:v>1q1b</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(模拟测试YCSB版!$B$38:$C$38,模拟测试YCSB版!$E$38,模拟测试YCSB版!$G$38,模拟测试YCSB版!$I$38,模拟测试YCSB版!$K$38,模拟测试YCSB版!$M$38)</c:f>
              <c:strCache>
                <c:ptCount val="7"/>
                <c:pt idx="0">
                  <c:v>load a</c:v>
                </c:pt>
                <c:pt idx="1">
                  <c:v>a</c:v>
                </c:pt>
                <c:pt idx="2">
                  <c:v>b</c:v>
                </c:pt>
                <c:pt idx="3">
                  <c:v>c</c:v>
                </c:pt>
                <c:pt idx="4">
                  <c:v>d</c:v>
                </c:pt>
                <c:pt idx="5">
                  <c:v>e</c:v>
                </c:pt>
                <c:pt idx="6">
                  <c:v>f</c:v>
                </c:pt>
              </c:strCache>
            </c:strRef>
          </c:cat>
          <c:val>
            <c:numRef>
              <c:f>(模拟测试YCSB版!$B$39:$C$39,模拟测试YCSB版!$E$39,模拟测试YCSB版!$G$39,模拟测试YCSB版!$I$39,模拟测试YCSB版!$K$39,模拟测试YCSB版!$M$39)</c:f>
              <c:numCache>
                <c:formatCode>General</c:formatCode>
                <c:ptCount val="7"/>
                <c:pt idx="0">
                  <c:v>38</c:v>
                </c:pt>
                <c:pt idx="1">
                  <c:v>23</c:v>
                </c:pt>
                <c:pt idx="2">
                  <c:v>26</c:v>
                </c:pt>
                <c:pt idx="3">
                  <c:v>26</c:v>
                </c:pt>
                <c:pt idx="4">
                  <c:v>41</c:v>
                </c:pt>
                <c:pt idx="5">
                  <c:v>343</c:v>
                </c:pt>
                <c:pt idx="6">
                  <c:v>23</c:v>
                </c:pt>
              </c:numCache>
            </c:numRef>
          </c:val>
          <c:extLst>
            <c:ext xmlns:c16="http://schemas.microsoft.com/office/drawing/2014/chart" uri="{C3380CC4-5D6E-409C-BE32-E72D297353CC}">
              <c16:uniqueId val="{00000000-58E3-4AE6-8E7A-B6F492152E9A}"/>
            </c:ext>
          </c:extLst>
        </c:ser>
        <c:ser>
          <c:idx val="1"/>
          <c:order val="1"/>
          <c:tx>
            <c:strRef>
              <c:f>模拟测试YCSB版!$A$40</c:f>
              <c:strCache>
                <c:ptCount val="1"/>
                <c:pt idx="0">
                  <c:v>4q1b</c:v>
                </c:pt>
              </c:strCache>
            </c:strRef>
          </c:tx>
          <c:spPr>
            <a:solidFill>
              <a:schemeClr val="accent2"/>
            </a:solidFill>
            <a:ln>
              <a:noFill/>
            </a:ln>
            <a:effectLst/>
          </c:spPr>
          <c:invertIfNegative val="0"/>
          <c:cat>
            <c:strRef>
              <c:f>(模拟测试YCSB版!$B$38:$C$38,模拟测试YCSB版!$E$38,模拟测试YCSB版!$G$38,模拟测试YCSB版!$I$38,模拟测试YCSB版!$K$38,模拟测试YCSB版!$M$38)</c:f>
              <c:strCache>
                <c:ptCount val="7"/>
                <c:pt idx="0">
                  <c:v>load a</c:v>
                </c:pt>
                <c:pt idx="1">
                  <c:v>a</c:v>
                </c:pt>
                <c:pt idx="2">
                  <c:v>b</c:v>
                </c:pt>
                <c:pt idx="3">
                  <c:v>c</c:v>
                </c:pt>
                <c:pt idx="4">
                  <c:v>d</c:v>
                </c:pt>
                <c:pt idx="5">
                  <c:v>e</c:v>
                </c:pt>
                <c:pt idx="6">
                  <c:v>f</c:v>
                </c:pt>
              </c:strCache>
            </c:strRef>
          </c:cat>
          <c:val>
            <c:numRef>
              <c:f>(模拟测试YCSB版!$B$40:$C$40,模拟测试YCSB版!$E$40,模拟测试YCSB版!$G$40,模拟测试YCSB版!$I$40,模拟测试YCSB版!$K$40,模拟测试YCSB版!$M$40)</c:f>
              <c:numCache>
                <c:formatCode>General</c:formatCode>
                <c:ptCount val="7"/>
                <c:pt idx="0">
                  <c:v>132</c:v>
                </c:pt>
                <c:pt idx="1">
                  <c:v>97</c:v>
                </c:pt>
                <c:pt idx="2">
                  <c:v>93</c:v>
                </c:pt>
                <c:pt idx="3">
                  <c:v>88</c:v>
                </c:pt>
                <c:pt idx="4">
                  <c:v>154</c:v>
                </c:pt>
                <c:pt idx="5">
                  <c:v>227</c:v>
                </c:pt>
                <c:pt idx="6">
                  <c:v>97</c:v>
                </c:pt>
              </c:numCache>
            </c:numRef>
          </c:val>
          <c:extLst>
            <c:ext xmlns:c16="http://schemas.microsoft.com/office/drawing/2014/chart" uri="{C3380CC4-5D6E-409C-BE32-E72D297353CC}">
              <c16:uniqueId val="{00000006-58E3-4AE6-8E7A-B6F492152E9A}"/>
            </c:ext>
          </c:extLst>
        </c:ser>
        <c:ser>
          <c:idx val="2"/>
          <c:order val="2"/>
          <c:tx>
            <c:strRef>
              <c:f>模拟测试YCSB版!$A$41</c:f>
              <c:strCache>
                <c:ptCount val="1"/>
                <c:pt idx="0">
                  <c:v>8q1b</c:v>
                </c:pt>
              </c:strCache>
            </c:strRef>
          </c:tx>
          <c:spPr>
            <a:solidFill>
              <a:schemeClr val="accent3"/>
            </a:solidFill>
            <a:ln>
              <a:noFill/>
            </a:ln>
            <a:effectLst/>
          </c:spPr>
          <c:invertIfNegative val="0"/>
          <c:cat>
            <c:strRef>
              <c:f>(模拟测试YCSB版!$B$38:$C$38,模拟测试YCSB版!$E$38,模拟测试YCSB版!$G$38,模拟测试YCSB版!$I$38,模拟测试YCSB版!$K$38,模拟测试YCSB版!$M$38)</c:f>
              <c:strCache>
                <c:ptCount val="7"/>
                <c:pt idx="0">
                  <c:v>load a</c:v>
                </c:pt>
                <c:pt idx="1">
                  <c:v>a</c:v>
                </c:pt>
                <c:pt idx="2">
                  <c:v>b</c:v>
                </c:pt>
                <c:pt idx="3">
                  <c:v>c</c:v>
                </c:pt>
                <c:pt idx="4">
                  <c:v>d</c:v>
                </c:pt>
                <c:pt idx="5">
                  <c:v>e</c:v>
                </c:pt>
                <c:pt idx="6">
                  <c:v>f</c:v>
                </c:pt>
              </c:strCache>
            </c:strRef>
          </c:cat>
          <c:val>
            <c:numRef>
              <c:f>(模拟测试YCSB版!$B$41:$C$41,模拟测试YCSB版!$E$41,模拟测试YCSB版!$G$41,模拟测试YCSB版!$I$41,模拟测试YCSB版!$K$41,模拟测试YCSB版!$M$41)</c:f>
              <c:numCache>
                <c:formatCode>General</c:formatCode>
                <c:ptCount val="7"/>
                <c:pt idx="0">
                  <c:v>166</c:v>
                </c:pt>
                <c:pt idx="1">
                  <c:v>176</c:v>
                </c:pt>
                <c:pt idx="2">
                  <c:v>175</c:v>
                </c:pt>
                <c:pt idx="3">
                  <c:v>145</c:v>
                </c:pt>
                <c:pt idx="4">
                  <c:v>259</c:v>
                </c:pt>
                <c:pt idx="5">
                  <c:v>122</c:v>
                </c:pt>
                <c:pt idx="6">
                  <c:v>179</c:v>
                </c:pt>
              </c:numCache>
            </c:numRef>
          </c:val>
          <c:extLst>
            <c:ext xmlns:c16="http://schemas.microsoft.com/office/drawing/2014/chart" uri="{C3380CC4-5D6E-409C-BE32-E72D297353CC}">
              <c16:uniqueId val="{00000007-58E3-4AE6-8E7A-B6F492152E9A}"/>
            </c:ext>
          </c:extLst>
        </c:ser>
        <c:ser>
          <c:idx val="3"/>
          <c:order val="3"/>
          <c:tx>
            <c:strRef>
              <c:f>模拟测试YCSB版!$A$42</c:f>
              <c:strCache>
                <c:ptCount val="1"/>
                <c:pt idx="0">
                  <c:v>1q32b</c:v>
                </c:pt>
              </c:strCache>
            </c:strRef>
          </c:tx>
          <c:spPr>
            <a:solidFill>
              <a:schemeClr val="accent4"/>
            </a:solidFill>
            <a:ln>
              <a:noFill/>
            </a:ln>
            <a:effectLst/>
          </c:spPr>
          <c:invertIfNegative val="0"/>
          <c:cat>
            <c:strRef>
              <c:f>(模拟测试YCSB版!$B$38:$C$38,模拟测试YCSB版!$E$38,模拟测试YCSB版!$G$38,模拟测试YCSB版!$I$38,模拟测试YCSB版!$K$38,模拟测试YCSB版!$M$38)</c:f>
              <c:strCache>
                <c:ptCount val="7"/>
                <c:pt idx="0">
                  <c:v>load a</c:v>
                </c:pt>
                <c:pt idx="1">
                  <c:v>a</c:v>
                </c:pt>
                <c:pt idx="2">
                  <c:v>b</c:v>
                </c:pt>
                <c:pt idx="3">
                  <c:v>c</c:v>
                </c:pt>
                <c:pt idx="4">
                  <c:v>d</c:v>
                </c:pt>
                <c:pt idx="5">
                  <c:v>e</c:v>
                </c:pt>
                <c:pt idx="6">
                  <c:v>f</c:v>
                </c:pt>
              </c:strCache>
            </c:strRef>
          </c:cat>
          <c:val>
            <c:numRef>
              <c:f>(模拟测试YCSB版!$B$42:$C$42,模拟测试YCSB版!$E$42,模拟测试YCSB版!$G$42,模拟测试YCSB版!$I$42,模拟测试YCSB版!$K$42,模拟测试YCSB版!$M$42)</c:f>
              <c:numCache>
                <c:formatCode>General</c:formatCode>
                <c:ptCount val="7"/>
                <c:pt idx="0">
                  <c:v>85</c:v>
                </c:pt>
                <c:pt idx="1">
                  <c:v>54</c:v>
                </c:pt>
                <c:pt idx="2">
                  <c:v>61</c:v>
                </c:pt>
                <c:pt idx="3">
                  <c:v>52</c:v>
                </c:pt>
                <c:pt idx="4">
                  <c:v>96</c:v>
                </c:pt>
                <c:pt idx="5">
                  <c:v>346</c:v>
                </c:pt>
                <c:pt idx="6">
                  <c:v>49</c:v>
                </c:pt>
              </c:numCache>
            </c:numRef>
          </c:val>
          <c:extLst>
            <c:ext xmlns:c16="http://schemas.microsoft.com/office/drawing/2014/chart" uri="{C3380CC4-5D6E-409C-BE32-E72D297353CC}">
              <c16:uniqueId val="{00000008-58E3-4AE6-8E7A-B6F492152E9A}"/>
            </c:ext>
          </c:extLst>
        </c:ser>
        <c:ser>
          <c:idx val="4"/>
          <c:order val="4"/>
          <c:tx>
            <c:strRef>
              <c:f>模拟测试YCSB版!$A$43</c:f>
              <c:strCache>
                <c:ptCount val="1"/>
                <c:pt idx="0">
                  <c:v>4q32b</c:v>
                </c:pt>
              </c:strCache>
            </c:strRef>
          </c:tx>
          <c:spPr>
            <a:solidFill>
              <a:schemeClr val="accent5"/>
            </a:solidFill>
            <a:ln>
              <a:noFill/>
            </a:ln>
            <a:effectLst/>
          </c:spPr>
          <c:invertIfNegative val="0"/>
          <c:cat>
            <c:strRef>
              <c:f>(模拟测试YCSB版!$B$38:$C$38,模拟测试YCSB版!$E$38,模拟测试YCSB版!$G$38,模拟测试YCSB版!$I$38,模拟测试YCSB版!$K$38,模拟测试YCSB版!$M$38)</c:f>
              <c:strCache>
                <c:ptCount val="7"/>
                <c:pt idx="0">
                  <c:v>load a</c:v>
                </c:pt>
                <c:pt idx="1">
                  <c:v>a</c:v>
                </c:pt>
                <c:pt idx="2">
                  <c:v>b</c:v>
                </c:pt>
                <c:pt idx="3">
                  <c:v>c</c:v>
                </c:pt>
                <c:pt idx="4">
                  <c:v>d</c:v>
                </c:pt>
                <c:pt idx="5">
                  <c:v>e</c:v>
                </c:pt>
                <c:pt idx="6">
                  <c:v>f</c:v>
                </c:pt>
              </c:strCache>
            </c:strRef>
          </c:cat>
          <c:val>
            <c:numRef>
              <c:f>(模拟测试YCSB版!$B$43:$C$43,模拟测试YCSB版!$E$43,模拟测试YCSB版!$G$43,模拟测试YCSB版!$I$43,模拟测试YCSB版!$K$43,模拟测试YCSB版!$M$43)</c:f>
              <c:numCache>
                <c:formatCode>General</c:formatCode>
                <c:ptCount val="7"/>
                <c:pt idx="0">
                  <c:v>348</c:v>
                </c:pt>
                <c:pt idx="1">
                  <c:v>215</c:v>
                </c:pt>
                <c:pt idx="2">
                  <c:v>232</c:v>
                </c:pt>
                <c:pt idx="3">
                  <c:v>193</c:v>
                </c:pt>
                <c:pt idx="4">
                  <c:v>313</c:v>
                </c:pt>
                <c:pt idx="5">
                  <c:v>222</c:v>
                </c:pt>
                <c:pt idx="6">
                  <c:v>183</c:v>
                </c:pt>
              </c:numCache>
            </c:numRef>
          </c:val>
          <c:extLst>
            <c:ext xmlns:c16="http://schemas.microsoft.com/office/drawing/2014/chart" uri="{C3380CC4-5D6E-409C-BE32-E72D297353CC}">
              <c16:uniqueId val="{00000009-58E3-4AE6-8E7A-B6F492152E9A}"/>
            </c:ext>
          </c:extLst>
        </c:ser>
        <c:ser>
          <c:idx val="5"/>
          <c:order val="5"/>
          <c:tx>
            <c:strRef>
              <c:f>模拟测试YCSB版!$A$44</c:f>
              <c:strCache>
                <c:ptCount val="1"/>
                <c:pt idx="0">
                  <c:v>8q32b</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(模拟测试YCSB版!$B$38:$C$38,模拟测试YCSB版!$E$38,模拟测试YCSB版!$G$38,模拟测试YCSB版!$I$38,模拟测试YCSB版!$K$38,模拟测试YCSB版!$M$38)</c:f>
              <c:strCache>
                <c:ptCount val="7"/>
                <c:pt idx="0">
                  <c:v>load a</c:v>
                </c:pt>
                <c:pt idx="1">
                  <c:v>a</c:v>
                </c:pt>
                <c:pt idx="2">
                  <c:v>b</c:v>
                </c:pt>
                <c:pt idx="3">
                  <c:v>c</c:v>
                </c:pt>
                <c:pt idx="4">
                  <c:v>d</c:v>
                </c:pt>
                <c:pt idx="5">
                  <c:v>e</c:v>
                </c:pt>
                <c:pt idx="6">
                  <c:v>f</c:v>
                </c:pt>
              </c:strCache>
            </c:strRef>
          </c:cat>
          <c:val>
            <c:numRef>
              <c:f>(模拟测试YCSB版!$B$44:$C$44,模拟测试YCSB版!$E$44,模拟测试YCSB版!$G$44,模拟测试YCSB版!$I$44,模拟测试YCSB版!$K$44,模拟测试YCSB版!$M$44)</c:f>
              <c:numCache>
                <c:formatCode>General</c:formatCode>
                <c:ptCount val="7"/>
                <c:pt idx="0">
                  <c:v>548</c:v>
                </c:pt>
                <c:pt idx="1">
                  <c:v>311</c:v>
                </c:pt>
                <c:pt idx="2">
                  <c:v>341</c:v>
                </c:pt>
                <c:pt idx="3">
                  <c:v>397</c:v>
                </c:pt>
                <c:pt idx="4">
                  <c:v>537</c:v>
                </c:pt>
                <c:pt idx="5">
                  <c:v>118</c:v>
                </c:pt>
                <c:pt idx="6">
                  <c:v>314</c:v>
                </c:pt>
              </c:numCache>
            </c:numRef>
          </c:val>
          <c:extLst>
            <c:ext xmlns:c16="http://schemas.microsoft.com/office/drawing/2014/chart" uri="{C3380CC4-5D6E-409C-BE32-E72D297353CC}">
              <c16:uniqueId val="{0000000A-58E3-4AE6-8E7A-B6F492152E9A}"/>
            </c:ext>
          </c:extLst>
        </c:ser>
        <c:dLbls>
          <c:showLegendKey val="0"/>
          <c:showVal val="0"/>
          <c:showCatName val="0"/>
          <c:showSerName val="0"/>
          <c:showPercent val="0"/>
          <c:showBubbleSize val="0"/>
        </c:dLbls>
        <c:gapWidth val="219"/>
        <c:overlap val="-27"/>
        <c:axId val="1543425696"/>
        <c:axId val="1539395744"/>
      </c:barChart>
      <c:catAx>
        <c:axId val="154342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1539395744"/>
        <c:crosses val="autoZero"/>
        <c:auto val="1"/>
        <c:lblAlgn val="ctr"/>
        <c:lblOffset val="100"/>
        <c:noMultiLvlLbl val="0"/>
      </c:catAx>
      <c:valAx>
        <c:axId val="1539395744"/>
        <c:scaling>
          <c:orientation val="minMax"/>
          <c:max val="7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1543425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zh-CN"/>
    </a:p>
  </c:txPr>
  <c:printSettings>
    <c:headerFooter/>
    <c:pageMargins b="0.75" l="0.7" r="0.7" t="0.75" header="0.3" footer="0.3"/>
    <c:pageSetup/>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YCSB 120M 24B+100B KV</a:t>
            </a:r>
            <a:r>
              <a:rPr lang="zh-CN"/>
              <a:t>（单位</a:t>
            </a:r>
            <a:r>
              <a:rPr lang="en-US" altLang="zh-CN"/>
              <a:t>QPS</a:t>
            </a:r>
            <a:r>
              <a:rPr lang="zh-CN"/>
              <a:t>）</a:t>
            </a:r>
            <a:r>
              <a:rPr lang="zh-CN" altLang="en-US"/>
              <a:t>都不使用并行读</a:t>
            </a:r>
            <a:endParaRPr lang="zh-CN"/>
          </a:p>
        </c:rich>
      </c:tx>
      <c:layout>
        <c:manualLayout>
          <c:xMode val="edge"/>
          <c:yMode val="edge"/>
          <c:x val="0.1882769670670022"/>
          <c:y val="2.7090722991669071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0410663895212131"/>
          <c:y val="0.1207869392851391"/>
          <c:w val="0.89019685039370078"/>
          <c:h val="0.70170455646407137"/>
        </c:manualLayout>
      </c:layout>
      <c:barChart>
        <c:barDir val="col"/>
        <c:grouping val="clustered"/>
        <c:varyColors val="0"/>
        <c:ser>
          <c:idx val="0"/>
          <c:order val="0"/>
          <c:tx>
            <c:strRef>
              <c:f>模拟测试YCSB版!$A$71</c:f>
              <c:strCache>
                <c:ptCount val="1"/>
                <c:pt idx="0">
                  <c:v>1q1b</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(模拟测试YCSB版!$B$70:$C$70,模拟测试YCSB版!$E$70,模拟测试YCSB版!$G$70,模拟测试YCSB版!$I$70,模拟测试YCSB版!$K$70,模拟测试YCSB版!$M$70)</c:f>
              <c:strCache>
                <c:ptCount val="7"/>
                <c:pt idx="0">
                  <c:v>load a</c:v>
                </c:pt>
                <c:pt idx="1">
                  <c:v>a</c:v>
                </c:pt>
                <c:pt idx="2">
                  <c:v>b</c:v>
                </c:pt>
                <c:pt idx="3">
                  <c:v>c</c:v>
                </c:pt>
                <c:pt idx="4">
                  <c:v>d</c:v>
                </c:pt>
                <c:pt idx="5">
                  <c:v>e</c:v>
                </c:pt>
                <c:pt idx="6">
                  <c:v>f</c:v>
                </c:pt>
              </c:strCache>
            </c:strRef>
          </c:cat>
          <c:val>
            <c:numRef>
              <c:f>(模拟测试YCSB版!$B$71:$C$71,模拟测试YCSB版!$E$71,模拟测试YCSB版!$G$71,模拟测试YCSB版!$I$71,模拟测试YCSB版!$K$71,模拟测试YCSB版!$M$71)</c:f>
              <c:numCache>
                <c:formatCode>General</c:formatCode>
                <c:ptCount val="7"/>
                <c:pt idx="0">
                  <c:v>260748</c:v>
                </c:pt>
                <c:pt idx="1">
                  <c:v>106419</c:v>
                </c:pt>
                <c:pt idx="2">
                  <c:v>95871</c:v>
                </c:pt>
                <c:pt idx="3">
                  <c:v>91765</c:v>
                </c:pt>
                <c:pt idx="4">
                  <c:v>155322</c:v>
                </c:pt>
                <c:pt idx="5">
                  <c:v>19940</c:v>
                </c:pt>
                <c:pt idx="6">
                  <c:v>99539</c:v>
                </c:pt>
              </c:numCache>
            </c:numRef>
          </c:val>
          <c:extLst>
            <c:ext xmlns:c16="http://schemas.microsoft.com/office/drawing/2014/chart" uri="{C3380CC4-5D6E-409C-BE32-E72D297353CC}">
              <c16:uniqueId val="{00000000-21B7-4C5F-9AC0-7B62BF4BE7D7}"/>
            </c:ext>
          </c:extLst>
        </c:ser>
        <c:ser>
          <c:idx val="1"/>
          <c:order val="1"/>
          <c:tx>
            <c:strRef>
              <c:f>模拟测试YCSB版!$A$72</c:f>
              <c:strCache>
                <c:ptCount val="1"/>
                <c:pt idx="0">
                  <c:v>4q1b</c:v>
                </c:pt>
              </c:strCache>
            </c:strRef>
          </c:tx>
          <c:spPr>
            <a:solidFill>
              <a:schemeClr val="accent2"/>
            </a:solidFill>
            <a:ln>
              <a:noFill/>
            </a:ln>
            <a:effectLst/>
          </c:spPr>
          <c:invertIfNegative val="0"/>
          <c:cat>
            <c:strRef>
              <c:f>(模拟测试YCSB版!$B$70:$C$70,模拟测试YCSB版!$E$70,模拟测试YCSB版!$G$70,模拟测试YCSB版!$I$70,模拟测试YCSB版!$K$70,模拟测试YCSB版!$M$70)</c:f>
              <c:strCache>
                <c:ptCount val="7"/>
                <c:pt idx="0">
                  <c:v>load a</c:v>
                </c:pt>
                <c:pt idx="1">
                  <c:v>a</c:v>
                </c:pt>
                <c:pt idx="2">
                  <c:v>b</c:v>
                </c:pt>
                <c:pt idx="3">
                  <c:v>c</c:v>
                </c:pt>
                <c:pt idx="4">
                  <c:v>d</c:v>
                </c:pt>
                <c:pt idx="5">
                  <c:v>e</c:v>
                </c:pt>
                <c:pt idx="6">
                  <c:v>f</c:v>
                </c:pt>
              </c:strCache>
            </c:strRef>
          </c:cat>
          <c:val>
            <c:numRef>
              <c:f>(模拟测试YCSB版!$B$72:$C$72,模拟测试YCSB版!$E$72,模拟测试YCSB版!$G$72,模拟测试YCSB版!$I$72,模拟测试YCSB版!$K$72,模拟测试YCSB版!$M$72)</c:f>
              <c:numCache>
                <c:formatCode>General</c:formatCode>
                <c:ptCount val="7"/>
                <c:pt idx="0">
                  <c:v>800315</c:v>
                </c:pt>
                <c:pt idx="1">
                  <c:v>386891</c:v>
                </c:pt>
                <c:pt idx="2">
                  <c:v>351941</c:v>
                </c:pt>
                <c:pt idx="3">
                  <c:v>338264</c:v>
                </c:pt>
                <c:pt idx="4">
                  <c:v>544644</c:v>
                </c:pt>
                <c:pt idx="5">
                  <c:v>22046</c:v>
                </c:pt>
                <c:pt idx="6">
                  <c:v>352951</c:v>
                </c:pt>
              </c:numCache>
            </c:numRef>
          </c:val>
          <c:extLst>
            <c:ext xmlns:c16="http://schemas.microsoft.com/office/drawing/2014/chart" uri="{C3380CC4-5D6E-409C-BE32-E72D297353CC}">
              <c16:uniqueId val="{00000001-21B7-4C5F-9AC0-7B62BF4BE7D7}"/>
            </c:ext>
          </c:extLst>
        </c:ser>
        <c:ser>
          <c:idx val="2"/>
          <c:order val="2"/>
          <c:tx>
            <c:strRef>
              <c:f>模拟测试YCSB版!$A$73</c:f>
              <c:strCache>
                <c:ptCount val="1"/>
                <c:pt idx="0">
                  <c:v>8q1b</c:v>
                </c:pt>
              </c:strCache>
            </c:strRef>
          </c:tx>
          <c:spPr>
            <a:solidFill>
              <a:schemeClr val="accent3"/>
            </a:solidFill>
            <a:ln>
              <a:noFill/>
            </a:ln>
            <a:effectLst/>
          </c:spPr>
          <c:invertIfNegative val="0"/>
          <c:cat>
            <c:strRef>
              <c:f>(模拟测试YCSB版!$B$70:$C$70,模拟测试YCSB版!$E$70,模拟测试YCSB版!$G$70,模拟测试YCSB版!$I$70,模拟测试YCSB版!$K$70,模拟测试YCSB版!$M$70)</c:f>
              <c:strCache>
                <c:ptCount val="7"/>
                <c:pt idx="0">
                  <c:v>load a</c:v>
                </c:pt>
                <c:pt idx="1">
                  <c:v>a</c:v>
                </c:pt>
                <c:pt idx="2">
                  <c:v>b</c:v>
                </c:pt>
                <c:pt idx="3">
                  <c:v>c</c:v>
                </c:pt>
                <c:pt idx="4">
                  <c:v>d</c:v>
                </c:pt>
                <c:pt idx="5">
                  <c:v>e</c:v>
                </c:pt>
                <c:pt idx="6">
                  <c:v>f</c:v>
                </c:pt>
              </c:strCache>
            </c:strRef>
          </c:cat>
          <c:val>
            <c:numRef>
              <c:f>(模拟测试YCSB版!$B$73:$C$73,模拟测试YCSB版!$E$73,模拟测试YCSB版!$G$73,模拟测试YCSB版!$I$73,模拟测试YCSB版!$K$73,模拟测试YCSB版!$M$73)</c:f>
              <c:numCache>
                <c:formatCode>General</c:formatCode>
                <c:ptCount val="7"/>
                <c:pt idx="0">
                  <c:v>1239986</c:v>
                </c:pt>
                <c:pt idx="1">
                  <c:v>607874</c:v>
                </c:pt>
                <c:pt idx="2">
                  <c:v>597381</c:v>
                </c:pt>
                <c:pt idx="3">
                  <c:v>549819</c:v>
                </c:pt>
                <c:pt idx="4">
                  <c:v>1025063</c:v>
                </c:pt>
                <c:pt idx="5">
                  <c:v>16556</c:v>
                </c:pt>
                <c:pt idx="6">
                  <c:v>630498</c:v>
                </c:pt>
              </c:numCache>
            </c:numRef>
          </c:val>
          <c:extLst>
            <c:ext xmlns:c16="http://schemas.microsoft.com/office/drawing/2014/chart" uri="{C3380CC4-5D6E-409C-BE32-E72D297353CC}">
              <c16:uniqueId val="{00000002-21B7-4C5F-9AC0-7B62BF4BE7D7}"/>
            </c:ext>
          </c:extLst>
        </c:ser>
        <c:ser>
          <c:idx val="3"/>
          <c:order val="3"/>
          <c:tx>
            <c:strRef>
              <c:f>模拟测试YCSB版!$A$75</c:f>
              <c:strCache>
                <c:ptCount val="1"/>
                <c:pt idx="0">
                  <c:v>1q32b</c:v>
                </c:pt>
              </c:strCache>
            </c:strRef>
          </c:tx>
          <c:spPr>
            <a:solidFill>
              <a:schemeClr val="accent4"/>
            </a:solidFill>
            <a:ln>
              <a:noFill/>
            </a:ln>
            <a:effectLst/>
          </c:spPr>
          <c:invertIfNegative val="0"/>
          <c:cat>
            <c:strRef>
              <c:f>(模拟测试YCSB版!$B$70:$C$70,模拟测试YCSB版!$E$70,模拟测试YCSB版!$G$70,模拟测试YCSB版!$I$70,模拟测试YCSB版!$K$70,模拟测试YCSB版!$M$70)</c:f>
              <c:strCache>
                <c:ptCount val="7"/>
                <c:pt idx="0">
                  <c:v>load a</c:v>
                </c:pt>
                <c:pt idx="1">
                  <c:v>a</c:v>
                </c:pt>
                <c:pt idx="2">
                  <c:v>b</c:v>
                </c:pt>
                <c:pt idx="3">
                  <c:v>c</c:v>
                </c:pt>
                <c:pt idx="4">
                  <c:v>d</c:v>
                </c:pt>
                <c:pt idx="5">
                  <c:v>e</c:v>
                </c:pt>
                <c:pt idx="6">
                  <c:v>f</c:v>
                </c:pt>
              </c:strCache>
            </c:strRef>
          </c:cat>
          <c:val>
            <c:numRef>
              <c:f>(模拟测试YCSB版!$B$75:$C$75,模拟测试YCSB版!$E$75,模拟测试YCSB版!$G$75,模拟测试YCSB版!$I$75,模拟测试YCSB版!$K$75,模拟测试YCSB版!$M$75)</c:f>
              <c:numCache>
                <c:formatCode>General</c:formatCode>
                <c:ptCount val="7"/>
                <c:pt idx="0">
                  <c:v>530872</c:v>
                </c:pt>
                <c:pt idx="1">
                  <c:v>112940</c:v>
                </c:pt>
                <c:pt idx="2">
                  <c:v>93063</c:v>
                </c:pt>
                <c:pt idx="3">
                  <c:v>100959</c:v>
                </c:pt>
                <c:pt idx="4">
                  <c:v>150695</c:v>
                </c:pt>
                <c:pt idx="5">
                  <c:v>21746</c:v>
                </c:pt>
                <c:pt idx="6">
                  <c:v>93947</c:v>
                </c:pt>
              </c:numCache>
            </c:numRef>
          </c:val>
          <c:extLst>
            <c:ext xmlns:c16="http://schemas.microsoft.com/office/drawing/2014/chart" uri="{C3380CC4-5D6E-409C-BE32-E72D297353CC}">
              <c16:uniqueId val="{00000008-21B7-4C5F-9AC0-7B62BF4BE7D7}"/>
            </c:ext>
          </c:extLst>
        </c:ser>
        <c:ser>
          <c:idx val="4"/>
          <c:order val="4"/>
          <c:tx>
            <c:strRef>
              <c:f>模拟测试YCSB版!$A$76</c:f>
              <c:strCache>
                <c:ptCount val="1"/>
                <c:pt idx="0">
                  <c:v>4q32b</c:v>
                </c:pt>
              </c:strCache>
            </c:strRef>
          </c:tx>
          <c:spPr>
            <a:solidFill>
              <a:schemeClr val="accent5"/>
            </a:solidFill>
            <a:ln>
              <a:noFill/>
            </a:ln>
            <a:effectLst/>
          </c:spPr>
          <c:invertIfNegative val="0"/>
          <c:cat>
            <c:strRef>
              <c:f>(模拟测试YCSB版!$B$70:$C$70,模拟测试YCSB版!$E$70,模拟测试YCSB版!$G$70,模拟测试YCSB版!$I$70,模拟测试YCSB版!$K$70,模拟测试YCSB版!$M$70)</c:f>
              <c:strCache>
                <c:ptCount val="7"/>
                <c:pt idx="0">
                  <c:v>load a</c:v>
                </c:pt>
                <c:pt idx="1">
                  <c:v>a</c:v>
                </c:pt>
                <c:pt idx="2">
                  <c:v>b</c:v>
                </c:pt>
                <c:pt idx="3">
                  <c:v>c</c:v>
                </c:pt>
                <c:pt idx="4">
                  <c:v>d</c:v>
                </c:pt>
                <c:pt idx="5">
                  <c:v>e</c:v>
                </c:pt>
                <c:pt idx="6">
                  <c:v>f</c:v>
                </c:pt>
              </c:strCache>
            </c:strRef>
          </c:cat>
          <c:val>
            <c:numRef>
              <c:f>(模拟测试YCSB版!$B$76:$C$76,模拟测试YCSB版!$E$76,模拟测试YCSB版!$G$76,模拟测试YCSB版!$I$76,模拟测试YCSB版!$K$76,模拟测试YCSB版!$M$76)</c:f>
              <c:numCache>
                <c:formatCode>General</c:formatCode>
                <c:ptCount val="7"/>
                <c:pt idx="0">
                  <c:v>1527171</c:v>
                </c:pt>
                <c:pt idx="1">
                  <c:v>353945</c:v>
                </c:pt>
                <c:pt idx="2">
                  <c:v>311994</c:v>
                </c:pt>
                <c:pt idx="3">
                  <c:v>289043</c:v>
                </c:pt>
                <c:pt idx="4">
                  <c:v>435199</c:v>
                </c:pt>
                <c:pt idx="5">
                  <c:v>24311</c:v>
                </c:pt>
                <c:pt idx="6">
                  <c:v>329462</c:v>
                </c:pt>
              </c:numCache>
            </c:numRef>
          </c:val>
          <c:extLst>
            <c:ext xmlns:c16="http://schemas.microsoft.com/office/drawing/2014/chart" uri="{C3380CC4-5D6E-409C-BE32-E72D297353CC}">
              <c16:uniqueId val="{00000009-21B7-4C5F-9AC0-7B62BF4BE7D7}"/>
            </c:ext>
          </c:extLst>
        </c:ser>
        <c:ser>
          <c:idx val="5"/>
          <c:order val="5"/>
          <c:tx>
            <c:strRef>
              <c:f>模拟测试YCSB版!$A$77</c:f>
              <c:strCache>
                <c:ptCount val="1"/>
                <c:pt idx="0">
                  <c:v>8q32b</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(模拟测试YCSB版!$B$70:$C$70,模拟测试YCSB版!$E$70,模拟测试YCSB版!$G$70,模拟测试YCSB版!$I$70,模拟测试YCSB版!$K$70,模拟测试YCSB版!$M$70)</c:f>
              <c:strCache>
                <c:ptCount val="7"/>
                <c:pt idx="0">
                  <c:v>load a</c:v>
                </c:pt>
                <c:pt idx="1">
                  <c:v>a</c:v>
                </c:pt>
                <c:pt idx="2">
                  <c:v>b</c:v>
                </c:pt>
                <c:pt idx="3">
                  <c:v>c</c:v>
                </c:pt>
                <c:pt idx="4">
                  <c:v>d</c:v>
                </c:pt>
                <c:pt idx="5">
                  <c:v>e</c:v>
                </c:pt>
                <c:pt idx="6">
                  <c:v>f</c:v>
                </c:pt>
              </c:strCache>
            </c:strRef>
          </c:cat>
          <c:val>
            <c:numRef>
              <c:f>(模拟测试YCSB版!$B$77:$C$77,模拟测试YCSB版!$E$77,模拟测试YCSB版!$G$77,模拟测试YCSB版!$I$77,模拟测试YCSB版!$K$77,模拟测试YCSB版!$M$77)</c:f>
              <c:numCache>
                <c:formatCode>General</c:formatCode>
                <c:ptCount val="7"/>
                <c:pt idx="0">
                  <c:v>2588150</c:v>
                </c:pt>
                <c:pt idx="1">
                  <c:v>556914</c:v>
                </c:pt>
                <c:pt idx="2">
                  <c:v>525771</c:v>
                </c:pt>
                <c:pt idx="3">
                  <c:v>496369</c:v>
                </c:pt>
                <c:pt idx="4">
                  <c:v>721003</c:v>
                </c:pt>
                <c:pt idx="5">
                  <c:v>20716</c:v>
                </c:pt>
                <c:pt idx="6">
                  <c:v>561586</c:v>
                </c:pt>
              </c:numCache>
            </c:numRef>
          </c:val>
          <c:extLst>
            <c:ext xmlns:c16="http://schemas.microsoft.com/office/drawing/2014/chart" uri="{C3380CC4-5D6E-409C-BE32-E72D297353CC}">
              <c16:uniqueId val="{0000000A-21B7-4C5F-9AC0-7B62BF4BE7D7}"/>
            </c:ext>
          </c:extLst>
        </c:ser>
        <c:dLbls>
          <c:showLegendKey val="0"/>
          <c:showVal val="0"/>
          <c:showCatName val="0"/>
          <c:showSerName val="0"/>
          <c:showPercent val="0"/>
          <c:showBubbleSize val="0"/>
        </c:dLbls>
        <c:gapWidth val="219"/>
        <c:overlap val="-27"/>
        <c:axId val="1543425696"/>
        <c:axId val="1539395744"/>
      </c:barChart>
      <c:catAx>
        <c:axId val="154342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1539395744"/>
        <c:crosses val="autoZero"/>
        <c:auto val="1"/>
        <c:lblAlgn val="ctr"/>
        <c:lblOffset val="100"/>
        <c:noMultiLvlLbl val="0"/>
      </c:catAx>
      <c:valAx>
        <c:axId val="153939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1543425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zh-CN"/>
    </a:p>
  </c:txPr>
  <c:printSettings>
    <c:headerFooter/>
    <c:pageMargins b="0.75" l="0.7" r="0.7" t="0.75" header="0.3" footer="0.3"/>
    <c:pageSetup/>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YCSB 120M 24B+100B KV</a:t>
            </a:r>
            <a:r>
              <a:rPr lang="zh-CN"/>
              <a:t>（单位</a:t>
            </a:r>
            <a:r>
              <a:rPr lang="en-US" altLang="zh-CN"/>
              <a:t>QPS</a:t>
            </a:r>
            <a:r>
              <a:rPr lang="zh-CN"/>
              <a:t>）</a:t>
            </a:r>
            <a:r>
              <a:rPr lang="zh-CN" altLang="en-US"/>
              <a:t>有</a:t>
            </a:r>
            <a:r>
              <a:rPr lang="en-US" altLang="zh-CN"/>
              <a:t>mutliget</a:t>
            </a:r>
            <a:endParaRPr lang="zh-CN"/>
          </a:p>
        </c:rich>
      </c:tx>
      <c:layout>
        <c:manualLayout>
          <c:xMode val="edge"/>
          <c:yMode val="edge"/>
          <c:x val="0.1882769670670022"/>
          <c:y val="2.7090722991669071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041065728497204"/>
          <c:y val="0.12078704926984798"/>
          <c:w val="0.89019685039370078"/>
          <c:h val="0.70170455646407137"/>
        </c:manualLayout>
      </c:layout>
      <c:barChart>
        <c:barDir val="col"/>
        <c:grouping val="clustered"/>
        <c:varyColors val="0"/>
        <c:ser>
          <c:idx val="0"/>
          <c:order val="0"/>
          <c:tx>
            <c:strRef>
              <c:f>模拟测试YCSB版!$A$81</c:f>
              <c:strCache>
                <c:ptCount val="1"/>
                <c:pt idx="0">
                  <c:v>1q1b</c:v>
                </c:pt>
              </c:strCache>
            </c:strRef>
          </c:tx>
          <c:spPr>
            <a:solidFill>
              <a:schemeClr val="accent1"/>
            </a:solidFill>
            <a:ln>
              <a:noFill/>
            </a:ln>
            <a:effectLst/>
          </c:spPr>
          <c:invertIfNegative val="0"/>
          <c:cat>
            <c:strRef>
              <c:f>(模拟测试YCSB版!$B$80:$C$80,模拟测试YCSB版!$E$80,模拟测试YCSB版!$G$80,模拟测试YCSB版!$I$80,模拟测试YCSB版!$K$80,模拟测试YCSB版!$M$80)</c:f>
              <c:strCache>
                <c:ptCount val="7"/>
                <c:pt idx="0">
                  <c:v>load a</c:v>
                </c:pt>
                <c:pt idx="1">
                  <c:v>a</c:v>
                </c:pt>
                <c:pt idx="2">
                  <c:v>b</c:v>
                </c:pt>
                <c:pt idx="3">
                  <c:v>c</c:v>
                </c:pt>
                <c:pt idx="4">
                  <c:v>d</c:v>
                </c:pt>
                <c:pt idx="5">
                  <c:v>e</c:v>
                </c:pt>
                <c:pt idx="6">
                  <c:v>f</c:v>
                </c:pt>
              </c:strCache>
            </c:strRef>
          </c:cat>
          <c:val>
            <c:numRef>
              <c:f>(模拟测试YCSB版!$B$81:$C$81,模拟测试YCSB版!$E$81,模拟测试YCSB版!$G$81,模拟测试YCSB版!$I$81,模拟测试YCSB版!$K$81,模拟测试YCSB版!$M$81)</c:f>
              <c:numCache>
                <c:formatCode>General</c:formatCode>
                <c:ptCount val="7"/>
                <c:pt idx="0">
                  <c:v>268157</c:v>
                </c:pt>
                <c:pt idx="1">
                  <c:v>101023</c:v>
                </c:pt>
                <c:pt idx="2">
                  <c:v>90107</c:v>
                </c:pt>
                <c:pt idx="3">
                  <c:v>90271</c:v>
                </c:pt>
                <c:pt idx="4">
                  <c:v>139242</c:v>
                </c:pt>
                <c:pt idx="5">
                  <c:v>21679</c:v>
                </c:pt>
                <c:pt idx="6">
                  <c:v>90782</c:v>
                </c:pt>
              </c:numCache>
            </c:numRef>
          </c:val>
          <c:extLst>
            <c:ext xmlns:c16="http://schemas.microsoft.com/office/drawing/2014/chart" uri="{C3380CC4-5D6E-409C-BE32-E72D297353CC}">
              <c16:uniqueId val="{00000000-2188-4B87-BFF3-C683909637FD}"/>
            </c:ext>
          </c:extLst>
        </c:ser>
        <c:ser>
          <c:idx val="1"/>
          <c:order val="1"/>
          <c:tx>
            <c:strRef>
              <c:f>模拟测试YCSB版!$A$82</c:f>
              <c:strCache>
                <c:ptCount val="1"/>
                <c:pt idx="0">
                  <c:v>4q1b</c:v>
                </c:pt>
              </c:strCache>
            </c:strRef>
          </c:tx>
          <c:spPr>
            <a:solidFill>
              <a:schemeClr val="accent2"/>
            </a:solidFill>
            <a:ln>
              <a:noFill/>
            </a:ln>
            <a:effectLst/>
          </c:spPr>
          <c:invertIfNegative val="0"/>
          <c:cat>
            <c:strRef>
              <c:f>(模拟测试YCSB版!$B$80:$C$80,模拟测试YCSB版!$E$80,模拟测试YCSB版!$G$80,模拟测试YCSB版!$I$80,模拟测试YCSB版!$K$80,模拟测试YCSB版!$M$80)</c:f>
              <c:strCache>
                <c:ptCount val="7"/>
                <c:pt idx="0">
                  <c:v>load a</c:v>
                </c:pt>
                <c:pt idx="1">
                  <c:v>a</c:v>
                </c:pt>
                <c:pt idx="2">
                  <c:v>b</c:v>
                </c:pt>
                <c:pt idx="3">
                  <c:v>c</c:v>
                </c:pt>
                <c:pt idx="4">
                  <c:v>d</c:v>
                </c:pt>
                <c:pt idx="5">
                  <c:v>e</c:v>
                </c:pt>
                <c:pt idx="6">
                  <c:v>f</c:v>
                </c:pt>
              </c:strCache>
            </c:strRef>
          </c:cat>
          <c:val>
            <c:numRef>
              <c:f>(模拟测试YCSB版!$B$82:$C$82,模拟测试YCSB版!$E$82,模拟测试YCSB版!$G$82,模拟测试YCSB版!$I$82,模拟测试YCSB版!$K$82,模拟测试YCSB版!$M$82)</c:f>
              <c:numCache>
                <c:formatCode>General</c:formatCode>
                <c:ptCount val="7"/>
                <c:pt idx="0">
                  <c:v>800436</c:v>
                </c:pt>
                <c:pt idx="1">
                  <c:v>354107</c:v>
                </c:pt>
                <c:pt idx="2">
                  <c:v>322352</c:v>
                </c:pt>
                <c:pt idx="3">
                  <c:v>299626</c:v>
                </c:pt>
                <c:pt idx="4">
                  <c:v>488520</c:v>
                </c:pt>
                <c:pt idx="5">
                  <c:v>21830</c:v>
                </c:pt>
                <c:pt idx="6">
                  <c:v>320674</c:v>
                </c:pt>
              </c:numCache>
            </c:numRef>
          </c:val>
          <c:extLst>
            <c:ext xmlns:c16="http://schemas.microsoft.com/office/drawing/2014/chart" uri="{C3380CC4-5D6E-409C-BE32-E72D297353CC}">
              <c16:uniqueId val="{00000001-2188-4B87-BFF3-C683909637FD}"/>
            </c:ext>
          </c:extLst>
        </c:ser>
        <c:ser>
          <c:idx val="2"/>
          <c:order val="2"/>
          <c:tx>
            <c:strRef>
              <c:f>模拟测试YCSB版!$A$83</c:f>
              <c:strCache>
                <c:ptCount val="1"/>
                <c:pt idx="0">
                  <c:v>8q1b</c:v>
                </c:pt>
              </c:strCache>
            </c:strRef>
          </c:tx>
          <c:spPr>
            <a:solidFill>
              <a:schemeClr val="accent3"/>
            </a:solidFill>
            <a:ln>
              <a:noFill/>
            </a:ln>
            <a:effectLst/>
          </c:spPr>
          <c:invertIfNegative val="0"/>
          <c:cat>
            <c:strRef>
              <c:f>(模拟测试YCSB版!$B$80:$C$80,模拟测试YCSB版!$E$80,模拟测试YCSB版!$G$80,模拟测试YCSB版!$I$80,模拟测试YCSB版!$K$80,模拟测试YCSB版!$M$80)</c:f>
              <c:strCache>
                <c:ptCount val="7"/>
                <c:pt idx="0">
                  <c:v>load a</c:v>
                </c:pt>
                <c:pt idx="1">
                  <c:v>a</c:v>
                </c:pt>
                <c:pt idx="2">
                  <c:v>b</c:v>
                </c:pt>
                <c:pt idx="3">
                  <c:v>c</c:v>
                </c:pt>
                <c:pt idx="4">
                  <c:v>d</c:v>
                </c:pt>
                <c:pt idx="5">
                  <c:v>e</c:v>
                </c:pt>
                <c:pt idx="6">
                  <c:v>f</c:v>
                </c:pt>
              </c:strCache>
            </c:strRef>
          </c:cat>
          <c:val>
            <c:numRef>
              <c:f>(模拟测试YCSB版!$B$83:$C$83,模拟测试YCSB版!$E$83,模拟测试YCSB版!$G$83,模拟测试YCSB版!$I$83,模拟测试YCSB版!$K$83,模拟测试YCSB版!$M$83)</c:f>
              <c:numCache>
                <c:formatCode>General</c:formatCode>
                <c:ptCount val="7"/>
                <c:pt idx="0">
                  <c:v>1265968</c:v>
                </c:pt>
                <c:pt idx="1">
                  <c:v>568649</c:v>
                </c:pt>
                <c:pt idx="2">
                  <c:v>583201</c:v>
                </c:pt>
                <c:pt idx="3">
                  <c:v>524254</c:v>
                </c:pt>
                <c:pt idx="4">
                  <c:v>869170</c:v>
                </c:pt>
                <c:pt idx="5">
                  <c:v>20500</c:v>
                </c:pt>
                <c:pt idx="6">
                  <c:v>556511</c:v>
                </c:pt>
              </c:numCache>
            </c:numRef>
          </c:val>
          <c:extLst>
            <c:ext xmlns:c16="http://schemas.microsoft.com/office/drawing/2014/chart" uri="{C3380CC4-5D6E-409C-BE32-E72D297353CC}">
              <c16:uniqueId val="{00000002-2188-4B87-BFF3-C683909637FD}"/>
            </c:ext>
          </c:extLst>
        </c:ser>
        <c:ser>
          <c:idx val="4"/>
          <c:order val="3"/>
          <c:tx>
            <c:strRef>
              <c:f>模拟测试YCSB版!$A$85</c:f>
              <c:strCache>
                <c:ptCount val="1"/>
                <c:pt idx="0">
                  <c:v>1q32b</c:v>
                </c:pt>
              </c:strCache>
            </c:strRef>
          </c:tx>
          <c:spPr>
            <a:solidFill>
              <a:schemeClr val="accent5"/>
            </a:solidFill>
            <a:ln>
              <a:noFill/>
            </a:ln>
            <a:effectLst/>
          </c:spPr>
          <c:invertIfNegative val="0"/>
          <c:cat>
            <c:strRef>
              <c:f>(模拟测试YCSB版!$B$80:$C$80,模拟测试YCSB版!$E$80,模拟测试YCSB版!$G$80,模拟测试YCSB版!$I$80,模拟测试YCSB版!$K$80,模拟测试YCSB版!$M$80)</c:f>
              <c:strCache>
                <c:ptCount val="7"/>
                <c:pt idx="0">
                  <c:v>load a</c:v>
                </c:pt>
                <c:pt idx="1">
                  <c:v>a</c:v>
                </c:pt>
                <c:pt idx="2">
                  <c:v>b</c:v>
                </c:pt>
                <c:pt idx="3">
                  <c:v>c</c:v>
                </c:pt>
                <c:pt idx="4">
                  <c:v>d</c:v>
                </c:pt>
                <c:pt idx="5">
                  <c:v>e</c:v>
                </c:pt>
                <c:pt idx="6">
                  <c:v>f</c:v>
                </c:pt>
              </c:strCache>
            </c:strRef>
          </c:cat>
          <c:val>
            <c:numRef>
              <c:f>(模拟测试YCSB版!$B$85:$C$85,模拟测试YCSB版!$E$85,模拟测试YCSB版!$G$85,模拟测试YCSB版!$I$85,模拟测试YCSB版!$K$85,模拟测试YCSB版!$M$85)</c:f>
              <c:numCache>
                <c:formatCode>General</c:formatCode>
                <c:ptCount val="7"/>
                <c:pt idx="0">
                  <c:v>516885</c:v>
                </c:pt>
                <c:pt idx="1">
                  <c:v>333362</c:v>
                </c:pt>
                <c:pt idx="2">
                  <c:v>380844</c:v>
                </c:pt>
                <c:pt idx="3">
                  <c:v>434250</c:v>
                </c:pt>
                <c:pt idx="4">
                  <c:v>476581</c:v>
                </c:pt>
                <c:pt idx="5">
                  <c:v>22455</c:v>
                </c:pt>
                <c:pt idx="6">
                  <c:v>304603</c:v>
                </c:pt>
              </c:numCache>
            </c:numRef>
          </c:val>
          <c:extLst>
            <c:ext xmlns:c16="http://schemas.microsoft.com/office/drawing/2014/chart" uri="{C3380CC4-5D6E-409C-BE32-E72D297353CC}">
              <c16:uniqueId val="{00000004-2188-4B87-BFF3-C683909637FD}"/>
            </c:ext>
          </c:extLst>
        </c:ser>
        <c:ser>
          <c:idx val="5"/>
          <c:order val="4"/>
          <c:tx>
            <c:strRef>
              <c:f>模拟测试YCSB版!$A$86</c:f>
              <c:strCache>
                <c:ptCount val="1"/>
                <c:pt idx="0">
                  <c:v>4q32b</c:v>
                </c:pt>
              </c:strCache>
            </c:strRef>
          </c:tx>
          <c:spPr>
            <a:solidFill>
              <a:schemeClr val="accent6"/>
            </a:solidFill>
            <a:ln>
              <a:noFill/>
            </a:ln>
            <a:effectLst/>
          </c:spPr>
          <c:invertIfNegative val="0"/>
          <c:cat>
            <c:strRef>
              <c:f>(模拟测试YCSB版!$B$80:$C$80,模拟测试YCSB版!$E$80,模拟测试YCSB版!$G$80,模拟测试YCSB版!$I$80,模拟测试YCSB版!$K$80,模拟测试YCSB版!$M$80)</c:f>
              <c:strCache>
                <c:ptCount val="7"/>
                <c:pt idx="0">
                  <c:v>load a</c:v>
                </c:pt>
                <c:pt idx="1">
                  <c:v>a</c:v>
                </c:pt>
                <c:pt idx="2">
                  <c:v>b</c:v>
                </c:pt>
                <c:pt idx="3">
                  <c:v>c</c:v>
                </c:pt>
                <c:pt idx="4">
                  <c:v>d</c:v>
                </c:pt>
                <c:pt idx="5">
                  <c:v>e</c:v>
                </c:pt>
                <c:pt idx="6">
                  <c:v>f</c:v>
                </c:pt>
              </c:strCache>
            </c:strRef>
          </c:cat>
          <c:val>
            <c:numRef>
              <c:f>(模拟测试YCSB版!$B$86:$C$86,模拟测试YCSB版!$E$86,模拟测试YCSB版!$G$86,模拟测试YCSB版!$I$86,模拟测试YCSB版!$K$86,模拟测试YCSB版!$M$86)</c:f>
              <c:numCache>
                <c:formatCode>General</c:formatCode>
                <c:ptCount val="7"/>
                <c:pt idx="0">
                  <c:v>1464469</c:v>
                </c:pt>
                <c:pt idx="1">
                  <c:v>853459</c:v>
                </c:pt>
                <c:pt idx="2">
                  <c:v>1046370</c:v>
                </c:pt>
                <c:pt idx="3">
                  <c:v>854836</c:v>
                </c:pt>
                <c:pt idx="4">
                  <c:v>1038699</c:v>
                </c:pt>
                <c:pt idx="5">
                  <c:v>23528</c:v>
                </c:pt>
                <c:pt idx="6">
                  <c:v>854867</c:v>
                </c:pt>
              </c:numCache>
            </c:numRef>
          </c:val>
          <c:extLst>
            <c:ext xmlns:c16="http://schemas.microsoft.com/office/drawing/2014/chart" uri="{C3380CC4-5D6E-409C-BE32-E72D297353CC}">
              <c16:uniqueId val="{00000005-2188-4B87-BFF3-C683909637FD}"/>
            </c:ext>
          </c:extLst>
        </c:ser>
        <c:ser>
          <c:idx val="6"/>
          <c:order val="5"/>
          <c:tx>
            <c:strRef>
              <c:f>模拟测试YCSB版!$A$87</c:f>
              <c:strCache>
                <c:ptCount val="1"/>
                <c:pt idx="0">
                  <c:v>8q32b</c:v>
                </c:pt>
              </c:strCache>
            </c:strRef>
          </c:tx>
          <c:spPr>
            <a:solidFill>
              <a:schemeClr val="accent1">
                <a:lumMod val="60000"/>
              </a:schemeClr>
            </a:solidFill>
            <a:ln>
              <a:noFill/>
            </a:ln>
            <a:effectLst/>
          </c:spPr>
          <c:invertIfNegative val="0"/>
          <c:cat>
            <c:strRef>
              <c:f>(模拟测试YCSB版!$B$80:$C$80,模拟测试YCSB版!$E$80,模拟测试YCSB版!$G$80,模拟测试YCSB版!$I$80,模拟测试YCSB版!$K$80,模拟测试YCSB版!$M$80)</c:f>
              <c:strCache>
                <c:ptCount val="7"/>
                <c:pt idx="0">
                  <c:v>load a</c:v>
                </c:pt>
                <c:pt idx="1">
                  <c:v>a</c:v>
                </c:pt>
                <c:pt idx="2">
                  <c:v>b</c:v>
                </c:pt>
                <c:pt idx="3">
                  <c:v>c</c:v>
                </c:pt>
                <c:pt idx="4">
                  <c:v>d</c:v>
                </c:pt>
                <c:pt idx="5">
                  <c:v>e</c:v>
                </c:pt>
                <c:pt idx="6">
                  <c:v>f</c:v>
                </c:pt>
              </c:strCache>
            </c:strRef>
          </c:cat>
          <c:val>
            <c:numRef>
              <c:f>(模拟测试YCSB版!$B$87:$C$87,模拟测试YCSB版!$E$87,模拟测试YCSB版!$G$87,模拟测试YCSB版!$I$87,模拟测试YCSB版!$K$87,模拟测试YCSB版!$M$87)</c:f>
              <c:numCache>
                <c:formatCode>General</c:formatCode>
                <c:ptCount val="7"/>
                <c:pt idx="0">
                  <c:v>2536101</c:v>
                </c:pt>
                <c:pt idx="1">
                  <c:v>1058139</c:v>
                </c:pt>
                <c:pt idx="2">
                  <c:v>1299439</c:v>
                </c:pt>
                <c:pt idx="3">
                  <c:v>1243711</c:v>
                </c:pt>
                <c:pt idx="4">
                  <c:v>1424581</c:v>
                </c:pt>
                <c:pt idx="5">
                  <c:v>21439</c:v>
                </c:pt>
                <c:pt idx="6">
                  <c:v>1282772</c:v>
                </c:pt>
              </c:numCache>
            </c:numRef>
          </c:val>
          <c:extLst>
            <c:ext xmlns:c16="http://schemas.microsoft.com/office/drawing/2014/chart" uri="{C3380CC4-5D6E-409C-BE32-E72D297353CC}">
              <c16:uniqueId val="{00000006-2188-4B87-BFF3-C683909637FD}"/>
            </c:ext>
          </c:extLst>
        </c:ser>
        <c:dLbls>
          <c:showLegendKey val="0"/>
          <c:showVal val="0"/>
          <c:showCatName val="0"/>
          <c:showSerName val="0"/>
          <c:showPercent val="0"/>
          <c:showBubbleSize val="0"/>
        </c:dLbls>
        <c:gapWidth val="219"/>
        <c:overlap val="-27"/>
        <c:axId val="1543425696"/>
        <c:axId val="1539395744"/>
      </c:barChart>
      <c:catAx>
        <c:axId val="154342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1539395744"/>
        <c:crosses val="autoZero"/>
        <c:auto val="1"/>
        <c:lblAlgn val="ctr"/>
        <c:lblOffset val="100"/>
        <c:noMultiLvlLbl val="0"/>
      </c:catAx>
      <c:valAx>
        <c:axId val="153939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1543425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zh-CN"/>
    </a:p>
  </c:txPr>
  <c:printSettings>
    <c:headerFooter/>
    <c:pageMargins b="0.75" l="0.7" r="0.7" t="0.75" header="0.3" footer="0.3"/>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模拟测试YCSB版!$A$127</c:f>
              <c:strCache>
                <c:ptCount val="1"/>
                <c:pt idx="0">
                  <c:v>1q1b</c:v>
                </c:pt>
              </c:strCache>
            </c:strRef>
          </c:tx>
          <c:spPr>
            <a:solidFill>
              <a:schemeClr val="accent1"/>
            </a:solidFill>
            <a:ln>
              <a:noFill/>
            </a:ln>
            <a:effectLst/>
          </c:spPr>
          <c:invertIfNegative val="0"/>
          <c:cat>
            <c:strRef>
              <c:f>(模拟测试YCSB版!$B$126:$C$126,模拟测试YCSB版!$E$126,模拟测试YCSB版!$G$126,模拟测试YCSB版!$I$126,模拟测试YCSB版!$K$126,模拟测试YCSB版!$M$126)</c:f>
              <c:strCache>
                <c:ptCount val="7"/>
                <c:pt idx="0">
                  <c:v>load a</c:v>
                </c:pt>
                <c:pt idx="1">
                  <c:v>a</c:v>
                </c:pt>
                <c:pt idx="2">
                  <c:v>b</c:v>
                </c:pt>
                <c:pt idx="3">
                  <c:v>c</c:v>
                </c:pt>
                <c:pt idx="4">
                  <c:v>d</c:v>
                </c:pt>
                <c:pt idx="5">
                  <c:v>e</c:v>
                </c:pt>
                <c:pt idx="6">
                  <c:v>f</c:v>
                </c:pt>
              </c:strCache>
            </c:strRef>
          </c:cat>
          <c:val>
            <c:numRef>
              <c:f>(模拟测试YCSB版!$B$127:$C$127,模拟测试YCSB版!$E$127,模拟测试YCSB版!$G$127,模拟测试YCSB版!$I$127,模拟测试YCSB版!$K$127,模拟测试YCSB版!$M$127)</c:f>
              <c:numCache>
                <c:formatCode>General</c:formatCode>
                <c:ptCount val="7"/>
                <c:pt idx="0">
                  <c:v>120049</c:v>
                </c:pt>
                <c:pt idx="1">
                  <c:v>54456</c:v>
                </c:pt>
                <c:pt idx="2">
                  <c:v>61200</c:v>
                </c:pt>
                <c:pt idx="3">
                  <c:v>67957</c:v>
                </c:pt>
                <c:pt idx="4">
                  <c:v>90336</c:v>
                </c:pt>
                <c:pt idx="5">
                  <c:v>8785</c:v>
                </c:pt>
                <c:pt idx="6">
                  <c:v>53710</c:v>
                </c:pt>
              </c:numCache>
            </c:numRef>
          </c:val>
          <c:extLst>
            <c:ext xmlns:c16="http://schemas.microsoft.com/office/drawing/2014/chart" uri="{C3380CC4-5D6E-409C-BE32-E72D297353CC}">
              <c16:uniqueId val="{00000000-50EC-4117-8ED5-31285428C9FE}"/>
            </c:ext>
          </c:extLst>
        </c:ser>
        <c:ser>
          <c:idx val="1"/>
          <c:order val="1"/>
          <c:tx>
            <c:strRef>
              <c:f>模拟测试YCSB版!$A$128</c:f>
              <c:strCache>
                <c:ptCount val="1"/>
                <c:pt idx="0">
                  <c:v>4q1b</c:v>
                </c:pt>
              </c:strCache>
            </c:strRef>
          </c:tx>
          <c:spPr>
            <a:solidFill>
              <a:schemeClr val="accent2"/>
            </a:solidFill>
            <a:ln>
              <a:noFill/>
            </a:ln>
            <a:effectLst/>
          </c:spPr>
          <c:invertIfNegative val="0"/>
          <c:cat>
            <c:strRef>
              <c:f>(模拟测试YCSB版!$B$126:$C$126,模拟测试YCSB版!$E$126,模拟测试YCSB版!$G$126,模拟测试YCSB版!$I$126,模拟测试YCSB版!$K$126,模拟测试YCSB版!$M$126)</c:f>
              <c:strCache>
                <c:ptCount val="7"/>
                <c:pt idx="0">
                  <c:v>load a</c:v>
                </c:pt>
                <c:pt idx="1">
                  <c:v>a</c:v>
                </c:pt>
                <c:pt idx="2">
                  <c:v>b</c:v>
                </c:pt>
                <c:pt idx="3">
                  <c:v>c</c:v>
                </c:pt>
                <c:pt idx="4">
                  <c:v>d</c:v>
                </c:pt>
                <c:pt idx="5">
                  <c:v>e</c:v>
                </c:pt>
                <c:pt idx="6">
                  <c:v>f</c:v>
                </c:pt>
              </c:strCache>
            </c:strRef>
          </c:cat>
          <c:val>
            <c:numRef>
              <c:f>(模拟测试YCSB版!$B$128:$C$128,模拟测试YCSB版!$E$128,模拟测试YCSB版!$G$128,模拟测试YCSB版!$I$128,模拟测试YCSB版!$K$128,模拟测试YCSB版!$M$128)</c:f>
              <c:numCache>
                <c:formatCode>General</c:formatCode>
                <c:ptCount val="7"/>
                <c:pt idx="0">
                  <c:v>223872</c:v>
                </c:pt>
                <c:pt idx="1">
                  <c:v>99847</c:v>
                </c:pt>
                <c:pt idx="2">
                  <c:v>104118</c:v>
                </c:pt>
                <c:pt idx="3">
                  <c:v>107454</c:v>
                </c:pt>
                <c:pt idx="4">
                  <c:v>126855</c:v>
                </c:pt>
                <c:pt idx="5">
                  <c:v>7215</c:v>
                </c:pt>
                <c:pt idx="6">
                  <c:v>121346</c:v>
                </c:pt>
              </c:numCache>
            </c:numRef>
          </c:val>
          <c:extLst>
            <c:ext xmlns:c16="http://schemas.microsoft.com/office/drawing/2014/chart" uri="{C3380CC4-5D6E-409C-BE32-E72D297353CC}">
              <c16:uniqueId val="{00000001-50EC-4117-8ED5-31285428C9FE}"/>
            </c:ext>
          </c:extLst>
        </c:ser>
        <c:ser>
          <c:idx val="2"/>
          <c:order val="2"/>
          <c:tx>
            <c:strRef>
              <c:f>模拟测试YCSB版!$A$129</c:f>
              <c:strCache>
                <c:ptCount val="1"/>
                <c:pt idx="0">
                  <c:v>8q1b</c:v>
                </c:pt>
              </c:strCache>
            </c:strRef>
          </c:tx>
          <c:spPr>
            <a:solidFill>
              <a:schemeClr val="accent3"/>
            </a:solidFill>
            <a:ln>
              <a:noFill/>
            </a:ln>
            <a:effectLst/>
          </c:spPr>
          <c:invertIfNegative val="0"/>
          <c:cat>
            <c:strRef>
              <c:f>(模拟测试YCSB版!$B$126:$C$126,模拟测试YCSB版!$E$126,模拟测试YCSB版!$G$126,模拟测试YCSB版!$I$126,模拟测试YCSB版!$K$126,模拟测试YCSB版!$M$126)</c:f>
              <c:strCache>
                <c:ptCount val="7"/>
                <c:pt idx="0">
                  <c:v>load a</c:v>
                </c:pt>
                <c:pt idx="1">
                  <c:v>a</c:v>
                </c:pt>
                <c:pt idx="2">
                  <c:v>b</c:v>
                </c:pt>
                <c:pt idx="3">
                  <c:v>c</c:v>
                </c:pt>
                <c:pt idx="4">
                  <c:v>d</c:v>
                </c:pt>
                <c:pt idx="5">
                  <c:v>e</c:v>
                </c:pt>
                <c:pt idx="6">
                  <c:v>f</c:v>
                </c:pt>
              </c:strCache>
            </c:strRef>
          </c:cat>
          <c:val>
            <c:numRef>
              <c:f>(模拟测试YCSB版!$B$129:$C$129,模拟测试YCSB版!$E$129,模拟测试YCSB版!$G$129,模拟测试YCSB版!$I$129,模拟测试YCSB版!$K$129,模拟测试YCSB版!$M$129)</c:f>
              <c:numCache>
                <c:formatCode>General</c:formatCode>
                <c:ptCount val="7"/>
                <c:pt idx="0">
                  <c:v>317446</c:v>
                </c:pt>
                <c:pt idx="1">
                  <c:v>127164</c:v>
                </c:pt>
                <c:pt idx="2">
                  <c:v>133573</c:v>
                </c:pt>
                <c:pt idx="3">
                  <c:v>149156</c:v>
                </c:pt>
                <c:pt idx="4">
                  <c:v>158032</c:v>
                </c:pt>
                <c:pt idx="5">
                  <c:v>6525</c:v>
                </c:pt>
                <c:pt idx="6">
                  <c:v>161826</c:v>
                </c:pt>
              </c:numCache>
            </c:numRef>
          </c:val>
          <c:extLst>
            <c:ext xmlns:c16="http://schemas.microsoft.com/office/drawing/2014/chart" uri="{C3380CC4-5D6E-409C-BE32-E72D297353CC}">
              <c16:uniqueId val="{00000002-50EC-4117-8ED5-31285428C9FE}"/>
            </c:ext>
          </c:extLst>
        </c:ser>
        <c:ser>
          <c:idx val="3"/>
          <c:order val="3"/>
          <c:tx>
            <c:strRef>
              <c:f>模拟测试YCSB版!$A$130</c:f>
              <c:strCache>
                <c:ptCount val="1"/>
                <c:pt idx="0">
                  <c:v>1q4b</c:v>
                </c:pt>
              </c:strCache>
            </c:strRef>
          </c:tx>
          <c:spPr>
            <a:solidFill>
              <a:schemeClr val="accent4"/>
            </a:solidFill>
            <a:ln>
              <a:noFill/>
            </a:ln>
            <a:effectLst/>
          </c:spPr>
          <c:invertIfNegative val="0"/>
          <c:cat>
            <c:strRef>
              <c:f>(模拟测试YCSB版!$B$126:$C$126,模拟测试YCSB版!$E$126,模拟测试YCSB版!$G$126,模拟测试YCSB版!$I$126,模拟测试YCSB版!$K$126,模拟测试YCSB版!$M$126)</c:f>
              <c:strCache>
                <c:ptCount val="7"/>
                <c:pt idx="0">
                  <c:v>load a</c:v>
                </c:pt>
                <c:pt idx="1">
                  <c:v>a</c:v>
                </c:pt>
                <c:pt idx="2">
                  <c:v>b</c:v>
                </c:pt>
                <c:pt idx="3">
                  <c:v>c</c:v>
                </c:pt>
                <c:pt idx="4">
                  <c:v>d</c:v>
                </c:pt>
                <c:pt idx="5">
                  <c:v>e</c:v>
                </c:pt>
                <c:pt idx="6">
                  <c:v>f</c:v>
                </c:pt>
              </c:strCache>
            </c:strRef>
          </c:cat>
          <c:val>
            <c:numRef>
              <c:f>(模拟测试YCSB版!$B$130:$C$130,模拟测试YCSB版!$E$130,模拟测试YCSB版!$G$130,模拟测试YCSB版!$I$130,模拟测试YCSB版!$K$130,模拟测试YCSB版!$M$130)</c:f>
              <c:numCache>
                <c:formatCode>General</c:formatCode>
                <c:ptCount val="7"/>
                <c:pt idx="0">
                  <c:v>125698</c:v>
                </c:pt>
                <c:pt idx="1">
                  <c:v>93687</c:v>
                </c:pt>
                <c:pt idx="2">
                  <c:v>123284</c:v>
                </c:pt>
                <c:pt idx="3">
                  <c:v>139579</c:v>
                </c:pt>
                <c:pt idx="4">
                  <c:v>150757</c:v>
                </c:pt>
                <c:pt idx="5">
                  <c:v>9143</c:v>
                </c:pt>
                <c:pt idx="6">
                  <c:v>96497</c:v>
                </c:pt>
              </c:numCache>
            </c:numRef>
          </c:val>
          <c:extLst>
            <c:ext xmlns:c16="http://schemas.microsoft.com/office/drawing/2014/chart" uri="{C3380CC4-5D6E-409C-BE32-E72D297353CC}">
              <c16:uniqueId val="{00000003-50EC-4117-8ED5-31285428C9FE}"/>
            </c:ext>
          </c:extLst>
        </c:ser>
        <c:ser>
          <c:idx val="4"/>
          <c:order val="4"/>
          <c:tx>
            <c:strRef>
              <c:f>模拟测试YCSB版!$A$131</c:f>
              <c:strCache>
                <c:ptCount val="1"/>
                <c:pt idx="0">
                  <c:v>4q4b</c:v>
                </c:pt>
              </c:strCache>
            </c:strRef>
          </c:tx>
          <c:spPr>
            <a:solidFill>
              <a:schemeClr val="accent5"/>
            </a:solidFill>
            <a:ln>
              <a:noFill/>
            </a:ln>
            <a:effectLst/>
          </c:spPr>
          <c:invertIfNegative val="0"/>
          <c:cat>
            <c:strRef>
              <c:f>(模拟测试YCSB版!$B$126:$C$126,模拟测试YCSB版!$E$126,模拟测试YCSB版!$G$126,模拟测试YCSB版!$I$126,模拟测试YCSB版!$K$126,模拟测试YCSB版!$M$126)</c:f>
              <c:strCache>
                <c:ptCount val="7"/>
                <c:pt idx="0">
                  <c:v>load a</c:v>
                </c:pt>
                <c:pt idx="1">
                  <c:v>a</c:v>
                </c:pt>
                <c:pt idx="2">
                  <c:v>b</c:v>
                </c:pt>
                <c:pt idx="3">
                  <c:v>c</c:v>
                </c:pt>
                <c:pt idx="4">
                  <c:v>d</c:v>
                </c:pt>
                <c:pt idx="5">
                  <c:v>e</c:v>
                </c:pt>
                <c:pt idx="6">
                  <c:v>f</c:v>
                </c:pt>
              </c:strCache>
            </c:strRef>
          </c:cat>
          <c:val>
            <c:numRef>
              <c:f>(模拟测试YCSB版!$B$131:$C$131,模拟测试YCSB版!$E$131,模拟测试YCSB版!$G$131,模拟测试YCSB版!$I$131,模拟测试YCSB版!$K$131,模拟测试YCSB版!$M$131)</c:f>
              <c:numCache>
                <c:formatCode>General</c:formatCode>
                <c:ptCount val="7"/>
                <c:pt idx="0">
                  <c:v>236803</c:v>
                </c:pt>
                <c:pt idx="1">
                  <c:v>115412</c:v>
                </c:pt>
                <c:pt idx="2">
                  <c:v>185086</c:v>
                </c:pt>
                <c:pt idx="3">
                  <c:v>176919</c:v>
                </c:pt>
                <c:pt idx="4">
                  <c:v>199593</c:v>
                </c:pt>
                <c:pt idx="5">
                  <c:v>7084</c:v>
                </c:pt>
                <c:pt idx="6">
                  <c:v>188747</c:v>
                </c:pt>
              </c:numCache>
            </c:numRef>
          </c:val>
          <c:extLst>
            <c:ext xmlns:c16="http://schemas.microsoft.com/office/drawing/2014/chart" uri="{C3380CC4-5D6E-409C-BE32-E72D297353CC}">
              <c16:uniqueId val="{00000004-50EC-4117-8ED5-31285428C9FE}"/>
            </c:ext>
          </c:extLst>
        </c:ser>
        <c:ser>
          <c:idx val="5"/>
          <c:order val="5"/>
          <c:tx>
            <c:strRef>
              <c:f>模拟测试YCSB版!$A$132</c:f>
              <c:strCache>
                <c:ptCount val="1"/>
                <c:pt idx="0">
                  <c:v>8q4b</c:v>
                </c:pt>
              </c:strCache>
            </c:strRef>
          </c:tx>
          <c:spPr>
            <a:solidFill>
              <a:schemeClr val="accent6"/>
            </a:solidFill>
            <a:ln>
              <a:noFill/>
            </a:ln>
            <a:effectLst/>
          </c:spPr>
          <c:invertIfNegative val="0"/>
          <c:cat>
            <c:strRef>
              <c:f>(模拟测试YCSB版!$B$126:$C$126,模拟测试YCSB版!$E$126,模拟测试YCSB版!$G$126,模拟测试YCSB版!$I$126,模拟测试YCSB版!$K$126,模拟测试YCSB版!$M$126)</c:f>
              <c:strCache>
                <c:ptCount val="7"/>
                <c:pt idx="0">
                  <c:v>load a</c:v>
                </c:pt>
                <c:pt idx="1">
                  <c:v>a</c:v>
                </c:pt>
                <c:pt idx="2">
                  <c:v>b</c:v>
                </c:pt>
                <c:pt idx="3">
                  <c:v>c</c:v>
                </c:pt>
                <c:pt idx="4">
                  <c:v>d</c:v>
                </c:pt>
                <c:pt idx="5">
                  <c:v>e</c:v>
                </c:pt>
                <c:pt idx="6">
                  <c:v>f</c:v>
                </c:pt>
              </c:strCache>
            </c:strRef>
          </c:cat>
          <c:val>
            <c:numRef>
              <c:f>(模拟测试YCSB版!$B$132:$C$132,模拟测试YCSB版!$E$132,模拟测试YCSB版!$G$132,模拟测试YCSB版!$I$132,模拟测试YCSB版!$K$132,模拟测试YCSB版!$M$132)</c:f>
              <c:numCache>
                <c:formatCode>General</c:formatCode>
                <c:ptCount val="7"/>
                <c:pt idx="0">
                  <c:v>316198</c:v>
                </c:pt>
                <c:pt idx="1">
                  <c:v>143163</c:v>
                </c:pt>
                <c:pt idx="2">
                  <c:v>173192</c:v>
                </c:pt>
                <c:pt idx="3">
                  <c:v>228274</c:v>
                </c:pt>
                <c:pt idx="4">
                  <c:v>193944</c:v>
                </c:pt>
                <c:pt idx="5">
                  <c:v>6575</c:v>
                </c:pt>
                <c:pt idx="6">
                  <c:v>209560</c:v>
                </c:pt>
              </c:numCache>
            </c:numRef>
          </c:val>
          <c:extLst>
            <c:ext xmlns:c16="http://schemas.microsoft.com/office/drawing/2014/chart" uri="{C3380CC4-5D6E-409C-BE32-E72D297353CC}">
              <c16:uniqueId val="{00000005-50EC-4117-8ED5-31285428C9FE}"/>
            </c:ext>
          </c:extLst>
        </c:ser>
        <c:ser>
          <c:idx val="6"/>
          <c:order val="6"/>
          <c:tx>
            <c:strRef>
              <c:f>模拟测试YCSB版!$A$133</c:f>
              <c:strCache>
                <c:ptCount val="1"/>
                <c:pt idx="0">
                  <c:v>1q32b</c:v>
                </c:pt>
              </c:strCache>
            </c:strRef>
          </c:tx>
          <c:spPr>
            <a:solidFill>
              <a:schemeClr val="accent1">
                <a:lumMod val="60000"/>
              </a:schemeClr>
            </a:solidFill>
            <a:ln>
              <a:noFill/>
            </a:ln>
            <a:effectLst/>
          </c:spPr>
          <c:invertIfNegative val="0"/>
          <c:cat>
            <c:strRef>
              <c:f>(模拟测试YCSB版!$B$126:$C$126,模拟测试YCSB版!$E$126,模拟测试YCSB版!$G$126,模拟测试YCSB版!$I$126,模拟测试YCSB版!$K$126,模拟测试YCSB版!$M$126)</c:f>
              <c:strCache>
                <c:ptCount val="7"/>
                <c:pt idx="0">
                  <c:v>load a</c:v>
                </c:pt>
                <c:pt idx="1">
                  <c:v>a</c:v>
                </c:pt>
                <c:pt idx="2">
                  <c:v>b</c:v>
                </c:pt>
                <c:pt idx="3">
                  <c:v>c</c:v>
                </c:pt>
                <c:pt idx="4">
                  <c:v>d</c:v>
                </c:pt>
                <c:pt idx="5">
                  <c:v>e</c:v>
                </c:pt>
                <c:pt idx="6">
                  <c:v>f</c:v>
                </c:pt>
              </c:strCache>
            </c:strRef>
          </c:cat>
          <c:val>
            <c:numRef>
              <c:f>(模拟测试YCSB版!$B$133:$C$133,模拟测试YCSB版!$E$133,模拟测试YCSB版!$G$133,模拟测试YCSB版!$I$133,模拟测试YCSB版!$K$133,模拟测试YCSB版!$M$133)</c:f>
              <c:numCache>
                <c:formatCode>General</c:formatCode>
                <c:ptCount val="7"/>
                <c:pt idx="0">
                  <c:v>120156</c:v>
                </c:pt>
                <c:pt idx="1">
                  <c:v>136427</c:v>
                </c:pt>
                <c:pt idx="2">
                  <c:v>207088</c:v>
                </c:pt>
                <c:pt idx="3">
                  <c:v>251246</c:v>
                </c:pt>
                <c:pt idx="4">
                  <c:v>236815</c:v>
                </c:pt>
                <c:pt idx="5">
                  <c:v>9183</c:v>
                </c:pt>
                <c:pt idx="6">
                  <c:v>161448</c:v>
                </c:pt>
              </c:numCache>
            </c:numRef>
          </c:val>
          <c:extLst>
            <c:ext xmlns:c16="http://schemas.microsoft.com/office/drawing/2014/chart" uri="{C3380CC4-5D6E-409C-BE32-E72D297353CC}">
              <c16:uniqueId val="{00000006-50EC-4117-8ED5-31285428C9FE}"/>
            </c:ext>
          </c:extLst>
        </c:ser>
        <c:ser>
          <c:idx val="7"/>
          <c:order val="7"/>
          <c:tx>
            <c:strRef>
              <c:f>模拟测试YCSB版!$A$134</c:f>
              <c:strCache>
                <c:ptCount val="1"/>
                <c:pt idx="0">
                  <c:v>4q32b</c:v>
                </c:pt>
              </c:strCache>
            </c:strRef>
          </c:tx>
          <c:spPr>
            <a:solidFill>
              <a:schemeClr val="accent2">
                <a:lumMod val="60000"/>
              </a:schemeClr>
            </a:solidFill>
            <a:ln>
              <a:noFill/>
            </a:ln>
            <a:effectLst/>
          </c:spPr>
          <c:invertIfNegative val="0"/>
          <c:cat>
            <c:strRef>
              <c:f>(模拟测试YCSB版!$B$126:$C$126,模拟测试YCSB版!$E$126,模拟测试YCSB版!$G$126,模拟测试YCSB版!$I$126,模拟测试YCSB版!$K$126,模拟测试YCSB版!$M$126)</c:f>
              <c:strCache>
                <c:ptCount val="7"/>
                <c:pt idx="0">
                  <c:v>load a</c:v>
                </c:pt>
                <c:pt idx="1">
                  <c:v>a</c:v>
                </c:pt>
                <c:pt idx="2">
                  <c:v>b</c:v>
                </c:pt>
                <c:pt idx="3">
                  <c:v>c</c:v>
                </c:pt>
                <c:pt idx="4">
                  <c:v>d</c:v>
                </c:pt>
                <c:pt idx="5">
                  <c:v>e</c:v>
                </c:pt>
                <c:pt idx="6">
                  <c:v>f</c:v>
                </c:pt>
              </c:strCache>
            </c:strRef>
          </c:cat>
          <c:val>
            <c:numRef>
              <c:f>(模拟测试YCSB版!$B$134:$C$134,模拟测试YCSB版!$E$134,模拟测试YCSB版!$G$134,模拟测试YCSB版!$I$134,模拟测试YCSB版!$K$134,模拟测试YCSB版!$M$134)</c:f>
              <c:numCache>
                <c:formatCode>General</c:formatCode>
                <c:ptCount val="7"/>
                <c:pt idx="0">
                  <c:v>229334</c:v>
                </c:pt>
                <c:pt idx="1">
                  <c:v>151107</c:v>
                </c:pt>
                <c:pt idx="2">
                  <c:v>273745</c:v>
                </c:pt>
                <c:pt idx="3">
                  <c:v>256361</c:v>
                </c:pt>
                <c:pt idx="4">
                  <c:v>240875</c:v>
                </c:pt>
                <c:pt idx="5">
                  <c:v>7141</c:v>
                </c:pt>
                <c:pt idx="6">
                  <c:v>218919</c:v>
                </c:pt>
              </c:numCache>
            </c:numRef>
          </c:val>
          <c:extLst>
            <c:ext xmlns:c16="http://schemas.microsoft.com/office/drawing/2014/chart" uri="{C3380CC4-5D6E-409C-BE32-E72D297353CC}">
              <c16:uniqueId val="{00000007-50EC-4117-8ED5-31285428C9FE}"/>
            </c:ext>
          </c:extLst>
        </c:ser>
        <c:ser>
          <c:idx val="8"/>
          <c:order val="8"/>
          <c:tx>
            <c:strRef>
              <c:f>模拟测试YCSB版!$A$135</c:f>
              <c:strCache>
                <c:ptCount val="1"/>
                <c:pt idx="0">
                  <c:v>8q32b</c:v>
                </c:pt>
              </c:strCache>
            </c:strRef>
          </c:tx>
          <c:spPr>
            <a:solidFill>
              <a:schemeClr val="accent3">
                <a:lumMod val="60000"/>
              </a:schemeClr>
            </a:solidFill>
            <a:ln>
              <a:noFill/>
            </a:ln>
            <a:effectLst/>
          </c:spPr>
          <c:invertIfNegative val="0"/>
          <c:cat>
            <c:strRef>
              <c:f>(模拟测试YCSB版!$B$126:$C$126,模拟测试YCSB版!$E$126,模拟测试YCSB版!$G$126,模拟测试YCSB版!$I$126,模拟测试YCSB版!$K$126,模拟测试YCSB版!$M$126)</c:f>
              <c:strCache>
                <c:ptCount val="7"/>
                <c:pt idx="0">
                  <c:v>load a</c:v>
                </c:pt>
                <c:pt idx="1">
                  <c:v>a</c:v>
                </c:pt>
                <c:pt idx="2">
                  <c:v>b</c:v>
                </c:pt>
                <c:pt idx="3">
                  <c:v>c</c:v>
                </c:pt>
                <c:pt idx="4">
                  <c:v>d</c:v>
                </c:pt>
                <c:pt idx="5">
                  <c:v>e</c:v>
                </c:pt>
                <c:pt idx="6">
                  <c:v>f</c:v>
                </c:pt>
              </c:strCache>
            </c:strRef>
          </c:cat>
          <c:val>
            <c:numRef>
              <c:f>(模拟测试YCSB版!$B$135:$C$135,模拟测试YCSB版!$E$135,模拟测试YCSB版!$G$135,模拟测试YCSB版!$I$135,模拟测试YCSB版!$K$135,模拟测试YCSB版!$M$135)</c:f>
              <c:numCache>
                <c:formatCode>General</c:formatCode>
                <c:ptCount val="7"/>
                <c:pt idx="0">
                  <c:v>334951</c:v>
                </c:pt>
                <c:pt idx="1">
                  <c:v>216752</c:v>
                </c:pt>
                <c:pt idx="2">
                  <c:v>289321</c:v>
                </c:pt>
                <c:pt idx="3">
                  <c:v>290397</c:v>
                </c:pt>
                <c:pt idx="4">
                  <c:v>515418</c:v>
                </c:pt>
                <c:pt idx="5">
                  <c:v>6531</c:v>
                </c:pt>
                <c:pt idx="6">
                  <c:v>293742</c:v>
                </c:pt>
              </c:numCache>
            </c:numRef>
          </c:val>
          <c:extLst>
            <c:ext xmlns:c16="http://schemas.microsoft.com/office/drawing/2014/chart" uri="{C3380CC4-5D6E-409C-BE32-E72D297353CC}">
              <c16:uniqueId val="{00000008-50EC-4117-8ED5-31285428C9FE}"/>
            </c:ext>
          </c:extLst>
        </c:ser>
        <c:dLbls>
          <c:showLegendKey val="0"/>
          <c:showVal val="0"/>
          <c:showCatName val="0"/>
          <c:showSerName val="0"/>
          <c:showPercent val="0"/>
          <c:showBubbleSize val="0"/>
        </c:dLbls>
        <c:gapWidth val="219"/>
        <c:overlap val="-27"/>
        <c:axId val="613085135"/>
        <c:axId val="613526655"/>
      </c:barChart>
      <c:catAx>
        <c:axId val="61308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3526655"/>
        <c:crosses val="autoZero"/>
        <c:auto val="1"/>
        <c:lblAlgn val="ctr"/>
        <c:lblOffset val="100"/>
        <c:noMultiLvlLbl val="0"/>
      </c:catAx>
      <c:valAx>
        <c:axId val="61352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3085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1KB key-value</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模拟测试YCSB版!$A$147</c:f>
              <c:strCache>
                <c:ptCount val="1"/>
                <c:pt idx="0">
                  <c:v>1q1b</c:v>
                </c:pt>
              </c:strCache>
            </c:strRef>
          </c:tx>
          <c:spPr>
            <a:solidFill>
              <a:schemeClr val="accent1"/>
            </a:solidFill>
            <a:ln>
              <a:noFill/>
            </a:ln>
            <a:effectLst/>
          </c:spPr>
          <c:invertIfNegative val="0"/>
          <c:cat>
            <c:strRef>
              <c:f>(模拟测试YCSB版!$B$146:$C$146,模拟测试YCSB版!$E$146,模拟测试YCSB版!$G$146,模拟测试YCSB版!$I$146,模拟测试YCSB版!$K$146,模拟测试YCSB版!$M$146)</c:f>
              <c:strCache>
                <c:ptCount val="7"/>
                <c:pt idx="0">
                  <c:v>load a</c:v>
                </c:pt>
                <c:pt idx="1">
                  <c:v>a</c:v>
                </c:pt>
                <c:pt idx="2">
                  <c:v>b</c:v>
                </c:pt>
                <c:pt idx="3">
                  <c:v>c</c:v>
                </c:pt>
                <c:pt idx="4">
                  <c:v>d</c:v>
                </c:pt>
                <c:pt idx="5">
                  <c:v>e</c:v>
                </c:pt>
                <c:pt idx="6">
                  <c:v>f</c:v>
                </c:pt>
              </c:strCache>
            </c:strRef>
          </c:cat>
          <c:val>
            <c:numRef>
              <c:f>(模拟测试YCSB版!$B$147:$C$147,模拟测试YCSB版!$E$147,模拟测试YCSB版!$G$147,模拟测试YCSB版!$I$147,模拟测试YCSB版!$J$157,模拟测试YCSB版!$M$147)</c:f>
              <c:numCache>
                <c:formatCode>General</c:formatCode>
                <c:ptCount val="7"/>
                <c:pt idx="0">
                  <c:v>121884</c:v>
                </c:pt>
                <c:pt idx="1">
                  <c:v>51956</c:v>
                </c:pt>
                <c:pt idx="2">
                  <c:v>51409</c:v>
                </c:pt>
                <c:pt idx="3">
                  <c:v>51517</c:v>
                </c:pt>
                <c:pt idx="4">
                  <c:v>69201</c:v>
                </c:pt>
                <c:pt idx="5">
                  <c:v>5031</c:v>
                </c:pt>
                <c:pt idx="6">
                  <c:v>46223</c:v>
                </c:pt>
              </c:numCache>
            </c:numRef>
          </c:val>
          <c:extLst>
            <c:ext xmlns:c16="http://schemas.microsoft.com/office/drawing/2014/chart" uri="{C3380CC4-5D6E-409C-BE32-E72D297353CC}">
              <c16:uniqueId val="{00000000-9ED6-4706-9D6F-6E0B2EAE799C}"/>
            </c:ext>
          </c:extLst>
        </c:ser>
        <c:ser>
          <c:idx val="1"/>
          <c:order val="1"/>
          <c:tx>
            <c:strRef>
              <c:f>模拟测试YCSB版!$A$148</c:f>
              <c:strCache>
                <c:ptCount val="1"/>
                <c:pt idx="0">
                  <c:v>4q1b</c:v>
                </c:pt>
              </c:strCache>
            </c:strRef>
          </c:tx>
          <c:spPr>
            <a:solidFill>
              <a:schemeClr val="accent2"/>
            </a:solidFill>
            <a:ln>
              <a:noFill/>
            </a:ln>
            <a:effectLst/>
          </c:spPr>
          <c:invertIfNegative val="0"/>
          <c:cat>
            <c:strRef>
              <c:f>(模拟测试YCSB版!$B$146:$C$146,模拟测试YCSB版!$E$146,模拟测试YCSB版!$G$146,模拟测试YCSB版!$I$146,模拟测试YCSB版!$K$146,模拟测试YCSB版!$M$146)</c:f>
              <c:strCache>
                <c:ptCount val="7"/>
                <c:pt idx="0">
                  <c:v>load a</c:v>
                </c:pt>
                <c:pt idx="1">
                  <c:v>a</c:v>
                </c:pt>
                <c:pt idx="2">
                  <c:v>b</c:v>
                </c:pt>
                <c:pt idx="3">
                  <c:v>c</c:v>
                </c:pt>
                <c:pt idx="4">
                  <c:v>d</c:v>
                </c:pt>
                <c:pt idx="5">
                  <c:v>e</c:v>
                </c:pt>
                <c:pt idx="6">
                  <c:v>f</c:v>
                </c:pt>
              </c:strCache>
            </c:strRef>
          </c:cat>
          <c:val>
            <c:numRef>
              <c:f>(模拟测试YCSB版!$B$148:$C$148,模拟测试YCSB版!$E$148,模拟测试YCSB版!$G$148,模拟测试YCSB版!$I$148,模拟测试YCSB版!$J$158,模拟测试YCSB版!$M$148)</c:f>
              <c:numCache>
                <c:formatCode>General</c:formatCode>
                <c:ptCount val="7"/>
                <c:pt idx="0">
                  <c:v>221200</c:v>
                </c:pt>
                <c:pt idx="1">
                  <c:v>85696</c:v>
                </c:pt>
                <c:pt idx="2">
                  <c:v>105830</c:v>
                </c:pt>
                <c:pt idx="3">
                  <c:v>96376</c:v>
                </c:pt>
                <c:pt idx="4">
                  <c:v>134585</c:v>
                </c:pt>
                <c:pt idx="5">
                  <c:v>4145</c:v>
                </c:pt>
                <c:pt idx="6">
                  <c:v>113651</c:v>
                </c:pt>
              </c:numCache>
            </c:numRef>
          </c:val>
          <c:extLst>
            <c:ext xmlns:c16="http://schemas.microsoft.com/office/drawing/2014/chart" uri="{C3380CC4-5D6E-409C-BE32-E72D297353CC}">
              <c16:uniqueId val="{00000001-9ED6-4706-9D6F-6E0B2EAE799C}"/>
            </c:ext>
          </c:extLst>
        </c:ser>
        <c:ser>
          <c:idx val="2"/>
          <c:order val="2"/>
          <c:tx>
            <c:strRef>
              <c:f>模拟测试YCSB版!$A$149</c:f>
              <c:strCache>
                <c:ptCount val="1"/>
                <c:pt idx="0">
                  <c:v>8q1b</c:v>
                </c:pt>
              </c:strCache>
            </c:strRef>
          </c:tx>
          <c:spPr>
            <a:solidFill>
              <a:schemeClr val="accent3"/>
            </a:solidFill>
            <a:ln>
              <a:noFill/>
            </a:ln>
            <a:effectLst/>
          </c:spPr>
          <c:invertIfNegative val="0"/>
          <c:cat>
            <c:strRef>
              <c:f>(模拟测试YCSB版!$B$146:$C$146,模拟测试YCSB版!$E$146,模拟测试YCSB版!$G$146,模拟测试YCSB版!$I$146,模拟测试YCSB版!$K$146,模拟测试YCSB版!$M$146)</c:f>
              <c:strCache>
                <c:ptCount val="7"/>
                <c:pt idx="0">
                  <c:v>load a</c:v>
                </c:pt>
                <c:pt idx="1">
                  <c:v>a</c:v>
                </c:pt>
                <c:pt idx="2">
                  <c:v>b</c:v>
                </c:pt>
                <c:pt idx="3">
                  <c:v>c</c:v>
                </c:pt>
                <c:pt idx="4">
                  <c:v>d</c:v>
                </c:pt>
                <c:pt idx="5">
                  <c:v>e</c:v>
                </c:pt>
                <c:pt idx="6">
                  <c:v>f</c:v>
                </c:pt>
              </c:strCache>
            </c:strRef>
          </c:cat>
          <c:val>
            <c:numRef>
              <c:f>(模拟测试YCSB版!$B$149:$C$149,模拟测试YCSB版!$E$149,模拟测试YCSB版!$G$149,模拟测试YCSB版!$I$149,模拟测试YCSB版!$J$159,模拟测试YCSB版!$M$149)</c:f>
              <c:numCache>
                <c:formatCode>General</c:formatCode>
                <c:ptCount val="7"/>
                <c:pt idx="0">
                  <c:v>324536</c:v>
                </c:pt>
                <c:pt idx="1">
                  <c:v>114071</c:v>
                </c:pt>
                <c:pt idx="2">
                  <c:v>139011</c:v>
                </c:pt>
                <c:pt idx="3">
                  <c:v>128710</c:v>
                </c:pt>
                <c:pt idx="4">
                  <c:v>147106</c:v>
                </c:pt>
                <c:pt idx="5">
                  <c:v>2812</c:v>
                </c:pt>
                <c:pt idx="6">
                  <c:v>149957</c:v>
                </c:pt>
              </c:numCache>
            </c:numRef>
          </c:val>
          <c:extLst>
            <c:ext xmlns:c16="http://schemas.microsoft.com/office/drawing/2014/chart" uri="{C3380CC4-5D6E-409C-BE32-E72D297353CC}">
              <c16:uniqueId val="{00000002-9ED6-4706-9D6F-6E0B2EAE799C}"/>
            </c:ext>
          </c:extLst>
        </c:ser>
        <c:ser>
          <c:idx val="3"/>
          <c:order val="3"/>
          <c:tx>
            <c:strRef>
              <c:f>模拟测试YCSB版!$A$150</c:f>
              <c:strCache>
                <c:ptCount val="1"/>
                <c:pt idx="0">
                  <c:v>1q4b</c:v>
                </c:pt>
              </c:strCache>
            </c:strRef>
          </c:tx>
          <c:spPr>
            <a:solidFill>
              <a:schemeClr val="accent4"/>
            </a:solidFill>
            <a:ln>
              <a:noFill/>
            </a:ln>
            <a:effectLst/>
          </c:spPr>
          <c:invertIfNegative val="0"/>
          <c:cat>
            <c:strRef>
              <c:f>(模拟测试YCSB版!$B$146:$C$146,模拟测试YCSB版!$E$146,模拟测试YCSB版!$G$146,模拟测试YCSB版!$I$146,模拟测试YCSB版!$K$146,模拟测试YCSB版!$M$146)</c:f>
              <c:strCache>
                <c:ptCount val="7"/>
                <c:pt idx="0">
                  <c:v>load a</c:v>
                </c:pt>
                <c:pt idx="1">
                  <c:v>a</c:v>
                </c:pt>
                <c:pt idx="2">
                  <c:v>b</c:v>
                </c:pt>
                <c:pt idx="3">
                  <c:v>c</c:v>
                </c:pt>
                <c:pt idx="4">
                  <c:v>d</c:v>
                </c:pt>
                <c:pt idx="5">
                  <c:v>e</c:v>
                </c:pt>
                <c:pt idx="6">
                  <c:v>f</c:v>
                </c:pt>
              </c:strCache>
            </c:strRef>
          </c:cat>
          <c:val>
            <c:numRef>
              <c:f>(模拟测试YCSB版!$B$150:$C$150,模拟测试YCSB版!$E$150,模拟测试YCSB版!$G$150,模拟测试YCSB版!$I$150,模拟测试YCSB版!$J$160,模拟测试YCSB版!$M$150)</c:f>
              <c:numCache>
                <c:formatCode>General</c:formatCode>
                <c:ptCount val="7"/>
                <c:pt idx="0">
                  <c:v>123772</c:v>
                </c:pt>
                <c:pt idx="1">
                  <c:v>84535</c:v>
                </c:pt>
                <c:pt idx="2">
                  <c:v>115993</c:v>
                </c:pt>
                <c:pt idx="3">
                  <c:v>113098</c:v>
                </c:pt>
                <c:pt idx="4">
                  <c:v>129799</c:v>
                </c:pt>
                <c:pt idx="5">
                  <c:v>5447</c:v>
                </c:pt>
                <c:pt idx="6">
                  <c:v>93241</c:v>
                </c:pt>
              </c:numCache>
            </c:numRef>
          </c:val>
          <c:extLst>
            <c:ext xmlns:c16="http://schemas.microsoft.com/office/drawing/2014/chart" uri="{C3380CC4-5D6E-409C-BE32-E72D297353CC}">
              <c16:uniqueId val="{00000003-9ED6-4706-9D6F-6E0B2EAE799C}"/>
            </c:ext>
          </c:extLst>
        </c:ser>
        <c:ser>
          <c:idx val="4"/>
          <c:order val="4"/>
          <c:tx>
            <c:strRef>
              <c:f>模拟测试YCSB版!$A$151</c:f>
              <c:strCache>
                <c:ptCount val="1"/>
                <c:pt idx="0">
                  <c:v>4q4b</c:v>
                </c:pt>
              </c:strCache>
            </c:strRef>
          </c:tx>
          <c:spPr>
            <a:solidFill>
              <a:schemeClr val="accent5"/>
            </a:solidFill>
            <a:ln>
              <a:noFill/>
            </a:ln>
            <a:effectLst/>
          </c:spPr>
          <c:invertIfNegative val="0"/>
          <c:cat>
            <c:strRef>
              <c:f>(模拟测试YCSB版!$B$146:$C$146,模拟测试YCSB版!$E$146,模拟测试YCSB版!$G$146,模拟测试YCSB版!$I$146,模拟测试YCSB版!$K$146,模拟测试YCSB版!$M$146)</c:f>
              <c:strCache>
                <c:ptCount val="7"/>
                <c:pt idx="0">
                  <c:v>load a</c:v>
                </c:pt>
                <c:pt idx="1">
                  <c:v>a</c:v>
                </c:pt>
                <c:pt idx="2">
                  <c:v>b</c:v>
                </c:pt>
                <c:pt idx="3">
                  <c:v>c</c:v>
                </c:pt>
                <c:pt idx="4">
                  <c:v>d</c:v>
                </c:pt>
                <c:pt idx="5">
                  <c:v>e</c:v>
                </c:pt>
                <c:pt idx="6">
                  <c:v>f</c:v>
                </c:pt>
              </c:strCache>
            </c:strRef>
          </c:cat>
          <c:val>
            <c:numRef>
              <c:f>(模拟测试YCSB版!$B$151:$C$151,模拟测试YCSB版!$E$151,模拟测试YCSB版!$G$151,模拟测试YCSB版!$I$151,模拟测试YCSB版!$J$161,模拟测试YCSB版!$M$151)</c:f>
              <c:numCache>
                <c:formatCode>General</c:formatCode>
                <c:ptCount val="7"/>
                <c:pt idx="0">
                  <c:v>231379</c:v>
                </c:pt>
                <c:pt idx="1">
                  <c:v>101852</c:v>
                </c:pt>
                <c:pt idx="2">
                  <c:v>150286</c:v>
                </c:pt>
                <c:pt idx="3">
                  <c:v>177927</c:v>
                </c:pt>
                <c:pt idx="4">
                  <c:v>159284</c:v>
                </c:pt>
                <c:pt idx="5">
                  <c:v>4170</c:v>
                </c:pt>
                <c:pt idx="6">
                  <c:v>145118</c:v>
                </c:pt>
              </c:numCache>
            </c:numRef>
          </c:val>
          <c:extLst>
            <c:ext xmlns:c16="http://schemas.microsoft.com/office/drawing/2014/chart" uri="{C3380CC4-5D6E-409C-BE32-E72D297353CC}">
              <c16:uniqueId val="{00000004-9ED6-4706-9D6F-6E0B2EAE799C}"/>
            </c:ext>
          </c:extLst>
        </c:ser>
        <c:ser>
          <c:idx val="5"/>
          <c:order val="5"/>
          <c:tx>
            <c:strRef>
              <c:f>模拟测试YCSB版!$A$152</c:f>
              <c:strCache>
                <c:ptCount val="1"/>
                <c:pt idx="0">
                  <c:v>8q4b</c:v>
                </c:pt>
              </c:strCache>
            </c:strRef>
          </c:tx>
          <c:spPr>
            <a:solidFill>
              <a:schemeClr val="accent6"/>
            </a:solidFill>
            <a:ln>
              <a:noFill/>
            </a:ln>
            <a:effectLst/>
          </c:spPr>
          <c:invertIfNegative val="0"/>
          <c:cat>
            <c:strRef>
              <c:f>(模拟测试YCSB版!$B$146:$C$146,模拟测试YCSB版!$E$146,模拟测试YCSB版!$G$146,模拟测试YCSB版!$I$146,模拟测试YCSB版!$K$146,模拟测试YCSB版!$M$146)</c:f>
              <c:strCache>
                <c:ptCount val="7"/>
                <c:pt idx="0">
                  <c:v>load a</c:v>
                </c:pt>
                <c:pt idx="1">
                  <c:v>a</c:v>
                </c:pt>
                <c:pt idx="2">
                  <c:v>b</c:v>
                </c:pt>
                <c:pt idx="3">
                  <c:v>c</c:v>
                </c:pt>
                <c:pt idx="4">
                  <c:v>d</c:v>
                </c:pt>
                <c:pt idx="5">
                  <c:v>e</c:v>
                </c:pt>
                <c:pt idx="6">
                  <c:v>f</c:v>
                </c:pt>
              </c:strCache>
            </c:strRef>
          </c:cat>
          <c:val>
            <c:numRef>
              <c:f>(模拟测试YCSB版!$B$152:$C$152,模拟测试YCSB版!$E$152,模拟测试YCSB版!$G$152,模拟测试YCSB版!$I$152,模拟测试YCSB版!$J$162,模拟测试YCSB版!$M$152)</c:f>
              <c:numCache>
                <c:formatCode>General</c:formatCode>
                <c:ptCount val="7"/>
                <c:pt idx="0">
                  <c:v>326245</c:v>
                </c:pt>
                <c:pt idx="1">
                  <c:v>134021</c:v>
                </c:pt>
                <c:pt idx="2">
                  <c:v>219176</c:v>
                </c:pt>
                <c:pt idx="3">
                  <c:v>213652</c:v>
                </c:pt>
                <c:pt idx="4">
                  <c:v>214734</c:v>
                </c:pt>
                <c:pt idx="5">
                  <c:v>2835</c:v>
                </c:pt>
                <c:pt idx="6">
                  <c:v>192049</c:v>
                </c:pt>
              </c:numCache>
            </c:numRef>
          </c:val>
          <c:extLst>
            <c:ext xmlns:c16="http://schemas.microsoft.com/office/drawing/2014/chart" uri="{C3380CC4-5D6E-409C-BE32-E72D297353CC}">
              <c16:uniqueId val="{00000005-9ED6-4706-9D6F-6E0B2EAE799C}"/>
            </c:ext>
          </c:extLst>
        </c:ser>
        <c:ser>
          <c:idx val="6"/>
          <c:order val="6"/>
          <c:tx>
            <c:strRef>
              <c:f>模拟测试YCSB版!$A$153</c:f>
              <c:strCache>
                <c:ptCount val="1"/>
                <c:pt idx="0">
                  <c:v>1q32b</c:v>
                </c:pt>
              </c:strCache>
            </c:strRef>
          </c:tx>
          <c:spPr>
            <a:solidFill>
              <a:schemeClr val="accent1">
                <a:lumMod val="60000"/>
              </a:schemeClr>
            </a:solidFill>
            <a:ln>
              <a:noFill/>
            </a:ln>
            <a:effectLst/>
          </c:spPr>
          <c:invertIfNegative val="0"/>
          <c:cat>
            <c:strRef>
              <c:f>(模拟测试YCSB版!$B$146:$C$146,模拟测试YCSB版!$E$146,模拟测试YCSB版!$G$146,模拟测试YCSB版!$I$146,模拟测试YCSB版!$K$146,模拟测试YCSB版!$M$146)</c:f>
              <c:strCache>
                <c:ptCount val="7"/>
                <c:pt idx="0">
                  <c:v>load a</c:v>
                </c:pt>
                <c:pt idx="1">
                  <c:v>a</c:v>
                </c:pt>
                <c:pt idx="2">
                  <c:v>b</c:v>
                </c:pt>
                <c:pt idx="3">
                  <c:v>c</c:v>
                </c:pt>
                <c:pt idx="4">
                  <c:v>d</c:v>
                </c:pt>
                <c:pt idx="5">
                  <c:v>e</c:v>
                </c:pt>
                <c:pt idx="6">
                  <c:v>f</c:v>
                </c:pt>
              </c:strCache>
            </c:strRef>
          </c:cat>
          <c:val>
            <c:numRef>
              <c:f>(模拟测试YCSB版!$B$153:$C$153,模拟测试YCSB版!$E$153,模拟测试YCSB版!$G$153,模拟测试YCSB版!$I$153,模拟测试YCSB版!$J$163,模拟测试YCSB版!$M$153)</c:f>
              <c:numCache>
                <c:formatCode>General</c:formatCode>
                <c:ptCount val="7"/>
                <c:pt idx="0">
                  <c:v>125157</c:v>
                </c:pt>
                <c:pt idx="1">
                  <c:v>121866</c:v>
                </c:pt>
                <c:pt idx="2">
                  <c:v>172477</c:v>
                </c:pt>
                <c:pt idx="3">
                  <c:v>207937</c:v>
                </c:pt>
                <c:pt idx="4">
                  <c:v>228590</c:v>
                </c:pt>
                <c:pt idx="5">
                  <c:v>4893</c:v>
                </c:pt>
                <c:pt idx="6">
                  <c:v>145415</c:v>
                </c:pt>
              </c:numCache>
            </c:numRef>
          </c:val>
          <c:extLst>
            <c:ext xmlns:c16="http://schemas.microsoft.com/office/drawing/2014/chart" uri="{C3380CC4-5D6E-409C-BE32-E72D297353CC}">
              <c16:uniqueId val="{00000006-9ED6-4706-9D6F-6E0B2EAE799C}"/>
            </c:ext>
          </c:extLst>
        </c:ser>
        <c:ser>
          <c:idx val="7"/>
          <c:order val="7"/>
          <c:tx>
            <c:strRef>
              <c:f>模拟测试YCSB版!$A$154</c:f>
              <c:strCache>
                <c:ptCount val="1"/>
                <c:pt idx="0">
                  <c:v>4q32b</c:v>
                </c:pt>
              </c:strCache>
            </c:strRef>
          </c:tx>
          <c:spPr>
            <a:solidFill>
              <a:schemeClr val="accent2">
                <a:lumMod val="60000"/>
              </a:schemeClr>
            </a:solidFill>
            <a:ln>
              <a:noFill/>
            </a:ln>
            <a:effectLst/>
          </c:spPr>
          <c:invertIfNegative val="0"/>
          <c:cat>
            <c:strRef>
              <c:f>(模拟测试YCSB版!$B$146:$C$146,模拟测试YCSB版!$E$146,模拟测试YCSB版!$G$146,模拟测试YCSB版!$I$146,模拟测试YCSB版!$K$146,模拟测试YCSB版!$M$146)</c:f>
              <c:strCache>
                <c:ptCount val="7"/>
                <c:pt idx="0">
                  <c:v>load a</c:v>
                </c:pt>
                <c:pt idx="1">
                  <c:v>a</c:v>
                </c:pt>
                <c:pt idx="2">
                  <c:v>b</c:v>
                </c:pt>
                <c:pt idx="3">
                  <c:v>c</c:v>
                </c:pt>
                <c:pt idx="4">
                  <c:v>d</c:v>
                </c:pt>
                <c:pt idx="5">
                  <c:v>e</c:v>
                </c:pt>
                <c:pt idx="6">
                  <c:v>f</c:v>
                </c:pt>
              </c:strCache>
            </c:strRef>
          </c:cat>
          <c:val>
            <c:numRef>
              <c:f>(模拟测试YCSB版!$B$154:$C$154,模拟测试YCSB版!$E$154,模拟测试YCSB版!$G$154,模拟测试YCSB版!$I$154,模拟测试YCSB版!$J$164,模拟测试YCSB版!$M$154)</c:f>
              <c:numCache>
                <c:formatCode>General</c:formatCode>
                <c:ptCount val="7"/>
                <c:pt idx="0">
                  <c:v>223319</c:v>
                </c:pt>
                <c:pt idx="1">
                  <c:v>136300</c:v>
                </c:pt>
                <c:pt idx="2">
                  <c:v>180055</c:v>
                </c:pt>
                <c:pt idx="3">
                  <c:v>182172</c:v>
                </c:pt>
                <c:pt idx="4">
                  <c:v>237803</c:v>
                </c:pt>
                <c:pt idx="5">
                  <c:v>4393</c:v>
                </c:pt>
                <c:pt idx="6">
                  <c:v>169221</c:v>
                </c:pt>
              </c:numCache>
            </c:numRef>
          </c:val>
          <c:extLst>
            <c:ext xmlns:c16="http://schemas.microsoft.com/office/drawing/2014/chart" uri="{C3380CC4-5D6E-409C-BE32-E72D297353CC}">
              <c16:uniqueId val="{00000007-9ED6-4706-9D6F-6E0B2EAE799C}"/>
            </c:ext>
          </c:extLst>
        </c:ser>
        <c:ser>
          <c:idx val="8"/>
          <c:order val="8"/>
          <c:tx>
            <c:strRef>
              <c:f>模拟测试YCSB版!$A$155</c:f>
              <c:strCache>
                <c:ptCount val="1"/>
                <c:pt idx="0">
                  <c:v>8q32b</c:v>
                </c:pt>
              </c:strCache>
            </c:strRef>
          </c:tx>
          <c:spPr>
            <a:solidFill>
              <a:schemeClr val="accent3">
                <a:lumMod val="60000"/>
              </a:schemeClr>
            </a:solidFill>
            <a:ln>
              <a:noFill/>
            </a:ln>
            <a:effectLst/>
          </c:spPr>
          <c:invertIfNegative val="0"/>
          <c:cat>
            <c:strRef>
              <c:f>(模拟测试YCSB版!$B$146:$C$146,模拟测试YCSB版!$E$146,模拟测试YCSB版!$G$146,模拟测试YCSB版!$I$146,模拟测试YCSB版!$K$146,模拟测试YCSB版!$M$146)</c:f>
              <c:strCache>
                <c:ptCount val="7"/>
                <c:pt idx="0">
                  <c:v>load a</c:v>
                </c:pt>
                <c:pt idx="1">
                  <c:v>a</c:v>
                </c:pt>
                <c:pt idx="2">
                  <c:v>b</c:v>
                </c:pt>
                <c:pt idx="3">
                  <c:v>c</c:v>
                </c:pt>
                <c:pt idx="4">
                  <c:v>d</c:v>
                </c:pt>
                <c:pt idx="5">
                  <c:v>e</c:v>
                </c:pt>
                <c:pt idx="6">
                  <c:v>f</c:v>
                </c:pt>
              </c:strCache>
            </c:strRef>
          </c:cat>
          <c:val>
            <c:numRef>
              <c:f>(模拟测试YCSB版!$B$155:$C$155,模拟测试YCSB版!$E$155,模拟测试YCSB版!$G$155,模拟测试YCSB版!$I$155,模拟测试YCSB版!$J$165,模拟测试YCSB版!$M$155)</c:f>
              <c:numCache>
                <c:formatCode>General</c:formatCode>
                <c:ptCount val="7"/>
                <c:pt idx="0">
                  <c:v>333994</c:v>
                </c:pt>
                <c:pt idx="1">
                  <c:v>133357</c:v>
                </c:pt>
                <c:pt idx="2">
                  <c:v>274871</c:v>
                </c:pt>
                <c:pt idx="3">
                  <c:v>315941</c:v>
                </c:pt>
                <c:pt idx="4">
                  <c:v>396476</c:v>
                </c:pt>
                <c:pt idx="5">
                  <c:v>2876</c:v>
                </c:pt>
                <c:pt idx="6">
                  <c:v>236370</c:v>
                </c:pt>
              </c:numCache>
            </c:numRef>
          </c:val>
          <c:extLst>
            <c:ext xmlns:c16="http://schemas.microsoft.com/office/drawing/2014/chart" uri="{C3380CC4-5D6E-409C-BE32-E72D297353CC}">
              <c16:uniqueId val="{00000008-9ED6-4706-9D6F-6E0B2EAE799C}"/>
            </c:ext>
          </c:extLst>
        </c:ser>
        <c:dLbls>
          <c:showLegendKey val="0"/>
          <c:showVal val="0"/>
          <c:showCatName val="0"/>
          <c:showSerName val="0"/>
          <c:showPercent val="0"/>
          <c:showBubbleSize val="0"/>
        </c:dLbls>
        <c:gapWidth val="219"/>
        <c:overlap val="-27"/>
        <c:axId val="613085135"/>
        <c:axId val="613526655"/>
      </c:barChart>
      <c:catAx>
        <c:axId val="613085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3526655"/>
        <c:crosses val="autoZero"/>
        <c:auto val="1"/>
        <c:lblAlgn val="ctr"/>
        <c:lblOffset val="100"/>
        <c:noMultiLvlLbl val="0"/>
      </c:catAx>
      <c:valAx>
        <c:axId val="61352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3085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YCSB 120M 24B+100B KV</a:t>
            </a:r>
            <a:r>
              <a:rPr lang="zh-CN"/>
              <a:t>（单位</a:t>
            </a:r>
            <a:r>
              <a:rPr lang="en-US" altLang="zh-CN"/>
              <a:t>QPS</a:t>
            </a:r>
            <a:r>
              <a:rPr lang="zh-CN"/>
              <a:t>）</a:t>
            </a:r>
          </a:p>
        </c:rich>
      </c:tx>
      <c:layout>
        <c:manualLayout>
          <c:xMode val="edge"/>
          <c:yMode val="edge"/>
          <c:x val="0.1882769670670022"/>
          <c:y val="2.7090722991669071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041065728497204"/>
          <c:y val="0.12078704926984798"/>
          <c:w val="0.89019685039370078"/>
          <c:h val="0.70170455646407137"/>
        </c:manualLayout>
      </c:layout>
      <c:barChart>
        <c:barDir val="col"/>
        <c:grouping val="clustered"/>
        <c:varyColors val="0"/>
        <c:ser>
          <c:idx val="0"/>
          <c:order val="0"/>
          <c:tx>
            <c:strRef>
              <c:f>模拟测试YCSB版!$A$81</c:f>
              <c:strCache>
                <c:ptCount val="1"/>
                <c:pt idx="0">
                  <c:v>1q1b</c:v>
                </c:pt>
              </c:strCache>
            </c:strRef>
          </c:tx>
          <c:spPr>
            <a:solidFill>
              <a:schemeClr val="accent1"/>
            </a:solidFill>
            <a:ln>
              <a:noFill/>
            </a:ln>
            <a:effectLst/>
          </c:spPr>
          <c:invertIfNegative val="0"/>
          <c:cat>
            <c:strRef>
              <c:f>(模拟测试YCSB版!$B$80:$C$80,模拟测试YCSB版!$E$80,模拟测试YCSB版!$G$80,模拟测试YCSB版!$I$80,模拟测试YCSB版!$K$80,模拟测试YCSB版!$M$80)</c:f>
              <c:strCache>
                <c:ptCount val="7"/>
                <c:pt idx="0">
                  <c:v>load a</c:v>
                </c:pt>
                <c:pt idx="1">
                  <c:v>a</c:v>
                </c:pt>
                <c:pt idx="2">
                  <c:v>b</c:v>
                </c:pt>
                <c:pt idx="3">
                  <c:v>c</c:v>
                </c:pt>
                <c:pt idx="4">
                  <c:v>d</c:v>
                </c:pt>
                <c:pt idx="5">
                  <c:v>e</c:v>
                </c:pt>
                <c:pt idx="6">
                  <c:v>f</c:v>
                </c:pt>
              </c:strCache>
            </c:strRef>
          </c:cat>
          <c:val>
            <c:numRef>
              <c:f>(模拟测试YCSB版!$B$81:$C$81,模拟测试YCSB版!$E$81,模拟测试YCSB版!$G$81,模拟测试YCSB版!$I$81,模拟测试YCSB版!$K$81,模拟测试YCSB版!$M$81)</c:f>
              <c:numCache>
                <c:formatCode>General</c:formatCode>
                <c:ptCount val="7"/>
                <c:pt idx="0">
                  <c:v>268157</c:v>
                </c:pt>
                <c:pt idx="1">
                  <c:v>101023</c:v>
                </c:pt>
                <c:pt idx="2">
                  <c:v>90107</c:v>
                </c:pt>
                <c:pt idx="3">
                  <c:v>90271</c:v>
                </c:pt>
                <c:pt idx="4">
                  <c:v>139242</c:v>
                </c:pt>
                <c:pt idx="5">
                  <c:v>21679</c:v>
                </c:pt>
                <c:pt idx="6">
                  <c:v>90782</c:v>
                </c:pt>
              </c:numCache>
            </c:numRef>
          </c:val>
          <c:extLst>
            <c:ext xmlns:c16="http://schemas.microsoft.com/office/drawing/2014/chart" uri="{C3380CC4-5D6E-409C-BE32-E72D297353CC}">
              <c16:uniqueId val="{00000000-C1BF-4BE9-AE88-8C1FD4EF309A}"/>
            </c:ext>
          </c:extLst>
        </c:ser>
        <c:ser>
          <c:idx val="1"/>
          <c:order val="1"/>
          <c:tx>
            <c:strRef>
              <c:f>模拟测试YCSB版!$A$82</c:f>
              <c:strCache>
                <c:ptCount val="1"/>
                <c:pt idx="0">
                  <c:v>4q1b</c:v>
                </c:pt>
              </c:strCache>
            </c:strRef>
          </c:tx>
          <c:spPr>
            <a:solidFill>
              <a:schemeClr val="accent2"/>
            </a:solidFill>
            <a:ln>
              <a:noFill/>
            </a:ln>
            <a:effectLst/>
          </c:spPr>
          <c:invertIfNegative val="0"/>
          <c:cat>
            <c:strRef>
              <c:f>(模拟测试YCSB版!$B$80:$C$80,模拟测试YCSB版!$E$80,模拟测试YCSB版!$G$80,模拟测试YCSB版!$I$80,模拟测试YCSB版!$K$80,模拟测试YCSB版!$M$80)</c:f>
              <c:strCache>
                <c:ptCount val="7"/>
                <c:pt idx="0">
                  <c:v>load a</c:v>
                </c:pt>
                <c:pt idx="1">
                  <c:v>a</c:v>
                </c:pt>
                <c:pt idx="2">
                  <c:v>b</c:v>
                </c:pt>
                <c:pt idx="3">
                  <c:v>c</c:v>
                </c:pt>
                <c:pt idx="4">
                  <c:v>d</c:v>
                </c:pt>
                <c:pt idx="5">
                  <c:v>e</c:v>
                </c:pt>
                <c:pt idx="6">
                  <c:v>f</c:v>
                </c:pt>
              </c:strCache>
            </c:strRef>
          </c:cat>
          <c:val>
            <c:numRef>
              <c:f>(模拟测试YCSB版!$B$82:$C$82,模拟测试YCSB版!$E$82,模拟测试YCSB版!$G$82,模拟测试YCSB版!$I$82,模拟测试YCSB版!$K$82,模拟测试YCSB版!$M$82)</c:f>
              <c:numCache>
                <c:formatCode>General</c:formatCode>
                <c:ptCount val="7"/>
                <c:pt idx="0">
                  <c:v>800436</c:v>
                </c:pt>
                <c:pt idx="1">
                  <c:v>354107</c:v>
                </c:pt>
                <c:pt idx="2">
                  <c:v>322352</c:v>
                </c:pt>
                <c:pt idx="3">
                  <c:v>299626</c:v>
                </c:pt>
                <c:pt idx="4">
                  <c:v>488520</c:v>
                </c:pt>
                <c:pt idx="5">
                  <c:v>21830</c:v>
                </c:pt>
                <c:pt idx="6">
                  <c:v>320674</c:v>
                </c:pt>
              </c:numCache>
            </c:numRef>
          </c:val>
          <c:extLst>
            <c:ext xmlns:c16="http://schemas.microsoft.com/office/drawing/2014/chart" uri="{C3380CC4-5D6E-409C-BE32-E72D297353CC}">
              <c16:uniqueId val="{00000001-C1BF-4BE9-AE88-8C1FD4EF309A}"/>
            </c:ext>
          </c:extLst>
        </c:ser>
        <c:ser>
          <c:idx val="2"/>
          <c:order val="2"/>
          <c:tx>
            <c:strRef>
              <c:f>模拟测试YCSB版!$A$83</c:f>
              <c:strCache>
                <c:ptCount val="1"/>
                <c:pt idx="0">
                  <c:v>8q1b</c:v>
                </c:pt>
              </c:strCache>
            </c:strRef>
          </c:tx>
          <c:spPr>
            <a:solidFill>
              <a:schemeClr val="accent3"/>
            </a:solidFill>
            <a:ln>
              <a:noFill/>
            </a:ln>
            <a:effectLst/>
          </c:spPr>
          <c:invertIfNegative val="0"/>
          <c:cat>
            <c:strRef>
              <c:f>(模拟测试YCSB版!$B$80:$C$80,模拟测试YCSB版!$E$80,模拟测试YCSB版!$G$80,模拟测试YCSB版!$I$80,模拟测试YCSB版!$K$80,模拟测试YCSB版!$M$80)</c:f>
              <c:strCache>
                <c:ptCount val="7"/>
                <c:pt idx="0">
                  <c:v>load a</c:v>
                </c:pt>
                <c:pt idx="1">
                  <c:v>a</c:v>
                </c:pt>
                <c:pt idx="2">
                  <c:v>b</c:v>
                </c:pt>
                <c:pt idx="3">
                  <c:v>c</c:v>
                </c:pt>
                <c:pt idx="4">
                  <c:v>d</c:v>
                </c:pt>
                <c:pt idx="5">
                  <c:v>e</c:v>
                </c:pt>
                <c:pt idx="6">
                  <c:v>f</c:v>
                </c:pt>
              </c:strCache>
            </c:strRef>
          </c:cat>
          <c:val>
            <c:numRef>
              <c:f>(模拟测试YCSB版!$B$83:$C$83,模拟测试YCSB版!$E$83,模拟测试YCSB版!$G$83,模拟测试YCSB版!$I$83,模拟测试YCSB版!$K$83,模拟测试YCSB版!$M$83)</c:f>
              <c:numCache>
                <c:formatCode>General</c:formatCode>
                <c:ptCount val="7"/>
                <c:pt idx="0">
                  <c:v>1265968</c:v>
                </c:pt>
                <c:pt idx="1">
                  <c:v>568649</c:v>
                </c:pt>
                <c:pt idx="2">
                  <c:v>583201</c:v>
                </c:pt>
                <c:pt idx="3">
                  <c:v>524254</c:v>
                </c:pt>
                <c:pt idx="4">
                  <c:v>869170</c:v>
                </c:pt>
                <c:pt idx="5">
                  <c:v>20500</c:v>
                </c:pt>
                <c:pt idx="6">
                  <c:v>556511</c:v>
                </c:pt>
              </c:numCache>
            </c:numRef>
          </c:val>
          <c:extLst>
            <c:ext xmlns:c16="http://schemas.microsoft.com/office/drawing/2014/chart" uri="{C3380CC4-5D6E-409C-BE32-E72D297353CC}">
              <c16:uniqueId val="{00000002-C1BF-4BE9-AE88-8C1FD4EF309A}"/>
            </c:ext>
          </c:extLst>
        </c:ser>
        <c:ser>
          <c:idx val="4"/>
          <c:order val="3"/>
          <c:tx>
            <c:strRef>
              <c:f>模拟测试YCSB版!$A$85</c:f>
              <c:strCache>
                <c:ptCount val="1"/>
                <c:pt idx="0">
                  <c:v>1q32b</c:v>
                </c:pt>
              </c:strCache>
            </c:strRef>
          </c:tx>
          <c:spPr>
            <a:solidFill>
              <a:schemeClr val="accent5"/>
            </a:solidFill>
            <a:ln>
              <a:noFill/>
            </a:ln>
            <a:effectLst/>
          </c:spPr>
          <c:invertIfNegative val="0"/>
          <c:cat>
            <c:strRef>
              <c:f>(模拟测试YCSB版!$B$80:$C$80,模拟测试YCSB版!$E$80,模拟测试YCSB版!$G$80,模拟测试YCSB版!$I$80,模拟测试YCSB版!$K$80,模拟测试YCSB版!$M$80)</c:f>
              <c:strCache>
                <c:ptCount val="7"/>
                <c:pt idx="0">
                  <c:v>load a</c:v>
                </c:pt>
                <c:pt idx="1">
                  <c:v>a</c:v>
                </c:pt>
                <c:pt idx="2">
                  <c:v>b</c:v>
                </c:pt>
                <c:pt idx="3">
                  <c:v>c</c:v>
                </c:pt>
                <c:pt idx="4">
                  <c:v>d</c:v>
                </c:pt>
                <c:pt idx="5">
                  <c:v>e</c:v>
                </c:pt>
                <c:pt idx="6">
                  <c:v>f</c:v>
                </c:pt>
              </c:strCache>
            </c:strRef>
          </c:cat>
          <c:val>
            <c:numRef>
              <c:f>(模拟测试YCSB版!$B$85:$C$85,模拟测试YCSB版!$E$85,模拟测试YCSB版!$G$85,模拟测试YCSB版!$I$85,模拟测试YCSB版!$K$85,模拟测试YCSB版!$M$85)</c:f>
              <c:numCache>
                <c:formatCode>General</c:formatCode>
                <c:ptCount val="7"/>
                <c:pt idx="0">
                  <c:v>516885</c:v>
                </c:pt>
                <c:pt idx="1">
                  <c:v>333362</c:v>
                </c:pt>
                <c:pt idx="2">
                  <c:v>380844</c:v>
                </c:pt>
                <c:pt idx="3">
                  <c:v>434250</c:v>
                </c:pt>
                <c:pt idx="4">
                  <c:v>476581</c:v>
                </c:pt>
                <c:pt idx="5">
                  <c:v>22455</c:v>
                </c:pt>
                <c:pt idx="6">
                  <c:v>304603</c:v>
                </c:pt>
              </c:numCache>
            </c:numRef>
          </c:val>
          <c:extLst>
            <c:ext xmlns:c16="http://schemas.microsoft.com/office/drawing/2014/chart" uri="{C3380CC4-5D6E-409C-BE32-E72D297353CC}">
              <c16:uniqueId val="{00000006-C1BF-4BE9-AE88-8C1FD4EF309A}"/>
            </c:ext>
          </c:extLst>
        </c:ser>
        <c:ser>
          <c:idx val="5"/>
          <c:order val="4"/>
          <c:tx>
            <c:strRef>
              <c:f>模拟测试YCSB版!$A$86</c:f>
              <c:strCache>
                <c:ptCount val="1"/>
                <c:pt idx="0">
                  <c:v>4q32b</c:v>
                </c:pt>
              </c:strCache>
            </c:strRef>
          </c:tx>
          <c:spPr>
            <a:solidFill>
              <a:schemeClr val="accent6"/>
            </a:solidFill>
            <a:ln>
              <a:noFill/>
            </a:ln>
            <a:effectLst/>
          </c:spPr>
          <c:invertIfNegative val="0"/>
          <c:cat>
            <c:strRef>
              <c:f>(模拟测试YCSB版!$B$80:$C$80,模拟测试YCSB版!$E$80,模拟测试YCSB版!$G$80,模拟测试YCSB版!$I$80,模拟测试YCSB版!$K$80,模拟测试YCSB版!$M$80)</c:f>
              <c:strCache>
                <c:ptCount val="7"/>
                <c:pt idx="0">
                  <c:v>load a</c:v>
                </c:pt>
                <c:pt idx="1">
                  <c:v>a</c:v>
                </c:pt>
                <c:pt idx="2">
                  <c:v>b</c:v>
                </c:pt>
                <c:pt idx="3">
                  <c:v>c</c:v>
                </c:pt>
                <c:pt idx="4">
                  <c:v>d</c:v>
                </c:pt>
                <c:pt idx="5">
                  <c:v>e</c:v>
                </c:pt>
                <c:pt idx="6">
                  <c:v>f</c:v>
                </c:pt>
              </c:strCache>
            </c:strRef>
          </c:cat>
          <c:val>
            <c:numRef>
              <c:f>(模拟测试YCSB版!$B$86:$C$86,模拟测试YCSB版!$E$86,模拟测试YCSB版!$G$86,模拟测试YCSB版!$I$86,模拟测试YCSB版!$K$86,模拟测试YCSB版!$M$86)</c:f>
              <c:numCache>
                <c:formatCode>General</c:formatCode>
                <c:ptCount val="7"/>
                <c:pt idx="0">
                  <c:v>1464469</c:v>
                </c:pt>
                <c:pt idx="1">
                  <c:v>853459</c:v>
                </c:pt>
                <c:pt idx="2">
                  <c:v>1046370</c:v>
                </c:pt>
                <c:pt idx="3">
                  <c:v>854836</c:v>
                </c:pt>
                <c:pt idx="4">
                  <c:v>1038699</c:v>
                </c:pt>
                <c:pt idx="5">
                  <c:v>23528</c:v>
                </c:pt>
                <c:pt idx="6">
                  <c:v>854867</c:v>
                </c:pt>
              </c:numCache>
            </c:numRef>
          </c:val>
          <c:extLst>
            <c:ext xmlns:c16="http://schemas.microsoft.com/office/drawing/2014/chart" uri="{C3380CC4-5D6E-409C-BE32-E72D297353CC}">
              <c16:uniqueId val="{00000007-C1BF-4BE9-AE88-8C1FD4EF309A}"/>
            </c:ext>
          </c:extLst>
        </c:ser>
        <c:ser>
          <c:idx val="6"/>
          <c:order val="5"/>
          <c:tx>
            <c:strRef>
              <c:f>模拟测试YCSB版!$A$87</c:f>
              <c:strCache>
                <c:ptCount val="1"/>
                <c:pt idx="0">
                  <c:v>8q32b</c:v>
                </c:pt>
              </c:strCache>
            </c:strRef>
          </c:tx>
          <c:spPr>
            <a:solidFill>
              <a:schemeClr val="accent1">
                <a:lumMod val="60000"/>
              </a:schemeClr>
            </a:solidFill>
            <a:ln>
              <a:noFill/>
            </a:ln>
            <a:effectLst/>
          </c:spPr>
          <c:invertIfNegative val="0"/>
          <c:cat>
            <c:strRef>
              <c:f>(模拟测试YCSB版!$B$80:$C$80,模拟测试YCSB版!$E$80,模拟测试YCSB版!$G$80,模拟测试YCSB版!$I$80,模拟测试YCSB版!$K$80,模拟测试YCSB版!$M$80)</c:f>
              <c:strCache>
                <c:ptCount val="7"/>
                <c:pt idx="0">
                  <c:v>load a</c:v>
                </c:pt>
                <c:pt idx="1">
                  <c:v>a</c:v>
                </c:pt>
                <c:pt idx="2">
                  <c:v>b</c:v>
                </c:pt>
                <c:pt idx="3">
                  <c:v>c</c:v>
                </c:pt>
                <c:pt idx="4">
                  <c:v>d</c:v>
                </c:pt>
                <c:pt idx="5">
                  <c:v>e</c:v>
                </c:pt>
                <c:pt idx="6">
                  <c:v>f</c:v>
                </c:pt>
              </c:strCache>
            </c:strRef>
          </c:cat>
          <c:val>
            <c:numRef>
              <c:f>(模拟测试YCSB版!$B$87:$C$87,模拟测试YCSB版!$E$87,模拟测试YCSB版!$G$87,模拟测试YCSB版!$I$87,模拟测试YCSB版!$K$87,模拟测试YCSB版!$M$87)</c:f>
              <c:numCache>
                <c:formatCode>General</c:formatCode>
                <c:ptCount val="7"/>
                <c:pt idx="0">
                  <c:v>2536101</c:v>
                </c:pt>
                <c:pt idx="1">
                  <c:v>1058139</c:v>
                </c:pt>
                <c:pt idx="2">
                  <c:v>1299439</c:v>
                </c:pt>
                <c:pt idx="3">
                  <c:v>1243711</c:v>
                </c:pt>
                <c:pt idx="4">
                  <c:v>1424581</c:v>
                </c:pt>
                <c:pt idx="5">
                  <c:v>21439</c:v>
                </c:pt>
                <c:pt idx="6">
                  <c:v>1282772</c:v>
                </c:pt>
              </c:numCache>
            </c:numRef>
          </c:val>
          <c:extLst>
            <c:ext xmlns:c16="http://schemas.microsoft.com/office/drawing/2014/chart" uri="{C3380CC4-5D6E-409C-BE32-E72D297353CC}">
              <c16:uniqueId val="{00000008-C1BF-4BE9-AE88-8C1FD4EF309A}"/>
            </c:ext>
          </c:extLst>
        </c:ser>
        <c:dLbls>
          <c:showLegendKey val="0"/>
          <c:showVal val="0"/>
          <c:showCatName val="0"/>
          <c:showSerName val="0"/>
          <c:showPercent val="0"/>
          <c:showBubbleSize val="0"/>
        </c:dLbls>
        <c:gapWidth val="219"/>
        <c:overlap val="-27"/>
        <c:axId val="1543425696"/>
        <c:axId val="1539395744"/>
      </c:barChart>
      <c:catAx>
        <c:axId val="154342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1539395744"/>
        <c:crosses val="autoZero"/>
        <c:auto val="1"/>
        <c:lblAlgn val="ctr"/>
        <c:lblOffset val="100"/>
        <c:noMultiLvlLbl val="0"/>
      </c:catAx>
      <c:valAx>
        <c:axId val="153939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1543425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zh-CN"/>
    </a:p>
  </c:txPr>
  <c:printSettings>
    <c:headerFooter/>
    <c:pageMargins b="0.75" l="0.7" r="0.7" t="0.75" header="0.3" footer="0.3"/>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KQPS of YCSB workloads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模拟测试YCSB版!$A$224</c:f>
              <c:strCache>
                <c:ptCount val="1"/>
                <c:pt idx="0">
                  <c:v>RocksDB-4</c:v>
                </c:pt>
              </c:strCache>
            </c:strRef>
          </c:tx>
          <c:spPr>
            <a:solidFill>
              <a:schemeClr val="accent1"/>
            </a:solidFill>
            <a:ln>
              <a:noFill/>
            </a:ln>
            <a:effectLst/>
          </c:spPr>
          <c:invertIfNegative val="0"/>
          <c:cat>
            <c:strRef>
              <c:f>(模拟测试YCSB版!$B$223:$C$223,模拟测试YCSB版!$E$223,模拟测试YCSB版!$G$223,模拟测试YCSB版!$I$223,模拟测试YCSB版!$K$223,模拟测试YCSB版!$M$223)</c:f>
              <c:strCache>
                <c:ptCount val="7"/>
                <c:pt idx="0">
                  <c:v>load a</c:v>
                </c:pt>
                <c:pt idx="1">
                  <c:v>a</c:v>
                </c:pt>
                <c:pt idx="2">
                  <c:v>b</c:v>
                </c:pt>
                <c:pt idx="3">
                  <c:v>c</c:v>
                </c:pt>
                <c:pt idx="4">
                  <c:v>d</c:v>
                </c:pt>
                <c:pt idx="5">
                  <c:v>e</c:v>
                </c:pt>
                <c:pt idx="6">
                  <c:v>f</c:v>
                </c:pt>
              </c:strCache>
            </c:strRef>
          </c:cat>
          <c:val>
            <c:numRef>
              <c:f>(模拟测试YCSB版!$B$224:$C$224,模拟测试YCSB版!$E$224,模拟测试YCSB版!$G$224,模拟测试YCSB版!$I$224,模拟测试YCSB版!$K$224,模拟测试YCSB版!$M$224)</c:f>
              <c:numCache>
                <c:formatCode>General</c:formatCode>
                <c:ptCount val="7"/>
                <c:pt idx="0">
                  <c:v>337</c:v>
                </c:pt>
                <c:pt idx="1">
                  <c:v>291</c:v>
                </c:pt>
                <c:pt idx="2">
                  <c:v>354</c:v>
                </c:pt>
                <c:pt idx="3">
                  <c:v>350</c:v>
                </c:pt>
                <c:pt idx="4">
                  <c:v>497</c:v>
                </c:pt>
                <c:pt idx="5">
                  <c:v>27</c:v>
                </c:pt>
                <c:pt idx="6">
                  <c:v>324</c:v>
                </c:pt>
              </c:numCache>
            </c:numRef>
          </c:val>
          <c:extLst>
            <c:ext xmlns:c16="http://schemas.microsoft.com/office/drawing/2014/chart" uri="{C3380CC4-5D6E-409C-BE32-E72D297353CC}">
              <c16:uniqueId val="{00000000-084B-4F6D-AB2E-26C0CCCB6BE8}"/>
            </c:ext>
          </c:extLst>
        </c:ser>
        <c:ser>
          <c:idx val="1"/>
          <c:order val="1"/>
          <c:tx>
            <c:strRef>
              <c:f>模拟测试YCSB版!$A$225</c:f>
              <c:strCache>
                <c:ptCount val="1"/>
                <c:pt idx="0">
                  <c:v>PebblesDB-4</c:v>
                </c:pt>
              </c:strCache>
            </c:strRef>
          </c:tx>
          <c:spPr>
            <a:solidFill>
              <a:schemeClr val="accent2"/>
            </a:solidFill>
            <a:ln>
              <a:noFill/>
            </a:ln>
            <a:effectLst/>
          </c:spPr>
          <c:invertIfNegative val="0"/>
          <c:cat>
            <c:strRef>
              <c:f>(模拟测试YCSB版!$B$223:$C$223,模拟测试YCSB版!$E$223,模拟测试YCSB版!$G$223,模拟测试YCSB版!$I$223,模拟测试YCSB版!$K$223,模拟测试YCSB版!$M$223)</c:f>
              <c:strCache>
                <c:ptCount val="7"/>
                <c:pt idx="0">
                  <c:v>load a</c:v>
                </c:pt>
                <c:pt idx="1">
                  <c:v>a</c:v>
                </c:pt>
                <c:pt idx="2">
                  <c:v>b</c:v>
                </c:pt>
                <c:pt idx="3">
                  <c:v>c</c:v>
                </c:pt>
                <c:pt idx="4">
                  <c:v>d</c:v>
                </c:pt>
                <c:pt idx="5">
                  <c:v>e</c:v>
                </c:pt>
                <c:pt idx="6">
                  <c:v>f</c:v>
                </c:pt>
              </c:strCache>
            </c:strRef>
          </c:cat>
          <c:val>
            <c:numRef>
              <c:f>(模拟测试YCSB版!$B$225:$C$225,模拟测试YCSB版!$E$225,模拟测试YCSB版!$G$225,模拟测试YCSB版!$I$225,模拟测试YCSB版!$K$225,模拟测试YCSB版!$M$225)</c:f>
              <c:numCache>
                <c:formatCode>General</c:formatCode>
                <c:ptCount val="7"/>
                <c:pt idx="0">
                  <c:v>134</c:v>
                </c:pt>
                <c:pt idx="1">
                  <c:v>179</c:v>
                </c:pt>
                <c:pt idx="2">
                  <c:v>149</c:v>
                </c:pt>
                <c:pt idx="3">
                  <c:v>117</c:v>
                </c:pt>
                <c:pt idx="4">
                  <c:v>295</c:v>
                </c:pt>
                <c:pt idx="5">
                  <c:v>7</c:v>
                </c:pt>
                <c:pt idx="6">
                  <c:v>178</c:v>
                </c:pt>
              </c:numCache>
            </c:numRef>
          </c:val>
          <c:extLst>
            <c:ext xmlns:c16="http://schemas.microsoft.com/office/drawing/2014/chart" uri="{C3380CC4-5D6E-409C-BE32-E72D297353CC}">
              <c16:uniqueId val="{00000001-084B-4F6D-AB2E-26C0CCCB6BE8}"/>
            </c:ext>
          </c:extLst>
        </c:ser>
        <c:ser>
          <c:idx val="2"/>
          <c:order val="2"/>
          <c:tx>
            <c:strRef>
              <c:f>模拟测试YCSB版!$A$226</c:f>
              <c:strCache>
                <c:ptCount val="1"/>
                <c:pt idx="0">
                  <c:v>pKV-4</c:v>
                </c:pt>
              </c:strCache>
            </c:strRef>
          </c:tx>
          <c:spPr>
            <a:solidFill>
              <a:schemeClr val="accent3"/>
            </a:solidFill>
            <a:ln>
              <a:noFill/>
            </a:ln>
            <a:effectLst/>
          </c:spPr>
          <c:invertIfNegative val="0"/>
          <c:cat>
            <c:strRef>
              <c:f>(模拟测试YCSB版!$B$223:$C$223,模拟测试YCSB版!$E$223,模拟测试YCSB版!$G$223,模拟测试YCSB版!$I$223,模拟测试YCSB版!$K$223,模拟测试YCSB版!$M$223)</c:f>
              <c:strCache>
                <c:ptCount val="7"/>
                <c:pt idx="0">
                  <c:v>load a</c:v>
                </c:pt>
                <c:pt idx="1">
                  <c:v>a</c:v>
                </c:pt>
                <c:pt idx="2">
                  <c:v>b</c:v>
                </c:pt>
                <c:pt idx="3">
                  <c:v>c</c:v>
                </c:pt>
                <c:pt idx="4">
                  <c:v>d</c:v>
                </c:pt>
                <c:pt idx="5">
                  <c:v>e</c:v>
                </c:pt>
                <c:pt idx="6">
                  <c:v>f</c:v>
                </c:pt>
              </c:strCache>
            </c:strRef>
          </c:cat>
          <c:val>
            <c:numRef>
              <c:f>(模拟测试YCSB版!$B$226:$C$226,模拟测试YCSB版!$E$226,模拟测试YCSB版!$G$226,模拟测试YCSB版!$I$226,模拟测试YCSB版!$K$226,模拟测试YCSB版!$M$226)</c:f>
              <c:numCache>
                <c:formatCode>General</c:formatCode>
                <c:ptCount val="7"/>
                <c:pt idx="0">
                  <c:v>1857</c:v>
                </c:pt>
                <c:pt idx="1">
                  <c:v>843</c:v>
                </c:pt>
                <c:pt idx="2">
                  <c:v>917</c:v>
                </c:pt>
                <c:pt idx="3">
                  <c:v>932</c:v>
                </c:pt>
                <c:pt idx="4">
                  <c:v>1273</c:v>
                </c:pt>
                <c:pt idx="5">
                  <c:v>31</c:v>
                </c:pt>
                <c:pt idx="6">
                  <c:v>906</c:v>
                </c:pt>
              </c:numCache>
            </c:numRef>
          </c:val>
          <c:extLst>
            <c:ext xmlns:c16="http://schemas.microsoft.com/office/drawing/2014/chart" uri="{C3380CC4-5D6E-409C-BE32-E72D297353CC}">
              <c16:uniqueId val="{00000002-084B-4F6D-AB2E-26C0CCCB6BE8}"/>
            </c:ext>
          </c:extLst>
        </c:ser>
        <c:ser>
          <c:idx val="3"/>
          <c:order val="3"/>
          <c:tx>
            <c:strRef>
              <c:f>模拟测试YCSB版!$A$227</c:f>
              <c:strCache>
                <c:ptCount val="1"/>
                <c:pt idx="0">
                  <c:v>RocksDB-8</c:v>
                </c:pt>
              </c:strCache>
            </c:strRef>
          </c:tx>
          <c:spPr>
            <a:solidFill>
              <a:schemeClr val="accent4"/>
            </a:solidFill>
            <a:ln>
              <a:noFill/>
            </a:ln>
            <a:effectLst/>
          </c:spPr>
          <c:invertIfNegative val="0"/>
          <c:cat>
            <c:strRef>
              <c:f>(模拟测试YCSB版!$B$223:$C$223,模拟测试YCSB版!$E$223,模拟测试YCSB版!$G$223,模拟测试YCSB版!$I$223,模拟测试YCSB版!$K$223,模拟测试YCSB版!$M$223)</c:f>
              <c:strCache>
                <c:ptCount val="7"/>
                <c:pt idx="0">
                  <c:v>load a</c:v>
                </c:pt>
                <c:pt idx="1">
                  <c:v>a</c:v>
                </c:pt>
                <c:pt idx="2">
                  <c:v>b</c:v>
                </c:pt>
                <c:pt idx="3">
                  <c:v>c</c:v>
                </c:pt>
                <c:pt idx="4">
                  <c:v>d</c:v>
                </c:pt>
                <c:pt idx="5">
                  <c:v>e</c:v>
                </c:pt>
                <c:pt idx="6">
                  <c:v>f</c:v>
                </c:pt>
              </c:strCache>
            </c:strRef>
          </c:cat>
          <c:val>
            <c:numRef>
              <c:f>(模拟测试YCSB版!$B$227:$C$227,模拟测试YCSB版!$E$227,模拟测试YCSB版!$G$227,模拟测试YCSB版!$I$227,模拟测试YCSB版!$K$227,模拟测试YCSB版!$M$227)</c:f>
              <c:numCache>
                <c:formatCode>General</c:formatCode>
                <c:ptCount val="7"/>
                <c:pt idx="0">
                  <c:v>509</c:v>
                </c:pt>
                <c:pt idx="1">
                  <c:v>465</c:v>
                </c:pt>
                <c:pt idx="2">
                  <c:v>600</c:v>
                </c:pt>
                <c:pt idx="3">
                  <c:v>602</c:v>
                </c:pt>
                <c:pt idx="4">
                  <c:v>825</c:v>
                </c:pt>
                <c:pt idx="5">
                  <c:v>27</c:v>
                </c:pt>
                <c:pt idx="6">
                  <c:v>569</c:v>
                </c:pt>
              </c:numCache>
            </c:numRef>
          </c:val>
          <c:extLst>
            <c:ext xmlns:c16="http://schemas.microsoft.com/office/drawing/2014/chart" uri="{C3380CC4-5D6E-409C-BE32-E72D297353CC}">
              <c16:uniqueId val="{00000003-084B-4F6D-AB2E-26C0CCCB6BE8}"/>
            </c:ext>
          </c:extLst>
        </c:ser>
        <c:ser>
          <c:idx val="4"/>
          <c:order val="4"/>
          <c:tx>
            <c:strRef>
              <c:f>模拟测试YCSB版!$A$228</c:f>
              <c:strCache>
                <c:ptCount val="1"/>
                <c:pt idx="0">
                  <c:v>PebblesDB-8</c:v>
                </c:pt>
              </c:strCache>
            </c:strRef>
          </c:tx>
          <c:spPr>
            <a:solidFill>
              <a:schemeClr val="accent5"/>
            </a:solidFill>
            <a:ln>
              <a:noFill/>
            </a:ln>
            <a:effectLst/>
          </c:spPr>
          <c:invertIfNegative val="0"/>
          <c:cat>
            <c:strRef>
              <c:f>(模拟测试YCSB版!$B$223:$C$223,模拟测试YCSB版!$E$223,模拟测试YCSB版!$G$223,模拟测试YCSB版!$I$223,模拟测试YCSB版!$K$223,模拟测试YCSB版!$M$223)</c:f>
              <c:strCache>
                <c:ptCount val="7"/>
                <c:pt idx="0">
                  <c:v>load a</c:v>
                </c:pt>
                <c:pt idx="1">
                  <c:v>a</c:v>
                </c:pt>
                <c:pt idx="2">
                  <c:v>b</c:v>
                </c:pt>
                <c:pt idx="3">
                  <c:v>c</c:v>
                </c:pt>
                <c:pt idx="4">
                  <c:v>d</c:v>
                </c:pt>
                <c:pt idx="5">
                  <c:v>e</c:v>
                </c:pt>
                <c:pt idx="6">
                  <c:v>f</c:v>
                </c:pt>
              </c:strCache>
            </c:strRef>
          </c:cat>
          <c:val>
            <c:numRef>
              <c:f>(模拟测试YCSB版!$B$228:$C$228,模拟测试YCSB版!$E$228,模拟测试YCSB版!$G$228,模拟测试YCSB版!$I$228,模拟测试YCSB版!$K$228,模拟测试YCSB版!$M$228)</c:f>
              <c:numCache>
                <c:formatCode>General</c:formatCode>
                <c:ptCount val="7"/>
                <c:pt idx="0">
                  <c:v>151</c:v>
                </c:pt>
                <c:pt idx="1">
                  <c:v>192</c:v>
                </c:pt>
                <c:pt idx="2">
                  <c:v>295</c:v>
                </c:pt>
                <c:pt idx="3">
                  <c:v>244</c:v>
                </c:pt>
                <c:pt idx="4">
                  <c:v>445</c:v>
                </c:pt>
                <c:pt idx="5">
                  <c:v>7</c:v>
                </c:pt>
                <c:pt idx="6">
                  <c:v>247</c:v>
                </c:pt>
              </c:numCache>
            </c:numRef>
          </c:val>
          <c:extLst>
            <c:ext xmlns:c16="http://schemas.microsoft.com/office/drawing/2014/chart" uri="{C3380CC4-5D6E-409C-BE32-E72D297353CC}">
              <c16:uniqueId val="{00000000-7EB5-4C35-A447-95DCA02575EF}"/>
            </c:ext>
          </c:extLst>
        </c:ser>
        <c:ser>
          <c:idx val="5"/>
          <c:order val="5"/>
          <c:tx>
            <c:strRef>
              <c:f>模拟测试YCSB版!$A$229</c:f>
              <c:strCache>
                <c:ptCount val="1"/>
                <c:pt idx="0">
                  <c:v>pKV-8</c:v>
                </c:pt>
              </c:strCache>
            </c:strRef>
          </c:tx>
          <c:spPr>
            <a:solidFill>
              <a:schemeClr val="accent6"/>
            </a:solidFill>
            <a:ln>
              <a:noFill/>
            </a:ln>
            <a:effectLst/>
          </c:spPr>
          <c:invertIfNegative val="0"/>
          <c:cat>
            <c:strRef>
              <c:f>(模拟测试YCSB版!$B$223:$C$223,模拟测试YCSB版!$E$223,模拟测试YCSB版!$G$223,模拟测试YCSB版!$I$223,模拟测试YCSB版!$K$223,模拟测试YCSB版!$M$223)</c:f>
              <c:strCache>
                <c:ptCount val="7"/>
                <c:pt idx="0">
                  <c:v>load a</c:v>
                </c:pt>
                <c:pt idx="1">
                  <c:v>a</c:v>
                </c:pt>
                <c:pt idx="2">
                  <c:v>b</c:v>
                </c:pt>
                <c:pt idx="3">
                  <c:v>c</c:v>
                </c:pt>
                <c:pt idx="4">
                  <c:v>d</c:v>
                </c:pt>
                <c:pt idx="5">
                  <c:v>e</c:v>
                </c:pt>
                <c:pt idx="6">
                  <c:v>f</c:v>
                </c:pt>
              </c:strCache>
            </c:strRef>
          </c:cat>
          <c:val>
            <c:numRef>
              <c:f>(模拟测试YCSB版!$B$229:$C$229,模拟测试YCSB版!$E$229,模拟测试YCSB版!$G$229,模拟测试YCSB版!$I$229,模拟测试YCSB版!$K$229,模拟测试YCSB版!$M$229)</c:f>
              <c:numCache>
                <c:formatCode>General</c:formatCode>
                <c:ptCount val="7"/>
                <c:pt idx="0">
                  <c:v>3189</c:v>
                </c:pt>
                <c:pt idx="1">
                  <c:v>1274</c:v>
                </c:pt>
                <c:pt idx="2">
                  <c:v>1230</c:v>
                </c:pt>
                <c:pt idx="3">
                  <c:v>1253</c:v>
                </c:pt>
                <c:pt idx="4">
                  <c:v>1396</c:v>
                </c:pt>
                <c:pt idx="5">
                  <c:v>33</c:v>
                </c:pt>
                <c:pt idx="6">
                  <c:v>1422</c:v>
                </c:pt>
              </c:numCache>
            </c:numRef>
          </c:val>
          <c:extLst>
            <c:ext xmlns:c16="http://schemas.microsoft.com/office/drawing/2014/chart" uri="{C3380CC4-5D6E-409C-BE32-E72D297353CC}">
              <c16:uniqueId val="{00000001-7EB5-4C35-A447-95DCA02575EF}"/>
            </c:ext>
          </c:extLst>
        </c:ser>
        <c:dLbls>
          <c:showLegendKey val="0"/>
          <c:showVal val="0"/>
          <c:showCatName val="0"/>
          <c:showSerName val="0"/>
          <c:showPercent val="0"/>
          <c:showBubbleSize val="0"/>
        </c:dLbls>
        <c:gapWidth val="219"/>
        <c:overlap val="-27"/>
        <c:axId val="1195673168"/>
        <c:axId val="1348160432"/>
      </c:barChart>
      <c:catAx>
        <c:axId val="119567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1348160432"/>
        <c:crosses val="autoZero"/>
        <c:auto val="1"/>
        <c:lblAlgn val="ctr"/>
        <c:lblOffset val="100"/>
        <c:noMultiLvlLbl val="0"/>
      </c:catAx>
      <c:valAx>
        <c:axId val="134816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crossAx val="1195673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zh-CN"/>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ltLang="zh-CN"/>
              <a:t>QPS of pKVS under YCSB workloads</a:t>
            </a:r>
            <a:r>
              <a:rPr lang="en-US" altLang="zh-CN" baseline="0"/>
              <a:t> on Flash-based Samsung 980pro</a:t>
            </a:r>
            <a:endParaRPr lang="zh-CN"/>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模拟测试YCSB版!$A$170</c:f>
              <c:strCache>
                <c:ptCount val="1"/>
                <c:pt idx="0">
                  <c:v>1q1b</c:v>
                </c:pt>
              </c:strCache>
            </c:strRef>
          </c:tx>
          <c:spPr>
            <a:solidFill>
              <a:schemeClr val="accent1"/>
            </a:solidFill>
            <a:ln>
              <a:noFill/>
            </a:ln>
            <a:effectLst/>
          </c:spPr>
          <c:invertIfNegative val="0"/>
          <c:cat>
            <c:strRef>
              <c:f>(模拟测试YCSB版!$B$169:$C$169,模拟测试YCSB版!$E$169,模拟测试YCSB版!$G$169,模拟测试YCSB版!$I$169,模拟测试YCSB版!$K$169,模拟测试YCSB版!$M$169)</c:f>
              <c:strCache>
                <c:ptCount val="7"/>
                <c:pt idx="0">
                  <c:v>load a</c:v>
                </c:pt>
                <c:pt idx="1">
                  <c:v>a</c:v>
                </c:pt>
                <c:pt idx="2">
                  <c:v>b</c:v>
                </c:pt>
                <c:pt idx="3">
                  <c:v>c</c:v>
                </c:pt>
                <c:pt idx="4">
                  <c:v>d</c:v>
                </c:pt>
                <c:pt idx="5">
                  <c:v>e</c:v>
                </c:pt>
                <c:pt idx="6">
                  <c:v>f</c:v>
                </c:pt>
              </c:strCache>
            </c:strRef>
          </c:cat>
          <c:val>
            <c:numRef>
              <c:f>(模拟测试YCSB版!$B$170:$C$170,模拟测试YCSB版!$E$170,模拟测试YCSB版!$G$170,模拟测试YCSB版!$I$170,模拟测试YCSB版!$K$170,模拟测试YCSB版!$M$170)</c:f>
              <c:numCache>
                <c:formatCode>General</c:formatCode>
                <c:ptCount val="7"/>
                <c:pt idx="0">
                  <c:v>279062</c:v>
                </c:pt>
                <c:pt idx="1">
                  <c:v>33261</c:v>
                </c:pt>
                <c:pt idx="2">
                  <c:v>20436</c:v>
                </c:pt>
                <c:pt idx="3">
                  <c:v>15808</c:v>
                </c:pt>
                <c:pt idx="4">
                  <c:v>28667</c:v>
                </c:pt>
                <c:pt idx="5">
                  <c:v>10490</c:v>
                </c:pt>
                <c:pt idx="6">
                  <c:v>25996</c:v>
                </c:pt>
              </c:numCache>
            </c:numRef>
          </c:val>
          <c:extLst>
            <c:ext xmlns:c16="http://schemas.microsoft.com/office/drawing/2014/chart" uri="{C3380CC4-5D6E-409C-BE32-E72D297353CC}">
              <c16:uniqueId val="{00000000-D449-4B47-B4AF-B711D8A1B3EA}"/>
            </c:ext>
          </c:extLst>
        </c:ser>
        <c:ser>
          <c:idx val="1"/>
          <c:order val="1"/>
          <c:tx>
            <c:strRef>
              <c:f>模拟测试YCSB版!$A$171</c:f>
              <c:strCache>
                <c:ptCount val="1"/>
                <c:pt idx="0">
                  <c:v>4q1b</c:v>
                </c:pt>
              </c:strCache>
            </c:strRef>
          </c:tx>
          <c:spPr>
            <a:solidFill>
              <a:schemeClr val="accent2"/>
            </a:solidFill>
            <a:ln>
              <a:noFill/>
            </a:ln>
            <a:effectLst/>
          </c:spPr>
          <c:invertIfNegative val="0"/>
          <c:cat>
            <c:strRef>
              <c:f>(模拟测试YCSB版!$B$169:$C$169,模拟测试YCSB版!$E$169,模拟测试YCSB版!$G$169,模拟测试YCSB版!$I$169,模拟测试YCSB版!$K$169,模拟测试YCSB版!$M$169)</c:f>
              <c:strCache>
                <c:ptCount val="7"/>
                <c:pt idx="0">
                  <c:v>load a</c:v>
                </c:pt>
                <c:pt idx="1">
                  <c:v>a</c:v>
                </c:pt>
                <c:pt idx="2">
                  <c:v>b</c:v>
                </c:pt>
                <c:pt idx="3">
                  <c:v>c</c:v>
                </c:pt>
                <c:pt idx="4">
                  <c:v>d</c:v>
                </c:pt>
                <c:pt idx="5">
                  <c:v>e</c:v>
                </c:pt>
                <c:pt idx="6">
                  <c:v>f</c:v>
                </c:pt>
              </c:strCache>
            </c:strRef>
          </c:cat>
          <c:val>
            <c:numRef>
              <c:f>(模拟测试YCSB版!$B$171:$C$171,模拟测试YCSB版!$E$171,模拟测试YCSB版!$G$171,模拟测试YCSB版!$I$171,模拟测试YCSB版!$K$171,模拟测试YCSB版!$M$171)</c:f>
              <c:numCache>
                <c:formatCode>General</c:formatCode>
                <c:ptCount val="7"/>
                <c:pt idx="0">
                  <c:v>719996</c:v>
                </c:pt>
                <c:pt idx="1">
                  <c:v>123074</c:v>
                </c:pt>
                <c:pt idx="2">
                  <c:v>80926</c:v>
                </c:pt>
                <c:pt idx="3">
                  <c:v>58112</c:v>
                </c:pt>
                <c:pt idx="4">
                  <c:v>121624</c:v>
                </c:pt>
                <c:pt idx="5">
                  <c:v>13004</c:v>
                </c:pt>
                <c:pt idx="6">
                  <c:v>100548</c:v>
                </c:pt>
              </c:numCache>
            </c:numRef>
          </c:val>
          <c:extLst>
            <c:ext xmlns:c16="http://schemas.microsoft.com/office/drawing/2014/chart" uri="{C3380CC4-5D6E-409C-BE32-E72D297353CC}">
              <c16:uniqueId val="{00000001-D449-4B47-B4AF-B711D8A1B3EA}"/>
            </c:ext>
          </c:extLst>
        </c:ser>
        <c:ser>
          <c:idx val="2"/>
          <c:order val="2"/>
          <c:tx>
            <c:strRef>
              <c:f>模拟测试YCSB版!$A$172</c:f>
              <c:strCache>
                <c:ptCount val="1"/>
                <c:pt idx="0">
                  <c:v>8q1b</c:v>
                </c:pt>
              </c:strCache>
            </c:strRef>
          </c:tx>
          <c:spPr>
            <a:solidFill>
              <a:schemeClr val="accent3"/>
            </a:solidFill>
            <a:ln>
              <a:noFill/>
            </a:ln>
            <a:effectLst/>
          </c:spPr>
          <c:invertIfNegative val="0"/>
          <c:cat>
            <c:strRef>
              <c:f>(模拟测试YCSB版!$B$169:$C$169,模拟测试YCSB版!$E$169,模拟测试YCSB版!$G$169,模拟测试YCSB版!$I$169,模拟测试YCSB版!$K$169,模拟测试YCSB版!$M$169)</c:f>
              <c:strCache>
                <c:ptCount val="7"/>
                <c:pt idx="0">
                  <c:v>load a</c:v>
                </c:pt>
                <c:pt idx="1">
                  <c:v>a</c:v>
                </c:pt>
                <c:pt idx="2">
                  <c:v>b</c:v>
                </c:pt>
                <c:pt idx="3">
                  <c:v>c</c:v>
                </c:pt>
                <c:pt idx="4">
                  <c:v>d</c:v>
                </c:pt>
                <c:pt idx="5">
                  <c:v>e</c:v>
                </c:pt>
                <c:pt idx="6">
                  <c:v>f</c:v>
                </c:pt>
              </c:strCache>
            </c:strRef>
          </c:cat>
          <c:val>
            <c:numRef>
              <c:f>(模拟测试YCSB版!$B$172:$C$172,模拟测试YCSB版!$E$172,模拟测试YCSB版!$G$172,模拟测试YCSB版!$I$172,模拟测试YCSB版!$K$172,模拟测试YCSB版!$M$172)</c:f>
              <c:numCache>
                <c:formatCode>General</c:formatCode>
                <c:ptCount val="7"/>
                <c:pt idx="0">
                  <c:v>1159733</c:v>
                </c:pt>
                <c:pt idx="1">
                  <c:v>208280</c:v>
                </c:pt>
                <c:pt idx="2">
                  <c:v>143821</c:v>
                </c:pt>
                <c:pt idx="3">
                  <c:v>100443</c:v>
                </c:pt>
                <c:pt idx="4">
                  <c:v>215906</c:v>
                </c:pt>
                <c:pt idx="5">
                  <c:v>11528</c:v>
                </c:pt>
                <c:pt idx="6">
                  <c:v>174373</c:v>
                </c:pt>
              </c:numCache>
            </c:numRef>
          </c:val>
          <c:extLst>
            <c:ext xmlns:c16="http://schemas.microsoft.com/office/drawing/2014/chart" uri="{C3380CC4-5D6E-409C-BE32-E72D297353CC}">
              <c16:uniqueId val="{00000002-D449-4B47-B4AF-B711D8A1B3EA}"/>
            </c:ext>
          </c:extLst>
        </c:ser>
        <c:ser>
          <c:idx val="3"/>
          <c:order val="3"/>
          <c:tx>
            <c:strRef>
              <c:f>模拟测试YCSB版!$A$173</c:f>
              <c:strCache>
                <c:ptCount val="1"/>
                <c:pt idx="0">
                  <c:v>1q32b</c:v>
                </c:pt>
              </c:strCache>
            </c:strRef>
          </c:tx>
          <c:spPr>
            <a:solidFill>
              <a:schemeClr val="accent4"/>
            </a:solidFill>
            <a:ln>
              <a:noFill/>
            </a:ln>
            <a:effectLst/>
          </c:spPr>
          <c:invertIfNegative val="0"/>
          <c:cat>
            <c:strRef>
              <c:f>(模拟测试YCSB版!$B$169:$C$169,模拟测试YCSB版!$E$169,模拟测试YCSB版!$G$169,模拟测试YCSB版!$I$169,模拟测试YCSB版!$K$169,模拟测试YCSB版!$M$169)</c:f>
              <c:strCache>
                <c:ptCount val="7"/>
                <c:pt idx="0">
                  <c:v>load a</c:v>
                </c:pt>
                <c:pt idx="1">
                  <c:v>a</c:v>
                </c:pt>
                <c:pt idx="2">
                  <c:v>b</c:v>
                </c:pt>
                <c:pt idx="3">
                  <c:v>c</c:v>
                </c:pt>
                <c:pt idx="4">
                  <c:v>d</c:v>
                </c:pt>
                <c:pt idx="5">
                  <c:v>e</c:v>
                </c:pt>
                <c:pt idx="6">
                  <c:v>f</c:v>
                </c:pt>
              </c:strCache>
            </c:strRef>
          </c:cat>
          <c:val>
            <c:numRef>
              <c:f>(模拟测试YCSB版!$B$173:$C$173,模拟测试YCSB版!$E$173,模拟测试YCSB版!$G$173,模拟测试YCSB版!$I$173,模拟测试YCSB版!$K$173,模拟测试YCSB版!$M$173)</c:f>
              <c:numCache>
                <c:formatCode>General</c:formatCode>
                <c:ptCount val="7"/>
                <c:pt idx="0">
                  <c:v>497590</c:v>
                </c:pt>
                <c:pt idx="1">
                  <c:v>246883</c:v>
                </c:pt>
                <c:pt idx="2">
                  <c:v>266937</c:v>
                </c:pt>
                <c:pt idx="3">
                  <c:v>264963</c:v>
                </c:pt>
                <c:pt idx="4">
                  <c:v>332225</c:v>
                </c:pt>
                <c:pt idx="5">
                  <c:v>10500</c:v>
                </c:pt>
                <c:pt idx="6">
                  <c:v>228196</c:v>
                </c:pt>
              </c:numCache>
            </c:numRef>
          </c:val>
          <c:extLst>
            <c:ext xmlns:c16="http://schemas.microsoft.com/office/drawing/2014/chart" uri="{C3380CC4-5D6E-409C-BE32-E72D297353CC}">
              <c16:uniqueId val="{00000003-D449-4B47-B4AF-B711D8A1B3EA}"/>
            </c:ext>
          </c:extLst>
        </c:ser>
        <c:ser>
          <c:idx val="4"/>
          <c:order val="4"/>
          <c:tx>
            <c:strRef>
              <c:f>模拟测试YCSB版!$A$174</c:f>
              <c:strCache>
                <c:ptCount val="1"/>
                <c:pt idx="0">
                  <c:v>4q32b</c:v>
                </c:pt>
              </c:strCache>
            </c:strRef>
          </c:tx>
          <c:spPr>
            <a:solidFill>
              <a:schemeClr val="accent5"/>
            </a:solidFill>
            <a:ln>
              <a:noFill/>
            </a:ln>
            <a:effectLst/>
          </c:spPr>
          <c:invertIfNegative val="0"/>
          <c:cat>
            <c:strRef>
              <c:f>(模拟测试YCSB版!$B$169:$C$169,模拟测试YCSB版!$E$169,模拟测试YCSB版!$G$169,模拟测试YCSB版!$I$169,模拟测试YCSB版!$K$169,模拟测试YCSB版!$M$169)</c:f>
              <c:strCache>
                <c:ptCount val="7"/>
                <c:pt idx="0">
                  <c:v>load a</c:v>
                </c:pt>
                <c:pt idx="1">
                  <c:v>a</c:v>
                </c:pt>
                <c:pt idx="2">
                  <c:v>b</c:v>
                </c:pt>
                <c:pt idx="3">
                  <c:v>c</c:v>
                </c:pt>
                <c:pt idx="4">
                  <c:v>d</c:v>
                </c:pt>
                <c:pt idx="5">
                  <c:v>e</c:v>
                </c:pt>
                <c:pt idx="6">
                  <c:v>f</c:v>
                </c:pt>
              </c:strCache>
            </c:strRef>
          </c:cat>
          <c:val>
            <c:numRef>
              <c:f>(模拟测试YCSB版!$B$174:$C$174,模拟测试YCSB版!$E$174,模拟测试YCSB版!$G$174,模拟测试YCSB版!$I$174,模拟测试YCSB版!$K$174,模拟测试YCSB版!$M$174)</c:f>
              <c:numCache>
                <c:formatCode>General</c:formatCode>
                <c:ptCount val="7"/>
                <c:pt idx="0">
                  <c:v>1258131</c:v>
                </c:pt>
                <c:pt idx="1">
                  <c:v>532808</c:v>
                </c:pt>
                <c:pt idx="2">
                  <c:v>645229</c:v>
                </c:pt>
                <c:pt idx="3">
                  <c:v>557883</c:v>
                </c:pt>
                <c:pt idx="4">
                  <c:v>719272</c:v>
                </c:pt>
                <c:pt idx="5">
                  <c:v>12707</c:v>
                </c:pt>
                <c:pt idx="6">
                  <c:v>554199</c:v>
                </c:pt>
              </c:numCache>
            </c:numRef>
          </c:val>
          <c:extLst>
            <c:ext xmlns:c16="http://schemas.microsoft.com/office/drawing/2014/chart" uri="{C3380CC4-5D6E-409C-BE32-E72D297353CC}">
              <c16:uniqueId val="{00000004-D449-4B47-B4AF-B711D8A1B3EA}"/>
            </c:ext>
          </c:extLst>
        </c:ser>
        <c:ser>
          <c:idx val="5"/>
          <c:order val="5"/>
          <c:tx>
            <c:strRef>
              <c:f>模拟测试YCSB版!$A$175</c:f>
              <c:strCache>
                <c:ptCount val="1"/>
                <c:pt idx="0">
                  <c:v>8q32b</c:v>
                </c:pt>
              </c:strCache>
            </c:strRef>
          </c:tx>
          <c:spPr>
            <a:solidFill>
              <a:schemeClr val="accent6"/>
            </a:solidFill>
            <a:ln>
              <a:noFill/>
            </a:ln>
            <a:effectLst/>
          </c:spPr>
          <c:invertIfNegative val="0"/>
          <c:cat>
            <c:strRef>
              <c:f>(模拟测试YCSB版!$B$169:$C$169,模拟测试YCSB版!$E$169,模拟测试YCSB版!$G$169,模拟测试YCSB版!$I$169,模拟测试YCSB版!$K$169,模拟测试YCSB版!$M$169)</c:f>
              <c:strCache>
                <c:ptCount val="7"/>
                <c:pt idx="0">
                  <c:v>load a</c:v>
                </c:pt>
                <c:pt idx="1">
                  <c:v>a</c:v>
                </c:pt>
                <c:pt idx="2">
                  <c:v>b</c:v>
                </c:pt>
                <c:pt idx="3">
                  <c:v>c</c:v>
                </c:pt>
                <c:pt idx="4">
                  <c:v>d</c:v>
                </c:pt>
                <c:pt idx="5">
                  <c:v>e</c:v>
                </c:pt>
                <c:pt idx="6">
                  <c:v>f</c:v>
                </c:pt>
              </c:strCache>
            </c:strRef>
          </c:cat>
          <c:val>
            <c:numRef>
              <c:f>(模拟测试YCSB版!$B$175:$C$175,模拟测试YCSB版!$E$175,模拟测试YCSB版!$G$175,模拟测试YCSB版!$I$175,模拟测试YCSB版!$K$175,模拟测试YCSB版!$M$175)</c:f>
              <c:numCache>
                <c:formatCode>General</c:formatCode>
                <c:ptCount val="7"/>
                <c:pt idx="0">
                  <c:v>1790196</c:v>
                </c:pt>
                <c:pt idx="1">
                  <c:v>761496</c:v>
                </c:pt>
                <c:pt idx="2">
                  <c:v>865318</c:v>
                </c:pt>
                <c:pt idx="3">
                  <c:v>694881</c:v>
                </c:pt>
                <c:pt idx="4">
                  <c:v>1032728</c:v>
                </c:pt>
                <c:pt idx="5">
                  <c:v>11415</c:v>
                </c:pt>
                <c:pt idx="6">
                  <c:v>813056</c:v>
                </c:pt>
              </c:numCache>
            </c:numRef>
          </c:val>
          <c:extLst>
            <c:ext xmlns:c16="http://schemas.microsoft.com/office/drawing/2014/chart" uri="{C3380CC4-5D6E-409C-BE32-E72D297353CC}">
              <c16:uniqueId val="{00000005-D449-4B47-B4AF-B711D8A1B3EA}"/>
            </c:ext>
          </c:extLst>
        </c:ser>
        <c:dLbls>
          <c:showLegendKey val="0"/>
          <c:showVal val="0"/>
          <c:showCatName val="0"/>
          <c:showSerName val="0"/>
          <c:showPercent val="0"/>
          <c:showBubbleSize val="0"/>
        </c:dLbls>
        <c:gapWidth val="219"/>
        <c:overlap val="-27"/>
        <c:axId val="761846912"/>
        <c:axId val="620250336"/>
      </c:barChart>
      <c:catAx>
        <c:axId val="76184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CN"/>
          </a:p>
        </c:txPr>
        <c:crossAx val="620250336"/>
        <c:crosses val="autoZero"/>
        <c:auto val="1"/>
        <c:lblAlgn val="ctr"/>
        <c:lblOffset val="100"/>
        <c:noMultiLvlLbl val="0"/>
      </c:catAx>
      <c:valAx>
        <c:axId val="62025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CN"/>
          </a:p>
        </c:txPr>
        <c:crossAx val="761846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zh-CN"/>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74458549055447"/>
          <c:y val="9.3601954143681831E-2"/>
          <c:w val="0.8725882629443803"/>
          <c:h val="0.76397947261783283"/>
        </c:manualLayout>
      </c:layout>
      <c:barChart>
        <c:barDir val="col"/>
        <c:grouping val="clustered"/>
        <c:varyColors val="0"/>
        <c:ser>
          <c:idx val="0"/>
          <c:order val="0"/>
          <c:tx>
            <c:strRef>
              <c:f>模拟测试YCSB版!$A$254</c:f>
              <c:strCache>
                <c:ptCount val="1"/>
                <c:pt idx="0">
                  <c:v>KVell-4</c:v>
                </c:pt>
              </c:strCache>
            </c:strRef>
          </c:tx>
          <c:spPr>
            <a:solidFill>
              <a:srgbClr val="00B0F0">
                <a:alpha val="91000"/>
              </a:srgbClr>
            </a:solidFill>
            <a:ln>
              <a:solidFill>
                <a:sysClr val="windowText" lastClr="000000"/>
              </a:solid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模拟测试YCSB版!$B$253:$H$253</c:f>
              <c:strCache>
                <c:ptCount val="7"/>
                <c:pt idx="0">
                  <c:v>LOAD</c:v>
                </c:pt>
                <c:pt idx="1">
                  <c:v>A</c:v>
                </c:pt>
                <c:pt idx="2">
                  <c:v>B</c:v>
                </c:pt>
                <c:pt idx="3">
                  <c:v>C</c:v>
                </c:pt>
                <c:pt idx="4">
                  <c:v>D</c:v>
                </c:pt>
                <c:pt idx="5">
                  <c:v>E</c:v>
                </c:pt>
                <c:pt idx="6">
                  <c:v>F</c:v>
                </c:pt>
              </c:strCache>
            </c:strRef>
          </c:cat>
          <c:val>
            <c:numRef>
              <c:f>模拟测试YCSB版!$B$254:$H$254</c:f>
              <c:numCache>
                <c:formatCode>General</c:formatCode>
                <c:ptCount val="7"/>
                <c:pt idx="0">
                  <c:v>1082</c:v>
                </c:pt>
                <c:pt idx="1">
                  <c:v>669</c:v>
                </c:pt>
                <c:pt idx="2">
                  <c:v>1264</c:v>
                </c:pt>
                <c:pt idx="3">
                  <c:v>1299</c:v>
                </c:pt>
                <c:pt idx="4">
                  <c:v>1264</c:v>
                </c:pt>
                <c:pt idx="5">
                  <c:v>19</c:v>
                </c:pt>
                <c:pt idx="6">
                  <c:v>669</c:v>
                </c:pt>
              </c:numCache>
            </c:numRef>
          </c:val>
          <c:extLst>
            <c:ext xmlns:c16="http://schemas.microsoft.com/office/drawing/2014/chart" uri="{C3380CC4-5D6E-409C-BE32-E72D297353CC}">
              <c16:uniqueId val="{00000000-F249-4A5B-86A2-8265ECFEC368}"/>
            </c:ext>
          </c:extLst>
        </c:ser>
        <c:ser>
          <c:idx val="1"/>
          <c:order val="1"/>
          <c:tx>
            <c:strRef>
              <c:f>模拟测试YCSB版!$A$255</c:f>
              <c:strCache>
                <c:ptCount val="1"/>
                <c:pt idx="0">
                  <c:v>p²KVS-4</c:v>
                </c:pt>
              </c:strCache>
            </c:strRef>
          </c:tx>
          <c:spPr>
            <a:solidFill>
              <a:srgbClr val="FF0000"/>
            </a:solidFill>
            <a:ln>
              <a:solidFill>
                <a:sysClr val="windowText" lastClr="000000"/>
              </a:solid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模拟测试YCSB版!$B$253:$H$253</c:f>
              <c:strCache>
                <c:ptCount val="7"/>
                <c:pt idx="0">
                  <c:v>LOAD</c:v>
                </c:pt>
                <c:pt idx="1">
                  <c:v>A</c:v>
                </c:pt>
                <c:pt idx="2">
                  <c:v>B</c:v>
                </c:pt>
                <c:pt idx="3">
                  <c:v>C</c:v>
                </c:pt>
                <c:pt idx="4">
                  <c:v>D</c:v>
                </c:pt>
                <c:pt idx="5">
                  <c:v>E</c:v>
                </c:pt>
                <c:pt idx="6">
                  <c:v>F</c:v>
                </c:pt>
              </c:strCache>
            </c:strRef>
          </c:cat>
          <c:val>
            <c:numRef>
              <c:f>模拟测试YCSB版!$B$255:$H$255</c:f>
              <c:numCache>
                <c:formatCode>General</c:formatCode>
                <c:ptCount val="7"/>
                <c:pt idx="0">
                  <c:v>1464</c:v>
                </c:pt>
                <c:pt idx="1">
                  <c:v>853</c:v>
                </c:pt>
                <c:pt idx="2">
                  <c:v>1046</c:v>
                </c:pt>
                <c:pt idx="3">
                  <c:v>855</c:v>
                </c:pt>
                <c:pt idx="4">
                  <c:v>1039</c:v>
                </c:pt>
                <c:pt idx="5">
                  <c:v>24</c:v>
                </c:pt>
                <c:pt idx="6">
                  <c:v>855</c:v>
                </c:pt>
              </c:numCache>
            </c:numRef>
          </c:val>
          <c:extLst>
            <c:ext xmlns:c16="http://schemas.microsoft.com/office/drawing/2014/chart" uri="{C3380CC4-5D6E-409C-BE32-E72D297353CC}">
              <c16:uniqueId val="{00000001-F249-4A5B-86A2-8265ECFEC368}"/>
            </c:ext>
          </c:extLst>
        </c:ser>
        <c:ser>
          <c:idx val="2"/>
          <c:order val="2"/>
          <c:tx>
            <c:strRef>
              <c:f>模拟测试YCSB版!$A$256</c:f>
              <c:strCache>
                <c:ptCount val="1"/>
                <c:pt idx="0">
                  <c:v>KVell-8</c:v>
                </c:pt>
              </c:strCache>
            </c:strRef>
          </c:tx>
          <c:spPr>
            <a:pattFill prst="wdUpDiag">
              <a:fgClr>
                <a:schemeClr val="tx1">
                  <a:lumMod val="75000"/>
                  <a:lumOff val="25000"/>
                </a:schemeClr>
              </a:fgClr>
              <a:bgClr>
                <a:srgbClr val="00B0F0"/>
              </a:bgClr>
            </a:pattFill>
            <a:ln>
              <a:solidFill>
                <a:sysClr val="windowText" lastClr="000000"/>
              </a:solid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模拟测试YCSB版!$B$253:$H$253</c:f>
              <c:strCache>
                <c:ptCount val="7"/>
                <c:pt idx="0">
                  <c:v>LOAD</c:v>
                </c:pt>
                <c:pt idx="1">
                  <c:v>A</c:v>
                </c:pt>
                <c:pt idx="2">
                  <c:v>B</c:v>
                </c:pt>
                <c:pt idx="3">
                  <c:v>C</c:v>
                </c:pt>
                <c:pt idx="4">
                  <c:v>D</c:v>
                </c:pt>
                <c:pt idx="5">
                  <c:v>E</c:v>
                </c:pt>
                <c:pt idx="6">
                  <c:v>F</c:v>
                </c:pt>
              </c:strCache>
            </c:strRef>
          </c:cat>
          <c:val>
            <c:numRef>
              <c:f>模拟测试YCSB版!$B$256:$H$256</c:f>
              <c:numCache>
                <c:formatCode>General</c:formatCode>
                <c:ptCount val="7"/>
                <c:pt idx="0">
                  <c:v>2129</c:v>
                </c:pt>
                <c:pt idx="1">
                  <c:v>873</c:v>
                </c:pt>
                <c:pt idx="2">
                  <c:v>2130</c:v>
                </c:pt>
                <c:pt idx="3">
                  <c:v>2290</c:v>
                </c:pt>
                <c:pt idx="4">
                  <c:v>2130</c:v>
                </c:pt>
                <c:pt idx="5">
                  <c:v>23</c:v>
                </c:pt>
                <c:pt idx="6">
                  <c:v>873</c:v>
                </c:pt>
              </c:numCache>
            </c:numRef>
          </c:val>
          <c:extLst>
            <c:ext xmlns:c16="http://schemas.microsoft.com/office/drawing/2014/chart" uri="{C3380CC4-5D6E-409C-BE32-E72D297353CC}">
              <c16:uniqueId val="{00000002-F249-4A5B-86A2-8265ECFEC368}"/>
            </c:ext>
          </c:extLst>
        </c:ser>
        <c:ser>
          <c:idx val="3"/>
          <c:order val="3"/>
          <c:tx>
            <c:strRef>
              <c:f>模拟测试YCSB版!$A$257</c:f>
              <c:strCache>
                <c:ptCount val="1"/>
                <c:pt idx="0">
                  <c:v>p²KVS-8</c:v>
                </c:pt>
              </c:strCache>
            </c:strRef>
          </c:tx>
          <c:spPr>
            <a:pattFill prst="wdUpDiag">
              <a:fgClr>
                <a:schemeClr val="bg2">
                  <a:lumMod val="25000"/>
                </a:schemeClr>
              </a:fgClr>
              <a:bgClr>
                <a:srgbClr val="FF0000"/>
              </a:bgClr>
            </a:pattFill>
            <a:ln>
              <a:solidFill>
                <a:sysClr val="windowText" lastClr="000000"/>
              </a:solid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模拟测试YCSB版!$B$253:$H$253</c:f>
              <c:strCache>
                <c:ptCount val="7"/>
                <c:pt idx="0">
                  <c:v>LOAD</c:v>
                </c:pt>
                <c:pt idx="1">
                  <c:v>A</c:v>
                </c:pt>
                <c:pt idx="2">
                  <c:v>B</c:v>
                </c:pt>
                <c:pt idx="3">
                  <c:v>C</c:v>
                </c:pt>
                <c:pt idx="4">
                  <c:v>D</c:v>
                </c:pt>
                <c:pt idx="5">
                  <c:v>E</c:v>
                </c:pt>
                <c:pt idx="6">
                  <c:v>F</c:v>
                </c:pt>
              </c:strCache>
            </c:strRef>
          </c:cat>
          <c:val>
            <c:numRef>
              <c:f>模拟测试YCSB版!$B$257:$H$257</c:f>
              <c:numCache>
                <c:formatCode>General</c:formatCode>
                <c:ptCount val="7"/>
                <c:pt idx="0">
                  <c:v>2536</c:v>
                </c:pt>
                <c:pt idx="1">
                  <c:v>1058</c:v>
                </c:pt>
                <c:pt idx="2">
                  <c:v>1299</c:v>
                </c:pt>
                <c:pt idx="3">
                  <c:v>1244</c:v>
                </c:pt>
                <c:pt idx="4">
                  <c:v>1425</c:v>
                </c:pt>
                <c:pt idx="5">
                  <c:v>23</c:v>
                </c:pt>
                <c:pt idx="6">
                  <c:v>1283</c:v>
                </c:pt>
              </c:numCache>
            </c:numRef>
          </c:val>
          <c:extLst>
            <c:ext xmlns:c16="http://schemas.microsoft.com/office/drawing/2014/chart" uri="{C3380CC4-5D6E-409C-BE32-E72D297353CC}">
              <c16:uniqueId val="{00000003-F249-4A5B-86A2-8265ECFEC368}"/>
            </c:ext>
          </c:extLst>
        </c:ser>
        <c:dLbls>
          <c:showLegendKey val="0"/>
          <c:showVal val="0"/>
          <c:showCatName val="0"/>
          <c:showSerName val="0"/>
          <c:showPercent val="0"/>
          <c:showBubbleSize val="0"/>
        </c:dLbls>
        <c:gapWidth val="219"/>
        <c:overlap val="-27"/>
        <c:axId val="100195263"/>
        <c:axId val="96041215"/>
      </c:barChart>
      <c:catAx>
        <c:axId val="10019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ysClr val="windowText" lastClr="000000"/>
                </a:solidFill>
                <a:latin typeface="+mn-lt"/>
                <a:ea typeface="+mn-ea"/>
                <a:cs typeface="+mn-cs"/>
              </a:defRPr>
            </a:pPr>
            <a:endParaRPr lang="zh-CN"/>
          </a:p>
        </c:txPr>
        <c:crossAx val="96041215"/>
        <c:crosses val="autoZero"/>
        <c:auto val="1"/>
        <c:lblAlgn val="ctr"/>
        <c:lblOffset val="100"/>
        <c:noMultiLvlLbl val="0"/>
      </c:catAx>
      <c:valAx>
        <c:axId val="96041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1200" b="1">
                    <a:solidFill>
                      <a:sysClr val="windowText" lastClr="000000"/>
                    </a:solidFill>
                  </a:rPr>
                  <a:t>KQPS</a:t>
                </a:r>
                <a:endParaRPr lang="zh-CN" altLang="en-US" sz="12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0195263"/>
        <c:crosses val="autoZero"/>
        <c:crossBetween val="between"/>
      </c:valAx>
      <c:spPr>
        <a:noFill/>
        <a:ln>
          <a:noFill/>
        </a:ln>
        <a:effectLst/>
      </c:spPr>
    </c:plotArea>
    <c:legend>
      <c:legendPos val="tr"/>
      <c:layout>
        <c:manualLayout>
          <c:xMode val="edge"/>
          <c:yMode val="edge"/>
          <c:x val="0.72911649937453382"/>
          <c:y val="9.5890579785162508E-2"/>
          <c:w val="0.24001353513454843"/>
          <c:h val="0.1560125652918665"/>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900" b="1" i="0" u="none" strike="noStrike" kern="1200" baseline="0">
              <a:ln>
                <a:noFill/>
              </a:ln>
              <a:solidFill>
                <a:sysClr val="windowText" lastClr="000000"/>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74458549055447"/>
          <c:y val="9.3601954143681831E-2"/>
          <c:w val="0.8725882629443803"/>
          <c:h val="0.76397947261783283"/>
        </c:manualLayout>
      </c:layout>
      <c:barChart>
        <c:barDir val="col"/>
        <c:grouping val="clustered"/>
        <c:varyColors val="0"/>
        <c:ser>
          <c:idx val="0"/>
          <c:order val="0"/>
          <c:tx>
            <c:strRef>
              <c:f>模拟测试YCSB版!$A$254</c:f>
              <c:strCache>
                <c:ptCount val="1"/>
                <c:pt idx="0">
                  <c:v>KVell-4</c:v>
                </c:pt>
              </c:strCache>
            </c:strRef>
          </c:tx>
          <c:spPr>
            <a:solidFill>
              <a:srgbClr val="00B0F0">
                <a:alpha val="91000"/>
              </a:srgbClr>
            </a:solidFill>
            <a:ln>
              <a:solidFill>
                <a:sysClr val="windowText" lastClr="000000"/>
              </a:solid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5-B2FF-4FA3-9B84-4EEED20314CE}"/>
                </c:ext>
              </c:extLst>
            </c:dLbl>
            <c:dLbl>
              <c:idx val="1"/>
              <c:delete val="1"/>
              <c:extLst>
                <c:ext xmlns:c15="http://schemas.microsoft.com/office/drawing/2012/chart" uri="{CE6537A1-D6FC-4f65-9D91-7224C49458BB}"/>
                <c:ext xmlns:c16="http://schemas.microsoft.com/office/drawing/2014/chart" uri="{C3380CC4-5D6E-409C-BE32-E72D297353CC}">
                  <c16:uniqueId val="{00000009-B2FF-4FA3-9B84-4EEED20314CE}"/>
                </c:ext>
              </c:extLst>
            </c:dLbl>
            <c:dLbl>
              <c:idx val="2"/>
              <c:delete val="1"/>
              <c:extLst>
                <c:ext xmlns:c15="http://schemas.microsoft.com/office/drawing/2012/chart" uri="{CE6537A1-D6FC-4f65-9D91-7224C49458BB}"/>
                <c:ext xmlns:c16="http://schemas.microsoft.com/office/drawing/2014/chart" uri="{C3380CC4-5D6E-409C-BE32-E72D297353CC}">
                  <c16:uniqueId val="{0000000D-B2FF-4FA3-9B84-4EEED20314CE}"/>
                </c:ext>
              </c:extLst>
            </c:dLbl>
            <c:dLbl>
              <c:idx val="3"/>
              <c:delete val="1"/>
              <c:extLst>
                <c:ext xmlns:c15="http://schemas.microsoft.com/office/drawing/2012/chart" uri="{CE6537A1-D6FC-4f65-9D91-7224C49458BB}"/>
                <c:ext xmlns:c16="http://schemas.microsoft.com/office/drawing/2014/chart" uri="{C3380CC4-5D6E-409C-BE32-E72D297353CC}">
                  <c16:uniqueId val="{00000011-B2FF-4FA3-9B84-4EEED20314CE}"/>
                </c:ext>
              </c:extLst>
            </c:dLbl>
            <c:dLbl>
              <c:idx val="4"/>
              <c:delete val="1"/>
              <c:extLst>
                <c:ext xmlns:c15="http://schemas.microsoft.com/office/drawing/2012/chart" uri="{CE6537A1-D6FC-4f65-9D91-7224C49458BB}"/>
                <c:ext xmlns:c16="http://schemas.microsoft.com/office/drawing/2014/chart" uri="{C3380CC4-5D6E-409C-BE32-E72D297353CC}">
                  <c16:uniqueId val="{00000004-B2FF-4FA3-9B84-4EEED20314CE}"/>
                </c:ext>
              </c:extLst>
            </c:dLbl>
            <c:dLbl>
              <c:idx val="6"/>
              <c:delete val="1"/>
              <c:extLst>
                <c:ext xmlns:c15="http://schemas.microsoft.com/office/drawing/2012/chart" uri="{CE6537A1-D6FC-4f65-9D91-7224C49458BB}"/>
                <c:ext xmlns:c16="http://schemas.microsoft.com/office/drawing/2014/chart" uri="{C3380CC4-5D6E-409C-BE32-E72D297353CC}">
                  <c16:uniqueId val="{00000018-B2FF-4FA3-9B84-4EEED20314CE}"/>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模拟测试YCSB版!$B$253:$H$253</c:f>
              <c:strCache>
                <c:ptCount val="7"/>
                <c:pt idx="0">
                  <c:v>LOAD</c:v>
                </c:pt>
                <c:pt idx="1">
                  <c:v>A</c:v>
                </c:pt>
                <c:pt idx="2">
                  <c:v>B</c:v>
                </c:pt>
                <c:pt idx="3">
                  <c:v>C</c:v>
                </c:pt>
                <c:pt idx="4">
                  <c:v>D</c:v>
                </c:pt>
                <c:pt idx="5">
                  <c:v>E</c:v>
                </c:pt>
                <c:pt idx="6">
                  <c:v>F</c:v>
                </c:pt>
              </c:strCache>
            </c:strRef>
          </c:cat>
          <c:val>
            <c:numRef>
              <c:f>模拟测试YCSB版!$B$254:$H$254</c:f>
              <c:numCache>
                <c:formatCode>General</c:formatCode>
                <c:ptCount val="7"/>
                <c:pt idx="0">
                  <c:v>1082</c:v>
                </c:pt>
                <c:pt idx="1">
                  <c:v>669</c:v>
                </c:pt>
                <c:pt idx="2">
                  <c:v>1264</c:v>
                </c:pt>
                <c:pt idx="3">
                  <c:v>1299</c:v>
                </c:pt>
                <c:pt idx="4">
                  <c:v>1264</c:v>
                </c:pt>
                <c:pt idx="5">
                  <c:v>19</c:v>
                </c:pt>
                <c:pt idx="6">
                  <c:v>669</c:v>
                </c:pt>
              </c:numCache>
            </c:numRef>
          </c:val>
          <c:extLst>
            <c:ext xmlns:c16="http://schemas.microsoft.com/office/drawing/2014/chart" uri="{C3380CC4-5D6E-409C-BE32-E72D297353CC}">
              <c16:uniqueId val="{00000000-B2FF-4FA3-9B84-4EEED20314CE}"/>
            </c:ext>
          </c:extLst>
        </c:ser>
        <c:ser>
          <c:idx val="1"/>
          <c:order val="1"/>
          <c:tx>
            <c:strRef>
              <c:f>模拟测试YCSB版!$A$255</c:f>
              <c:strCache>
                <c:ptCount val="1"/>
                <c:pt idx="0">
                  <c:v>p²KVS-4</c:v>
                </c:pt>
              </c:strCache>
            </c:strRef>
          </c:tx>
          <c:spPr>
            <a:solidFill>
              <a:srgbClr val="FF0000"/>
            </a:solidFill>
            <a:ln>
              <a:solidFill>
                <a:sysClr val="windowText" lastClr="000000"/>
              </a:solid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6-B2FF-4FA3-9B84-4EEED20314CE}"/>
                </c:ext>
              </c:extLst>
            </c:dLbl>
            <c:dLbl>
              <c:idx val="1"/>
              <c:delete val="1"/>
              <c:extLst>
                <c:ext xmlns:c15="http://schemas.microsoft.com/office/drawing/2012/chart" uri="{CE6537A1-D6FC-4f65-9D91-7224C49458BB}"/>
                <c:ext xmlns:c16="http://schemas.microsoft.com/office/drawing/2014/chart" uri="{C3380CC4-5D6E-409C-BE32-E72D297353CC}">
                  <c16:uniqueId val="{0000000A-B2FF-4FA3-9B84-4EEED20314CE}"/>
                </c:ext>
              </c:extLst>
            </c:dLbl>
            <c:dLbl>
              <c:idx val="2"/>
              <c:delete val="1"/>
              <c:extLst>
                <c:ext xmlns:c15="http://schemas.microsoft.com/office/drawing/2012/chart" uri="{CE6537A1-D6FC-4f65-9D91-7224C49458BB}"/>
                <c:ext xmlns:c16="http://schemas.microsoft.com/office/drawing/2014/chart" uri="{C3380CC4-5D6E-409C-BE32-E72D297353CC}">
                  <c16:uniqueId val="{0000000E-B2FF-4FA3-9B84-4EEED20314CE}"/>
                </c:ext>
              </c:extLst>
            </c:dLbl>
            <c:dLbl>
              <c:idx val="3"/>
              <c:delete val="1"/>
              <c:extLst>
                <c:ext xmlns:c15="http://schemas.microsoft.com/office/drawing/2012/chart" uri="{CE6537A1-D6FC-4f65-9D91-7224C49458BB}"/>
                <c:ext xmlns:c16="http://schemas.microsoft.com/office/drawing/2014/chart" uri="{C3380CC4-5D6E-409C-BE32-E72D297353CC}">
                  <c16:uniqueId val="{00000012-B2FF-4FA3-9B84-4EEED20314CE}"/>
                </c:ext>
              </c:extLst>
            </c:dLbl>
            <c:dLbl>
              <c:idx val="4"/>
              <c:delete val="1"/>
              <c:extLst>
                <c:ext xmlns:c15="http://schemas.microsoft.com/office/drawing/2012/chart" uri="{CE6537A1-D6FC-4f65-9D91-7224C49458BB}"/>
                <c:ext xmlns:c16="http://schemas.microsoft.com/office/drawing/2014/chart" uri="{C3380CC4-5D6E-409C-BE32-E72D297353CC}">
                  <c16:uniqueId val="{00000015-B2FF-4FA3-9B84-4EEED20314CE}"/>
                </c:ext>
              </c:extLst>
            </c:dLbl>
            <c:dLbl>
              <c:idx val="6"/>
              <c:delete val="1"/>
              <c:extLst>
                <c:ext xmlns:c15="http://schemas.microsoft.com/office/drawing/2012/chart" uri="{CE6537A1-D6FC-4f65-9D91-7224C49458BB}"/>
                <c:ext xmlns:c16="http://schemas.microsoft.com/office/drawing/2014/chart" uri="{C3380CC4-5D6E-409C-BE32-E72D297353CC}">
                  <c16:uniqueId val="{00000019-B2FF-4FA3-9B84-4EEED20314CE}"/>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模拟测试YCSB版!$B$253:$H$253</c:f>
              <c:strCache>
                <c:ptCount val="7"/>
                <c:pt idx="0">
                  <c:v>LOAD</c:v>
                </c:pt>
                <c:pt idx="1">
                  <c:v>A</c:v>
                </c:pt>
                <c:pt idx="2">
                  <c:v>B</c:v>
                </c:pt>
                <c:pt idx="3">
                  <c:v>C</c:v>
                </c:pt>
                <c:pt idx="4">
                  <c:v>D</c:v>
                </c:pt>
                <c:pt idx="5">
                  <c:v>E</c:v>
                </c:pt>
                <c:pt idx="6">
                  <c:v>F</c:v>
                </c:pt>
              </c:strCache>
            </c:strRef>
          </c:cat>
          <c:val>
            <c:numRef>
              <c:f>模拟测试YCSB版!$B$255:$H$255</c:f>
              <c:numCache>
                <c:formatCode>General</c:formatCode>
                <c:ptCount val="7"/>
                <c:pt idx="0">
                  <c:v>1464</c:v>
                </c:pt>
                <c:pt idx="1">
                  <c:v>853</c:v>
                </c:pt>
                <c:pt idx="2">
                  <c:v>1046</c:v>
                </c:pt>
                <c:pt idx="3">
                  <c:v>855</c:v>
                </c:pt>
                <c:pt idx="4">
                  <c:v>1039</c:v>
                </c:pt>
                <c:pt idx="5">
                  <c:v>24</c:v>
                </c:pt>
                <c:pt idx="6">
                  <c:v>855</c:v>
                </c:pt>
              </c:numCache>
            </c:numRef>
          </c:val>
          <c:extLst>
            <c:ext xmlns:c16="http://schemas.microsoft.com/office/drawing/2014/chart" uri="{C3380CC4-5D6E-409C-BE32-E72D297353CC}">
              <c16:uniqueId val="{00000001-B2FF-4FA3-9B84-4EEED20314CE}"/>
            </c:ext>
          </c:extLst>
        </c:ser>
        <c:ser>
          <c:idx val="2"/>
          <c:order val="2"/>
          <c:tx>
            <c:strRef>
              <c:f>模拟测试YCSB版!$A$256</c:f>
              <c:strCache>
                <c:ptCount val="1"/>
                <c:pt idx="0">
                  <c:v>KVell-8</c:v>
                </c:pt>
              </c:strCache>
            </c:strRef>
          </c:tx>
          <c:spPr>
            <a:pattFill prst="wdUpDiag">
              <a:fgClr>
                <a:schemeClr val="tx1">
                  <a:lumMod val="75000"/>
                  <a:lumOff val="25000"/>
                </a:schemeClr>
              </a:fgClr>
              <a:bgClr>
                <a:srgbClr val="00B0F0"/>
              </a:bgClr>
            </a:pattFill>
            <a:ln>
              <a:solidFill>
                <a:sysClr val="windowText" lastClr="000000"/>
              </a:solid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7-B2FF-4FA3-9B84-4EEED20314CE}"/>
                </c:ext>
              </c:extLst>
            </c:dLbl>
            <c:dLbl>
              <c:idx val="1"/>
              <c:delete val="1"/>
              <c:extLst>
                <c:ext xmlns:c15="http://schemas.microsoft.com/office/drawing/2012/chart" uri="{CE6537A1-D6FC-4f65-9D91-7224C49458BB}"/>
                <c:ext xmlns:c16="http://schemas.microsoft.com/office/drawing/2014/chart" uri="{C3380CC4-5D6E-409C-BE32-E72D297353CC}">
                  <c16:uniqueId val="{0000000B-B2FF-4FA3-9B84-4EEED20314CE}"/>
                </c:ext>
              </c:extLst>
            </c:dLbl>
            <c:dLbl>
              <c:idx val="2"/>
              <c:delete val="1"/>
              <c:extLst>
                <c:ext xmlns:c15="http://schemas.microsoft.com/office/drawing/2012/chart" uri="{CE6537A1-D6FC-4f65-9D91-7224C49458BB}"/>
                <c:ext xmlns:c16="http://schemas.microsoft.com/office/drawing/2014/chart" uri="{C3380CC4-5D6E-409C-BE32-E72D297353CC}">
                  <c16:uniqueId val="{0000000F-B2FF-4FA3-9B84-4EEED20314CE}"/>
                </c:ext>
              </c:extLst>
            </c:dLbl>
            <c:dLbl>
              <c:idx val="3"/>
              <c:delete val="1"/>
              <c:extLst>
                <c:ext xmlns:c15="http://schemas.microsoft.com/office/drawing/2012/chart" uri="{CE6537A1-D6FC-4f65-9D91-7224C49458BB}"/>
                <c:ext xmlns:c16="http://schemas.microsoft.com/office/drawing/2014/chart" uri="{C3380CC4-5D6E-409C-BE32-E72D297353CC}">
                  <c16:uniqueId val="{00000013-B2FF-4FA3-9B84-4EEED20314CE}"/>
                </c:ext>
              </c:extLst>
            </c:dLbl>
            <c:dLbl>
              <c:idx val="4"/>
              <c:delete val="1"/>
              <c:extLst>
                <c:ext xmlns:c15="http://schemas.microsoft.com/office/drawing/2012/chart" uri="{CE6537A1-D6FC-4f65-9D91-7224C49458BB}"/>
                <c:ext xmlns:c16="http://schemas.microsoft.com/office/drawing/2014/chart" uri="{C3380CC4-5D6E-409C-BE32-E72D297353CC}">
                  <c16:uniqueId val="{00000016-B2FF-4FA3-9B84-4EEED20314CE}"/>
                </c:ext>
              </c:extLst>
            </c:dLbl>
            <c:dLbl>
              <c:idx val="6"/>
              <c:delete val="1"/>
              <c:extLst>
                <c:ext xmlns:c15="http://schemas.microsoft.com/office/drawing/2012/chart" uri="{CE6537A1-D6FC-4f65-9D91-7224C49458BB}"/>
                <c:ext xmlns:c16="http://schemas.microsoft.com/office/drawing/2014/chart" uri="{C3380CC4-5D6E-409C-BE32-E72D297353CC}">
                  <c16:uniqueId val="{0000001A-B2FF-4FA3-9B84-4EEED20314CE}"/>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模拟测试YCSB版!$B$253:$H$253</c:f>
              <c:strCache>
                <c:ptCount val="7"/>
                <c:pt idx="0">
                  <c:v>LOAD</c:v>
                </c:pt>
                <c:pt idx="1">
                  <c:v>A</c:v>
                </c:pt>
                <c:pt idx="2">
                  <c:v>B</c:v>
                </c:pt>
                <c:pt idx="3">
                  <c:v>C</c:v>
                </c:pt>
                <c:pt idx="4">
                  <c:v>D</c:v>
                </c:pt>
                <c:pt idx="5">
                  <c:v>E</c:v>
                </c:pt>
                <c:pt idx="6">
                  <c:v>F</c:v>
                </c:pt>
              </c:strCache>
            </c:strRef>
          </c:cat>
          <c:val>
            <c:numRef>
              <c:f>模拟测试YCSB版!$B$256:$H$256</c:f>
              <c:numCache>
                <c:formatCode>General</c:formatCode>
                <c:ptCount val="7"/>
                <c:pt idx="0">
                  <c:v>2129</c:v>
                </c:pt>
                <c:pt idx="1">
                  <c:v>873</c:v>
                </c:pt>
                <c:pt idx="2">
                  <c:v>2130</c:v>
                </c:pt>
                <c:pt idx="3">
                  <c:v>2290</c:v>
                </c:pt>
                <c:pt idx="4">
                  <c:v>2130</c:v>
                </c:pt>
                <c:pt idx="5">
                  <c:v>23</c:v>
                </c:pt>
                <c:pt idx="6">
                  <c:v>873</c:v>
                </c:pt>
              </c:numCache>
            </c:numRef>
          </c:val>
          <c:extLst>
            <c:ext xmlns:c16="http://schemas.microsoft.com/office/drawing/2014/chart" uri="{C3380CC4-5D6E-409C-BE32-E72D297353CC}">
              <c16:uniqueId val="{00000002-B2FF-4FA3-9B84-4EEED20314CE}"/>
            </c:ext>
          </c:extLst>
        </c:ser>
        <c:ser>
          <c:idx val="3"/>
          <c:order val="3"/>
          <c:tx>
            <c:strRef>
              <c:f>模拟测试YCSB版!$A$257</c:f>
              <c:strCache>
                <c:ptCount val="1"/>
                <c:pt idx="0">
                  <c:v>p²KVS-8</c:v>
                </c:pt>
              </c:strCache>
            </c:strRef>
          </c:tx>
          <c:spPr>
            <a:pattFill prst="wdUpDiag">
              <a:fgClr>
                <a:schemeClr val="bg2">
                  <a:lumMod val="25000"/>
                </a:schemeClr>
              </a:fgClr>
              <a:bgClr>
                <a:srgbClr val="FF0000"/>
              </a:bgClr>
            </a:pattFill>
            <a:ln>
              <a:solidFill>
                <a:sysClr val="windowText" lastClr="000000"/>
              </a:solid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8-B2FF-4FA3-9B84-4EEED20314CE}"/>
                </c:ext>
              </c:extLst>
            </c:dLbl>
            <c:dLbl>
              <c:idx val="1"/>
              <c:delete val="1"/>
              <c:extLst>
                <c:ext xmlns:c15="http://schemas.microsoft.com/office/drawing/2012/chart" uri="{CE6537A1-D6FC-4f65-9D91-7224C49458BB}"/>
                <c:ext xmlns:c16="http://schemas.microsoft.com/office/drawing/2014/chart" uri="{C3380CC4-5D6E-409C-BE32-E72D297353CC}">
                  <c16:uniqueId val="{0000000C-B2FF-4FA3-9B84-4EEED20314CE}"/>
                </c:ext>
              </c:extLst>
            </c:dLbl>
            <c:dLbl>
              <c:idx val="2"/>
              <c:delete val="1"/>
              <c:extLst>
                <c:ext xmlns:c15="http://schemas.microsoft.com/office/drawing/2012/chart" uri="{CE6537A1-D6FC-4f65-9D91-7224C49458BB}"/>
                <c:ext xmlns:c16="http://schemas.microsoft.com/office/drawing/2014/chart" uri="{C3380CC4-5D6E-409C-BE32-E72D297353CC}">
                  <c16:uniqueId val="{00000010-B2FF-4FA3-9B84-4EEED20314CE}"/>
                </c:ext>
              </c:extLst>
            </c:dLbl>
            <c:dLbl>
              <c:idx val="3"/>
              <c:delete val="1"/>
              <c:extLst>
                <c:ext xmlns:c15="http://schemas.microsoft.com/office/drawing/2012/chart" uri="{CE6537A1-D6FC-4f65-9D91-7224C49458BB}"/>
                <c:ext xmlns:c16="http://schemas.microsoft.com/office/drawing/2014/chart" uri="{C3380CC4-5D6E-409C-BE32-E72D297353CC}">
                  <c16:uniqueId val="{00000014-B2FF-4FA3-9B84-4EEED20314CE}"/>
                </c:ext>
              </c:extLst>
            </c:dLbl>
            <c:dLbl>
              <c:idx val="4"/>
              <c:delete val="1"/>
              <c:extLst>
                <c:ext xmlns:c15="http://schemas.microsoft.com/office/drawing/2012/chart" uri="{CE6537A1-D6FC-4f65-9D91-7224C49458BB}"/>
                <c:ext xmlns:c16="http://schemas.microsoft.com/office/drawing/2014/chart" uri="{C3380CC4-5D6E-409C-BE32-E72D297353CC}">
                  <c16:uniqueId val="{00000017-B2FF-4FA3-9B84-4EEED20314CE}"/>
                </c:ext>
              </c:extLst>
            </c:dLbl>
            <c:dLbl>
              <c:idx val="6"/>
              <c:delete val="1"/>
              <c:extLst>
                <c:ext xmlns:c15="http://schemas.microsoft.com/office/drawing/2012/chart" uri="{CE6537A1-D6FC-4f65-9D91-7224C49458BB}"/>
                <c:ext xmlns:c16="http://schemas.microsoft.com/office/drawing/2014/chart" uri="{C3380CC4-5D6E-409C-BE32-E72D297353CC}">
                  <c16:uniqueId val="{0000001B-B2FF-4FA3-9B84-4EEED20314CE}"/>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模拟测试YCSB版!$B$253:$H$253</c:f>
              <c:strCache>
                <c:ptCount val="7"/>
                <c:pt idx="0">
                  <c:v>LOAD</c:v>
                </c:pt>
                <c:pt idx="1">
                  <c:v>A</c:v>
                </c:pt>
                <c:pt idx="2">
                  <c:v>B</c:v>
                </c:pt>
                <c:pt idx="3">
                  <c:v>C</c:v>
                </c:pt>
                <c:pt idx="4">
                  <c:v>D</c:v>
                </c:pt>
                <c:pt idx="5">
                  <c:v>E</c:v>
                </c:pt>
                <c:pt idx="6">
                  <c:v>F</c:v>
                </c:pt>
              </c:strCache>
            </c:strRef>
          </c:cat>
          <c:val>
            <c:numRef>
              <c:f>模拟测试YCSB版!$B$257:$H$257</c:f>
              <c:numCache>
                <c:formatCode>General</c:formatCode>
                <c:ptCount val="7"/>
                <c:pt idx="0">
                  <c:v>2536</c:v>
                </c:pt>
                <c:pt idx="1">
                  <c:v>1058</c:v>
                </c:pt>
                <c:pt idx="2">
                  <c:v>1299</c:v>
                </c:pt>
                <c:pt idx="3">
                  <c:v>1244</c:v>
                </c:pt>
                <c:pt idx="4">
                  <c:v>1425</c:v>
                </c:pt>
                <c:pt idx="5">
                  <c:v>23</c:v>
                </c:pt>
                <c:pt idx="6">
                  <c:v>1283</c:v>
                </c:pt>
              </c:numCache>
            </c:numRef>
          </c:val>
          <c:extLst>
            <c:ext xmlns:c16="http://schemas.microsoft.com/office/drawing/2014/chart" uri="{C3380CC4-5D6E-409C-BE32-E72D297353CC}">
              <c16:uniqueId val="{00000003-B2FF-4FA3-9B84-4EEED20314CE}"/>
            </c:ext>
          </c:extLst>
        </c:ser>
        <c:dLbls>
          <c:showLegendKey val="0"/>
          <c:showVal val="0"/>
          <c:showCatName val="0"/>
          <c:showSerName val="0"/>
          <c:showPercent val="0"/>
          <c:showBubbleSize val="0"/>
        </c:dLbls>
        <c:gapWidth val="219"/>
        <c:overlap val="-27"/>
        <c:axId val="100195263"/>
        <c:axId val="96041215"/>
      </c:barChart>
      <c:catAx>
        <c:axId val="10019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ysClr val="windowText" lastClr="000000"/>
                </a:solidFill>
                <a:latin typeface="+mn-lt"/>
                <a:ea typeface="+mn-ea"/>
                <a:cs typeface="+mn-cs"/>
              </a:defRPr>
            </a:pPr>
            <a:endParaRPr lang="zh-CN"/>
          </a:p>
        </c:txPr>
        <c:crossAx val="96041215"/>
        <c:crosses val="autoZero"/>
        <c:auto val="1"/>
        <c:lblAlgn val="ctr"/>
        <c:lblOffset val="100"/>
        <c:noMultiLvlLbl val="0"/>
      </c:catAx>
      <c:valAx>
        <c:axId val="96041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1200" b="1">
                    <a:solidFill>
                      <a:sysClr val="windowText" lastClr="000000"/>
                    </a:solidFill>
                  </a:rPr>
                  <a:t>KQPS</a:t>
                </a:r>
                <a:endParaRPr lang="zh-CN" altLang="en-US" sz="12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0195263"/>
        <c:crosses val="autoZero"/>
        <c:crossBetween val="between"/>
      </c:valAx>
      <c:spPr>
        <a:noFill/>
        <a:ln>
          <a:noFill/>
        </a:ln>
        <a:effectLst/>
      </c:spPr>
    </c:plotArea>
    <c:legend>
      <c:legendPos val="tr"/>
      <c:layout>
        <c:manualLayout>
          <c:xMode val="edge"/>
          <c:yMode val="edge"/>
          <c:x val="0.72911649937453382"/>
          <c:y val="9.5890579785162508E-2"/>
          <c:w val="0.24001353513454843"/>
          <c:h val="0.1560125652918665"/>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900" b="1" i="0" u="none" strike="noStrike" kern="1200" baseline="0">
              <a:ln>
                <a:noFill/>
              </a:ln>
              <a:solidFill>
                <a:sysClr val="windowText" lastClr="000000"/>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45334450793566"/>
          <c:y val="6.8429237947122856E-2"/>
          <c:w val="0.84754665549206432"/>
          <c:h val="0.77979304686447626"/>
        </c:manualLayout>
      </c:layout>
      <c:barChart>
        <c:barDir val="col"/>
        <c:grouping val="clustered"/>
        <c:varyColors val="0"/>
        <c:ser>
          <c:idx val="0"/>
          <c:order val="0"/>
          <c:tx>
            <c:strRef>
              <c:f>多介质下KV不同!$A$45</c:f>
              <c:strCache>
                <c:ptCount val="1"/>
                <c:pt idx="0">
                  <c:v>HDD</c:v>
                </c:pt>
              </c:strCache>
            </c:strRef>
          </c:tx>
          <c:spPr>
            <a:solidFill>
              <a:schemeClr val="accent1"/>
            </a:solidFill>
            <a:ln>
              <a:noFill/>
            </a:ln>
            <a:effectLst/>
          </c:spPr>
          <c:invertIfNegative val="0"/>
          <c:cat>
            <c:strRef>
              <c:f>多介质下KV不同!$F$44</c:f>
              <c:strCache>
                <c:ptCount val="1"/>
                <c:pt idx="0">
                  <c:v>Rand Read</c:v>
                </c:pt>
              </c:strCache>
            </c:strRef>
          </c:cat>
          <c:val>
            <c:numRef>
              <c:f>多介质下KV不同!$F$45</c:f>
              <c:numCache>
                <c:formatCode>General</c:formatCode>
                <c:ptCount val="1"/>
                <c:pt idx="0">
                  <c:v>0.3</c:v>
                </c:pt>
              </c:numCache>
            </c:numRef>
          </c:val>
          <c:extLst>
            <c:ext xmlns:c16="http://schemas.microsoft.com/office/drawing/2014/chart" uri="{C3380CC4-5D6E-409C-BE32-E72D297353CC}">
              <c16:uniqueId val="{00000000-2100-4E12-83DA-3ED613874BEE}"/>
            </c:ext>
          </c:extLst>
        </c:ser>
        <c:ser>
          <c:idx val="1"/>
          <c:order val="1"/>
          <c:tx>
            <c:strRef>
              <c:f>多介质下KV不同!$A$46</c:f>
              <c:strCache>
                <c:ptCount val="1"/>
                <c:pt idx="0">
                  <c:v>Flash-based SSD</c:v>
                </c:pt>
              </c:strCache>
            </c:strRef>
          </c:tx>
          <c:spPr>
            <a:solidFill>
              <a:schemeClr val="accent2"/>
            </a:solidFill>
            <a:ln>
              <a:noFill/>
            </a:ln>
            <a:effectLst/>
          </c:spPr>
          <c:invertIfNegative val="0"/>
          <c:cat>
            <c:strRef>
              <c:f>多介质下KV不同!$F$44</c:f>
              <c:strCache>
                <c:ptCount val="1"/>
                <c:pt idx="0">
                  <c:v>Rand Read</c:v>
                </c:pt>
              </c:strCache>
            </c:strRef>
          </c:cat>
          <c:val>
            <c:numRef>
              <c:f>多介质下KV不同!$F$49</c:f>
              <c:numCache>
                <c:formatCode>General</c:formatCode>
                <c:ptCount val="1"/>
                <c:pt idx="0">
                  <c:v>1</c:v>
                </c:pt>
              </c:numCache>
            </c:numRef>
          </c:val>
          <c:extLst>
            <c:ext xmlns:c16="http://schemas.microsoft.com/office/drawing/2014/chart" uri="{C3380CC4-5D6E-409C-BE32-E72D297353CC}">
              <c16:uniqueId val="{00000001-2100-4E12-83DA-3ED613874BEE}"/>
            </c:ext>
          </c:extLst>
        </c:ser>
        <c:ser>
          <c:idx val="2"/>
          <c:order val="2"/>
          <c:tx>
            <c:strRef>
              <c:f>多介质下KV不同!$A$47</c:f>
              <c:strCache>
                <c:ptCount val="1"/>
                <c:pt idx="0">
                  <c:v>OptaneSSD</c:v>
                </c:pt>
              </c:strCache>
            </c:strRef>
          </c:tx>
          <c:spPr>
            <a:solidFill>
              <a:schemeClr val="accent3"/>
            </a:solidFill>
            <a:ln>
              <a:noFill/>
            </a:ln>
            <a:effectLst/>
          </c:spPr>
          <c:invertIfNegative val="0"/>
          <c:cat>
            <c:strRef>
              <c:f>多介质下KV不同!$F$44</c:f>
              <c:strCache>
                <c:ptCount val="1"/>
                <c:pt idx="0">
                  <c:v>Rand Read</c:v>
                </c:pt>
              </c:strCache>
            </c:strRef>
          </c:cat>
          <c:val>
            <c:numRef>
              <c:f>多介质下KV不同!$F$47</c:f>
              <c:numCache>
                <c:formatCode>General</c:formatCode>
                <c:ptCount val="1"/>
                <c:pt idx="0">
                  <c:v>5</c:v>
                </c:pt>
              </c:numCache>
            </c:numRef>
          </c:val>
          <c:extLst>
            <c:ext xmlns:c16="http://schemas.microsoft.com/office/drawing/2014/chart" uri="{C3380CC4-5D6E-409C-BE32-E72D297353CC}">
              <c16:uniqueId val="{00000002-2100-4E12-83DA-3ED613874BEE}"/>
            </c:ext>
          </c:extLst>
        </c:ser>
        <c:ser>
          <c:idx val="3"/>
          <c:order val="3"/>
          <c:tx>
            <c:strRef>
              <c:f>多介质下KV不同!$A$48</c:f>
              <c:strCache>
                <c:ptCount val="1"/>
                <c:pt idx="0">
                  <c:v>ramdisk</c:v>
                </c:pt>
              </c:strCache>
            </c:strRef>
          </c:tx>
          <c:spPr>
            <a:solidFill>
              <a:schemeClr val="accent4"/>
            </a:solidFill>
            <a:ln>
              <a:noFill/>
            </a:ln>
            <a:effectLst/>
          </c:spPr>
          <c:invertIfNegative val="0"/>
          <c:cat>
            <c:strRef>
              <c:f>多介质下KV不同!$F$44</c:f>
              <c:strCache>
                <c:ptCount val="1"/>
                <c:pt idx="0">
                  <c:v>Rand Read</c:v>
                </c:pt>
              </c:strCache>
            </c:strRef>
          </c:cat>
          <c:val>
            <c:numRef>
              <c:f>多介质下KV不同!$F$48</c:f>
              <c:numCache>
                <c:formatCode>General</c:formatCode>
                <c:ptCount val="1"/>
                <c:pt idx="0">
                  <c:v>6.1</c:v>
                </c:pt>
              </c:numCache>
            </c:numRef>
          </c:val>
          <c:extLst>
            <c:ext xmlns:c16="http://schemas.microsoft.com/office/drawing/2014/chart" uri="{C3380CC4-5D6E-409C-BE32-E72D297353CC}">
              <c16:uniqueId val="{00000003-2100-4E12-83DA-3ED613874BEE}"/>
            </c:ext>
          </c:extLst>
        </c:ser>
        <c:dLbls>
          <c:showLegendKey val="0"/>
          <c:showVal val="0"/>
          <c:showCatName val="0"/>
          <c:showSerName val="0"/>
          <c:showPercent val="0"/>
          <c:showBubbleSize val="0"/>
        </c:dLbls>
        <c:gapWidth val="219"/>
        <c:overlap val="-27"/>
        <c:axId val="144272992"/>
        <c:axId val="475440464"/>
      </c:barChart>
      <c:catAx>
        <c:axId val="14427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5440464"/>
        <c:crosses val="autoZero"/>
        <c:auto val="1"/>
        <c:lblAlgn val="ctr"/>
        <c:lblOffset val="100"/>
        <c:noMultiLvlLbl val="0"/>
      </c:catAx>
      <c:valAx>
        <c:axId val="47544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427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74458549055447"/>
          <c:y val="9.3601954143681831E-2"/>
          <c:w val="0.8725882629443803"/>
          <c:h val="0.76397947261783283"/>
        </c:manualLayout>
      </c:layout>
      <c:barChart>
        <c:barDir val="col"/>
        <c:grouping val="clustered"/>
        <c:varyColors val="0"/>
        <c:ser>
          <c:idx val="0"/>
          <c:order val="0"/>
          <c:tx>
            <c:strRef>
              <c:f>模拟测试YCSB版!$A$263</c:f>
              <c:strCache>
                <c:ptCount val="1"/>
                <c:pt idx="0">
                  <c:v>Kvell-4(4g page cache)</c:v>
                </c:pt>
              </c:strCache>
            </c:strRef>
          </c:tx>
          <c:spPr>
            <a:solidFill>
              <a:schemeClr val="accent1"/>
            </a:solidFill>
            <a:ln>
              <a:noFill/>
            </a:ln>
            <a:effectLst/>
          </c:spPr>
          <c:invertIfNegative val="0"/>
          <c:cat>
            <c:strRef>
              <c:f>模拟测试YCSB版!$B$262:$H$262</c:f>
              <c:strCache>
                <c:ptCount val="7"/>
                <c:pt idx="0">
                  <c:v>LOAD</c:v>
                </c:pt>
                <c:pt idx="1">
                  <c:v>A</c:v>
                </c:pt>
                <c:pt idx="2">
                  <c:v>B</c:v>
                </c:pt>
                <c:pt idx="3">
                  <c:v>C</c:v>
                </c:pt>
                <c:pt idx="4">
                  <c:v>D</c:v>
                </c:pt>
                <c:pt idx="5">
                  <c:v>E</c:v>
                </c:pt>
                <c:pt idx="6">
                  <c:v>F</c:v>
                </c:pt>
              </c:strCache>
            </c:strRef>
          </c:cat>
          <c:val>
            <c:numRef>
              <c:f>模拟测试YCSB版!$B$263:$H$263</c:f>
              <c:numCache>
                <c:formatCode>General</c:formatCode>
                <c:ptCount val="7"/>
                <c:pt idx="0">
                  <c:v>1281</c:v>
                </c:pt>
                <c:pt idx="1">
                  <c:v>567</c:v>
                </c:pt>
                <c:pt idx="2">
                  <c:v>952</c:v>
                </c:pt>
                <c:pt idx="3">
                  <c:v>1070</c:v>
                </c:pt>
                <c:pt idx="4">
                  <c:v>952</c:v>
                </c:pt>
                <c:pt idx="5">
                  <c:v>13</c:v>
                </c:pt>
                <c:pt idx="6">
                  <c:v>567</c:v>
                </c:pt>
              </c:numCache>
            </c:numRef>
          </c:val>
          <c:extLst>
            <c:ext xmlns:c16="http://schemas.microsoft.com/office/drawing/2014/chart" uri="{C3380CC4-5D6E-409C-BE32-E72D297353CC}">
              <c16:uniqueId val="{00000006-6F4B-48DF-977F-2CC59892DABF}"/>
            </c:ext>
          </c:extLst>
        </c:ser>
        <c:ser>
          <c:idx val="1"/>
          <c:order val="1"/>
          <c:tx>
            <c:strRef>
              <c:f>模拟测试YCSB版!$A$264</c:f>
              <c:strCache>
                <c:ptCount val="1"/>
                <c:pt idx="0">
                  <c:v>Kvell-4(30g page cache)</c:v>
                </c:pt>
              </c:strCache>
            </c:strRef>
          </c:tx>
          <c:spPr>
            <a:solidFill>
              <a:schemeClr val="accent2"/>
            </a:solidFill>
            <a:ln>
              <a:noFill/>
            </a:ln>
            <a:effectLst/>
          </c:spPr>
          <c:invertIfNegative val="0"/>
          <c:cat>
            <c:strRef>
              <c:f>模拟测试YCSB版!$B$262:$H$262</c:f>
              <c:strCache>
                <c:ptCount val="7"/>
                <c:pt idx="0">
                  <c:v>LOAD</c:v>
                </c:pt>
                <c:pt idx="1">
                  <c:v>A</c:v>
                </c:pt>
                <c:pt idx="2">
                  <c:v>B</c:v>
                </c:pt>
                <c:pt idx="3">
                  <c:v>C</c:v>
                </c:pt>
                <c:pt idx="4">
                  <c:v>D</c:v>
                </c:pt>
                <c:pt idx="5">
                  <c:v>E</c:v>
                </c:pt>
                <c:pt idx="6">
                  <c:v>F</c:v>
                </c:pt>
              </c:strCache>
            </c:strRef>
          </c:cat>
          <c:val>
            <c:numRef>
              <c:f>模拟测试YCSB版!$B$264:$H$264</c:f>
              <c:numCache>
                <c:formatCode>General</c:formatCode>
                <c:ptCount val="7"/>
                <c:pt idx="0">
                  <c:v>1082</c:v>
                </c:pt>
                <c:pt idx="1">
                  <c:v>669</c:v>
                </c:pt>
                <c:pt idx="2">
                  <c:v>1264</c:v>
                </c:pt>
                <c:pt idx="3">
                  <c:v>1299</c:v>
                </c:pt>
                <c:pt idx="4">
                  <c:v>1264</c:v>
                </c:pt>
                <c:pt idx="5">
                  <c:v>19</c:v>
                </c:pt>
                <c:pt idx="6">
                  <c:v>669</c:v>
                </c:pt>
              </c:numCache>
            </c:numRef>
          </c:val>
          <c:extLst>
            <c:ext xmlns:c16="http://schemas.microsoft.com/office/drawing/2014/chart" uri="{C3380CC4-5D6E-409C-BE32-E72D297353CC}">
              <c16:uniqueId val="{0000000D-6F4B-48DF-977F-2CC59892DABF}"/>
            </c:ext>
          </c:extLst>
        </c:ser>
        <c:ser>
          <c:idx val="2"/>
          <c:order val="2"/>
          <c:tx>
            <c:strRef>
              <c:f>模拟测试YCSB版!$A$265</c:f>
              <c:strCache>
                <c:ptCount val="1"/>
                <c:pt idx="0">
                  <c:v>P2KVS-4</c:v>
                </c:pt>
              </c:strCache>
            </c:strRef>
          </c:tx>
          <c:spPr>
            <a:solidFill>
              <a:schemeClr val="accent3"/>
            </a:solidFill>
            <a:ln>
              <a:noFill/>
            </a:ln>
            <a:effectLst/>
          </c:spPr>
          <c:invertIfNegative val="0"/>
          <c:cat>
            <c:strRef>
              <c:f>模拟测试YCSB版!$B$262:$H$262</c:f>
              <c:strCache>
                <c:ptCount val="7"/>
                <c:pt idx="0">
                  <c:v>LOAD</c:v>
                </c:pt>
                <c:pt idx="1">
                  <c:v>A</c:v>
                </c:pt>
                <c:pt idx="2">
                  <c:v>B</c:v>
                </c:pt>
                <c:pt idx="3">
                  <c:v>C</c:v>
                </c:pt>
                <c:pt idx="4">
                  <c:v>D</c:v>
                </c:pt>
                <c:pt idx="5">
                  <c:v>E</c:v>
                </c:pt>
                <c:pt idx="6">
                  <c:v>F</c:v>
                </c:pt>
              </c:strCache>
            </c:strRef>
          </c:cat>
          <c:val>
            <c:numRef>
              <c:f>模拟测试YCSB版!$B$265:$H$265</c:f>
              <c:numCache>
                <c:formatCode>General</c:formatCode>
                <c:ptCount val="7"/>
                <c:pt idx="0">
                  <c:v>1464</c:v>
                </c:pt>
                <c:pt idx="1">
                  <c:v>853</c:v>
                </c:pt>
                <c:pt idx="2">
                  <c:v>1046</c:v>
                </c:pt>
                <c:pt idx="3">
                  <c:v>855</c:v>
                </c:pt>
                <c:pt idx="4">
                  <c:v>1039</c:v>
                </c:pt>
                <c:pt idx="5">
                  <c:v>24</c:v>
                </c:pt>
                <c:pt idx="6">
                  <c:v>855</c:v>
                </c:pt>
              </c:numCache>
            </c:numRef>
          </c:val>
          <c:extLst>
            <c:ext xmlns:c16="http://schemas.microsoft.com/office/drawing/2014/chart" uri="{C3380CC4-5D6E-409C-BE32-E72D297353CC}">
              <c16:uniqueId val="{00000014-6F4B-48DF-977F-2CC59892DABF}"/>
            </c:ext>
          </c:extLst>
        </c:ser>
        <c:ser>
          <c:idx val="3"/>
          <c:order val="3"/>
          <c:tx>
            <c:strRef>
              <c:f>模拟测试YCSB版!$A$266</c:f>
              <c:strCache>
                <c:ptCount val="1"/>
                <c:pt idx="0">
                  <c:v>Kvell-8(4g page cache)</c:v>
                </c:pt>
              </c:strCache>
            </c:strRef>
          </c:tx>
          <c:spPr>
            <a:solidFill>
              <a:schemeClr val="accent4"/>
            </a:solidFill>
            <a:ln>
              <a:noFill/>
            </a:ln>
            <a:effectLst/>
          </c:spPr>
          <c:invertIfNegative val="0"/>
          <c:cat>
            <c:strRef>
              <c:f>模拟测试YCSB版!$B$262:$H$262</c:f>
              <c:strCache>
                <c:ptCount val="7"/>
                <c:pt idx="0">
                  <c:v>LOAD</c:v>
                </c:pt>
                <c:pt idx="1">
                  <c:v>A</c:v>
                </c:pt>
                <c:pt idx="2">
                  <c:v>B</c:v>
                </c:pt>
                <c:pt idx="3">
                  <c:v>C</c:v>
                </c:pt>
                <c:pt idx="4">
                  <c:v>D</c:v>
                </c:pt>
                <c:pt idx="5">
                  <c:v>E</c:v>
                </c:pt>
                <c:pt idx="6">
                  <c:v>F</c:v>
                </c:pt>
              </c:strCache>
            </c:strRef>
          </c:cat>
          <c:val>
            <c:numRef>
              <c:f>模拟测试YCSB版!$B$266:$H$266</c:f>
              <c:numCache>
                <c:formatCode>General</c:formatCode>
                <c:ptCount val="7"/>
                <c:pt idx="0">
                  <c:v>2433</c:v>
                </c:pt>
                <c:pt idx="1">
                  <c:v>632</c:v>
                </c:pt>
                <c:pt idx="2">
                  <c:v>1274</c:v>
                </c:pt>
                <c:pt idx="3">
                  <c:v>1533</c:v>
                </c:pt>
                <c:pt idx="4">
                  <c:v>1274</c:v>
                </c:pt>
                <c:pt idx="5">
                  <c:v>13</c:v>
                </c:pt>
                <c:pt idx="6">
                  <c:v>632</c:v>
                </c:pt>
              </c:numCache>
            </c:numRef>
          </c:val>
          <c:extLst>
            <c:ext xmlns:c16="http://schemas.microsoft.com/office/drawing/2014/chart" uri="{C3380CC4-5D6E-409C-BE32-E72D297353CC}">
              <c16:uniqueId val="{0000001B-6F4B-48DF-977F-2CC59892DABF}"/>
            </c:ext>
          </c:extLst>
        </c:ser>
        <c:ser>
          <c:idx val="4"/>
          <c:order val="4"/>
          <c:tx>
            <c:strRef>
              <c:f>模拟测试YCSB版!$A$267</c:f>
              <c:strCache>
                <c:ptCount val="1"/>
                <c:pt idx="0">
                  <c:v>Kvell-8(30g page cache)</c:v>
                </c:pt>
              </c:strCache>
            </c:strRef>
          </c:tx>
          <c:spPr>
            <a:solidFill>
              <a:schemeClr val="accent5"/>
            </a:solidFill>
            <a:ln>
              <a:noFill/>
            </a:ln>
            <a:effectLst/>
          </c:spPr>
          <c:invertIfNegative val="0"/>
          <c:cat>
            <c:strRef>
              <c:f>模拟测试YCSB版!$B$262:$H$262</c:f>
              <c:strCache>
                <c:ptCount val="7"/>
                <c:pt idx="0">
                  <c:v>LOAD</c:v>
                </c:pt>
                <c:pt idx="1">
                  <c:v>A</c:v>
                </c:pt>
                <c:pt idx="2">
                  <c:v>B</c:v>
                </c:pt>
                <c:pt idx="3">
                  <c:v>C</c:v>
                </c:pt>
                <c:pt idx="4">
                  <c:v>D</c:v>
                </c:pt>
                <c:pt idx="5">
                  <c:v>E</c:v>
                </c:pt>
                <c:pt idx="6">
                  <c:v>F</c:v>
                </c:pt>
              </c:strCache>
            </c:strRef>
          </c:cat>
          <c:val>
            <c:numRef>
              <c:f>模拟测试YCSB版!$B$267:$H$267</c:f>
              <c:numCache>
                <c:formatCode>General</c:formatCode>
                <c:ptCount val="7"/>
                <c:pt idx="0">
                  <c:v>2129</c:v>
                </c:pt>
                <c:pt idx="1">
                  <c:v>873</c:v>
                </c:pt>
                <c:pt idx="2">
                  <c:v>2130</c:v>
                </c:pt>
                <c:pt idx="3">
                  <c:v>2290</c:v>
                </c:pt>
                <c:pt idx="4">
                  <c:v>2130</c:v>
                </c:pt>
                <c:pt idx="5">
                  <c:v>23</c:v>
                </c:pt>
                <c:pt idx="6">
                  <c:v>873</c:v>
                </c:pt>
              </c:numCache>
            </c:numRef>
          </c:val>
          <c:extLst>
            <c:ext xmlns:c16="http://schemas.microsoft.com/office/drawing/2014/chart" uri="{C3380CC4-5D6E-409C-BE32-E72D297353CC}">
              <c16:uniqueId val="{0000001C-6F4B-48DF-977F-2CC59892DABF}"/>
            </c:ext>
          </c:extLst>
        </c:ser>
        <c:ser>
          <c:idx val="5"/>
          <c:order val="5"/>
          <c:tx>
            <c:strRef>
              <c:f>模拟测试YCSB版!$A$268</c:f>
              <c:strCache>
                <c:ptCount val="1"/>
                <c:pt idx="0">
                  <c:v>P2KVS-8</c:v>
                </c:pt>
              </c:strCache>
            </c:strRef>
          </c:tx>
          <c:spPr>
            <a:solidFill>
              <a:schemeClr val="accent6"/>
            </a:solidFill>
            <a:ln>
              <a:noFill/>
            </a:ln>
            <a:effectLst/>
          </c:spPr>
          <c:invertIfNegative val="0"/>
          <c:cat>
            <c:strRef>
              <c:f>模拟测试YCSB版!$B$262:$H$262</c:f>
              <c:strCache>
                <c:ptCount val="7"/>
                <c:pt idx="0">
                  <c:v>LOAD</c:v>
                </c:pt>
                <c:pt idx="1">
                  <c:v>A</c:v>
                </c:pt>
                <c:pt idx="2">
                  <c:v>B</c:v>
                </c:pt>
                <c:pt idx="3">
                  <c:v>C</c:v>
                </c:pt>
                <c:pt idx="4">
                  <c:v>D</c:v>
                </c:pt>
                <c:pt idx="5">
                  <c:v>E</c:v>
                </c:pt>
                <c:pt idx="6">
                  <c:v>F</c:v>
                </c:pt>
              </c:strCache>
            </c:strRef>
          </c:cat>
          <c:val>
            <c:numRef>
              <c:f>模拟测试YCSB版!$B$268:$H$268</c:f>
              <c:numCache>
                <c:formatCode>General</c:formatCode>
                <c:ptCount val="7"/>
                <c:pt idx="0">
                  <c:v>2536</c:v>
                </c:pt>
                <c:pt idx="1">
                  <c:v>1058</c:v>
                </c:pt>
                <c:pt idx="2">
                  <c:v>1299</c:v>
                </c:pt>
                <c:pt idx="3">
                  <c:v>1244</c:v>
                </c:pt>
                <c:pt idx="4">
                  <c:v>1425</c:v>
                </c:pt>
                <c:pt idx="5">
                  <c:v>23</c:v>
                </c:pt>
                <c:pt idx="6">
                  <c:v>1283</c:v>
                </c:pt>
              </c:numCache>
            </c:numRef>
          </c:val>
          <c:extLst>
            <c:ext xmlns:c16="http://schemas.microsoft.com/office/drawing/2014/chart" uri="{C3380CC4-5D6E-409C-BE32-E72D297353CC}">
              <c16:uniqueId val="{0000001D-6F4B-48DF-977F-2CC59892DABF}"/>
            </c:ext>
          </c:extLst>
        </c:ser>
        <c:dLbls>
          <c:showLegendKey val="0"/>
          <c:showVal val="0"/>
          <c:showCatName val="0"/>
          <c:showSerName val="0"/>
          <c:showPercent val="0"/>
          <c:showBubbleSize val="0"/>
        </c:dLbls>
        <c:gapWidth val="219"/>
        <c:overlap val="-27"/>
        <c:axId val="100195263"/>
        <c:axId val="96041215"/>
      </c:barChart>
      <c:catAx>
        <c:axId val="10019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ysClr val="windowText" lastClr="000000"/>
                </a:solidFill>
                <a:latin typeface="+mn-lt"/>
                <a:ea typeface="+mn-ea"/>
                <a:cs typeface="+mn-cs"/>
              </a:defRPr>
            </a:pPr>
            <a:endParaRPr lang="zh-CN"/>
          </a:p>
        </c:txPr>
        <c:crossAx val="96041215"/>
        <c:crosses val="autoZero"/>
        <c:auto val="1"/>
        <c:lblAlgn val="ctr"/>
        <c:lblOffset val="100"/>
        <c:noMultiLvlLbl val="0"/>
      </c:catAx>
      <c:valAx>
        <c:axId val="96041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1200" b="1">
                    <a:solidFill>
                      <a:sysClr val="windowText" lastClr="000000"/>
                    </a:solidFill>
                  </a:rPr>
                  <a:t>KQPS</a:t>
                </a:r>
                <a:endParaRPr lang="zh-CN" altLang="en-US" sz="12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0195263"/>
        <c:crosses val="autoZero"/>
        <c:crossBetween val="between"/>
      </c:valAx>
      <c:spPr>
        <a:noFill/>
        <a:ln>
          <a:noFill/>
        </a:ln>
        <a:effectLst/>
      </c:spPr>
    </c:plotArea>
    <c:legend>
      <c:legendPos val="tr"/>
      <c:layout>
        <c:manualLayout>
          <c:xMode val="edge"/>
          <c:yMode val="edge"/>
          <c:x val="0.17323349548927222"/>
          <c:y val="0"/>
          <c:w val="0.81895542843102787"/>
          <c:h val="0.199451006321441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900" b="1" i="0" u="none" strike="noStrike" kern="1200" baseline="0">
              <a:ln>
                <a:noFill/>
              </a:ln>
              <a:solidFill>
                <a:sysClr val="windowText" lastClr="000000"/>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74458549055447"/>
          <c:y val="9.3601954143681831E-2"/>
          <c:w val="0.8725882629443803"/>
          <c:h val="0.76397947261783283"/>
        </c:manualLayout>
      </c:layout>
      <c:barChart>
        <c:barDir val="col"/>
        <c:grouping val="clustered"/>
        <c:varyColors val="0"/>
        <c:ser>
          <c:idx val="0"/>
          <c:order val="0"/>
          <c:tx>
            <c:strRef>
              <c:f>模拟测试YCSB版!$A$266</c:f>
              <c:strCache>
                <c:ptCount val="1"/>
                <c:pt idx="0">
                  <c:v>Kvell-8(4g page cache)</c:v>
                </c:pt>
              </c:strCache>
            </c:strRef>
          </c:tx>
          <c:spPr>
            <a:solidFill>
              <a:schemeClr val="bg1">
                <a:alpha val="89000"/>
              </a:schemeClr>
            </a:solidFill>
            <a:ln>
              <a:solidFill>
                <a:sysClr val="windowText" lastClr="000000"/>
              </a:solid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8039-4A72-9B85-F6FECF6128D8}"/>
                </c:ext>
              </c:extLst>
            </c:dLbl>
            <c:dLbl>
              <c:idx val="1"/>
              <c:delete val="1"/>
              <c:extLst>
                <c:ext xmlns:c15="http://schemas.microsoft.com/office/drawing/2012/chart" uri="{CE6537A1-D6FC-4f65-9D91-7224C49458BB}"/>
                <c:ext xmlns:c16="http://schemas.microsoft.com/office/drawing/2014/chart" uri="{C3380CC4-5D6E-409C-BE32-E72D297353CC}">
                  <c16:uniqueId val="{00000001-8039-4A72-9B85-F6FECF6128D8}"/>
                </c:ext>
              </c:extLst>
            </c:dLbl>
            <c:dLbl>
              <c:idx val="2"/>
              <c:delete val="1"/>
              <c:extLst>
                <c:ext xmlns:c15="http://schemas.microsoft.com/office/drawing/2012/chart" uri="{CE6537A1-D6FC-4f65-9D91-7224C49458BB}"/>
                <c:ext xmlns:c16="http://schemas.microsoft.com/office/drawing/2014/chart" uri="{C3380CC4-5D6E-409C-BE32-E72D297353CC}">
                  <c16:uniqueId val="{00000002-8039-4A72-9B85-F6FECF6128D8}"/>
                </c:ext>
              </c:extLst>
            </c:dLbl>
            <c:dLbl>
              <c:idx val="3"/>
              <c:delete val="1"/>
              <c:extLst>
                <c:ext xmlns:c15="http://schemas.microsoft.com/office/drawing/2012/chart" uri="{CE6537A1-D6FC-4f65-9D91-7224C49458BB}"/>
                <c:ext xmlns:c16="http://schemas.microsoft.com/office/drawing/2014/chart" uri="{C3380CC4-5D6E-409C-BE32-E72D297353CC}">
                  <c16:uniqueId val="{00000003-8039-4A72-9B85-F6FECF6128D8}"/>
                </c:ext>
              </c:extLst>
            </c:dLbl>
            <c:dLbl>
              <c:idx val="4"/>
              <c:delete val="1"/>
              <c:extLst>
                <c:ext xmlns:c15="http://schemas.microsoft.com/office/drawing/2012/chart" uri="{CE6537A1-D6FC-4f65-9D91-7224C49458BB}"/>
                <c:ext xmlns:c16="http://schemas.microsoft.com/office/drawing/2014/chart" uri="{C3380CC4-5D6E-409C-BE32-E72D297353CC}">
                  <c16:uniqueId val="{00000004-8039-4A72-9B85-F6FECF6128D8}"/>
                </c:ext>
              </c:extLst>
            </c:dLbl>
            <c:dLbl>
              <c:idx val="6"/>
              <c:delete val="1"/>
              <c:extLst>
                <c:ext xmlns:c15="http://schemas.microsoft.com/office/drawing/2012/chart" uri="{CE6537A1-D6FC-4f65-9D91-7224C49458BB}"/>
                <c:ext xmlns:c16="http://schemas.microsoft.com/office/drawing/2014/chart" uri="{C3380CC4-5D6E-409C-BE32-E72D297353CC}">
                  <c16:uniqueId val="{00000005-8039-4A72-9B85-F6FECF6128D8}"/>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模拟测试YCSB版!$B$262:$H$262</c:f>
              <c:strCache>
                <c:ptCount val="7"/>
                <c:pt idx="0">
                  <c:v>LOAD</c:v>
                </c:pt>
                <c:pt idx="1">
                  <c:v>A</c:v>
                </c:pt>
                <c:pt idx="2">
                  <c:v>B</c:v>
                </c:pt>
                <c:pt idx="3">
                  <c:v>C</c:v>
                </c:pt>
                <c:pt idx="4">
                  <c:v>D</c:v>
                </c:pt>
                <c:pt idx="5">
                  <c:v>E</c:v>
                </c:pt>
                <c:pt idx="6">
                  <c:v>F</c:v>
                </c:pt>
              </c:strCache>
            </c:strRef>
          </c:cat>
          <c:val>
            <c:numRef>
              <c:f>模拟测试YCSB版!$B$266:$H$266</c:f>
              <c:numCache>
                <c:formatCode>General</c:formatCode>
                <c:ptCount val="7"/>
                <c:pt idx="0">
                  <c:v>2433</c:v>
                </c:pt>
                <c:pt idx="1">
                  <c:v>632</c:v>
                </c:pt>
                <c:pt idx="2">
                  <c:v>1274</c:v>
                </c:pt>
                <c:pt idx="3">
                  <c:v>1533</c:v>
                </c:pt>
                <c:pt idx="4">
                  <c:v>1274</c:v>
                </c:pt>
                <c:pt idx="5">
                  <c:v>13</c:v>
                </c:pt>
                <c:pt idx="6">
                  <c:v>632</c:v>
                </c:pt>
              </c:numCache>
            </c:numRef>
          </c:val>
          <c:extLst>
            <c:ext xmlns:c16="http://schemas.microsoft.com/office/drawing/2014/chart" uri="{C3380CC4-5D6E-409C-BE32-E72D297353CC}">
              <c16:uniqueId val="{00000006-8039-4A72-9B85-F6FECF6128D8}"/>
            </c:ext>
          </c:extLst>
        </c:ser>
        <c:ser>
          <c:idx val="1"/>
          <c:order val="1"/>
          <c:tx>
            <c:strRef>
              <c:f>模拟测试YCSB版!$A$267</c:f>
              <c:strCache>
                <c:ptCount val="1"/>
                <c:pt idx="0">
                  <c:v>Kvell-8(30g page cache)</c:v>
                </c:pt>
              </c:strCache>
            </c:strRef>
          </c:tx>
          <c:spPr>
            <a:pattFill prst="wdUpDiag">
              <a:fgClr>
                <a:schemeClr val="tx1"/>
              </a:fgClr>
              <a:bgClr>
                <a:schemeClr val="bg1"/>
              </a:bgClr>
            </a:pattFill>
            <a:ln>
              <a:solidFill>
                <a:sysClr val="windowText" lastClr="000000"/>
              </a:solid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22-8039-4A72-9B85-F6FECF6128D8}"/>
                </c:ext>
              </c:extLst>
            </c:dLbl>
            <c:dLbl>
              <c:idx val="1"/>
              <c:delete val="1"/>
              <c:extLst>
                <c:ext xmlns:c15="http://schemas.microsoft.com/office/drawing/2012/chart" uri="{CE6537A1-D6FC-4f65-9D91-7224C49458BB}"/>
                <c:ext xmlns:c16="http://schemas.microsoft.com/office/drawing/2014/chart" uri="{C3380CC4-5D6E-409C-BE32-E72D297353CC}">
                  <c16:uniqueId val="{00000028-8039-4A72-9B85-F6FECF6128D8}"/>
                </c:ext>
              </c:extLst>
            </c:dLbl>
            <c:dLbl>
              <c:idx val="2"/>
              <c:delete val="1"/>
              <c:extLst>
                <c:ext xmlns:c15="http://schemas.microsoft.com/office/drawing/2012/chart" uri="{CE6537A1-D6FC-4f65-9D91-7224C49458BB}"/>
                <c:ext xmlns:c16="http://schemas.microsoft.com/office/drawing/2014/chart" uri="{C3380CC4-5D6E-409C-BE32-E72D297353CC}">
                  <c16:uniqueId val="{00000029-8039-4A72-9B85-F6FECF6128D8}"/>
                </c:ext>
              </c:extLst>
            </c:dLbl>
            <c:dLbl>
              <c:idx val="3"/>
              <c:delete val="1"/>
              <c:extLst>
                <c:ext xmlns:c15="http://schemas.microsoft.com/office/drawing/2012/chart" uri="{CE6537A1-D6FC-4f65-9D91-7224C49458BB}"/>
                <c:ext xmlns:c16="http://schemas.microsoft.com/office/drawing/2014/chart" uri="{C3380CC4-5D6E-409C-BE32-E72D297353CC}">
                  <c16:uniqueId val="{0000002A-8039-4A72-9B85-F6FECF6128D8}"/>
                </c:ext>
              </c:extLst>
            </c:dLbl>
            <c:dLbl>
              <c:idx val="4"/>
              <c:delete val="1"/>
              <c:extLst>
                <c:ext xmlns:c15="http://schemas.microsoft.com/office/drawing/2012/chart" uri="{CE6537A1-D6FC-4f65-9D91-7224C49458BB}"/>
                <c:ext xmlns:c16="http://schemas.microsoft.com/office/drawing/2014/chart" uri="{C3380CC4-5D6E-409C-BE32-E72D297353CC}">
                  <c16:uniqueId val="{0000002B-8039-4A72-9B85-F6FECF6128D8}"/>
                </c:ext>
              </c:extLst>
            </c:dLbl>
            <c:dLbl>
              <c:idx val="6"/>
              <c:delete val="1"/>
              <c:extLst>
                <c:ext xmlns:c15="http://schemas.microsoft.com/office/drawing/2012/chart" uri="{CE6537A1-D6FC-4f65-9D91-7224C49458BB}"/>
                <c:ext xmlns:c16="http://schemas.microsoft.com/office/drawing/2014/chart" uri="{C3380CC4-5D6E-409C-BE32-E72D297353CC}">
                  <c16:uniqueId val="{0000002C-8039-4A72-9B85-F6FECF6128D8}"/>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模拟测试YCSB版!$B$262:$H$262</c:f>
              <c:strCache>
                <c:ptCount val="7"/>
                <c:pt idx="0">
                  <c:v>LOAD</c:v>
                </c:pt>
                <c:pt idx="1">
                  <c:v>A</c:v>
                </c:pt>
                <c:pt idx="2">
                  <c:v>B</c:v>
                </c:pt>
                <c:pt idx="3">
                  <c:v>C</c:v>
                </c:pt>
                <c:pt idx="4">
                  <c:v>D</c:v>
                </c:pt>
                <c:pt idx="5">
                  <c:v>E</c:v>
                </c:pt>
                <c:pt idx="6">
                  <c:v>F</c:v>
                </c:pt>
              </c:strCache>
            </c:strRef>
          </c:cat>
          <c:val>
            <c:numRef>
              <c:f>模拟测试YCSB版!$B$267:$H$267</c:f>
              <c:numCache>
                <c:formatCode>General</c:formatCode>
                <c:ptCount val="7"/>
                <c:pt idx="0">
                  <c:v>2129</c:v>
                </c:pt>
                <c:pt idx="1">
                  <c:v>873</c:v>
                </c:pt>
                <c:pt idx="2">
                  <c:v>2130</c:v>
                </c:pt>
                <c:pt idx="3">
                  <c:v>2290</c:v>
                </c:pt>
                <c:pt idx="4">
                  <c:v>2130</c:v>
                </c:pt>
                <c:pt idx="5">
                  <c:v>23</c:v>
                </c:pt>
                <c:pt idx="6">
                  <c:v>873</c:v>
                </c:pt>
              </c:numCache>
            </c:numRef>
          </c:val>
          <c:extLst>
            <c:ext xmlns:c16="http://schemas.microsoft.com/office/drawing/2014/chart" uri="{C3380CC4-5D6E-409C-BE32-E72D297353CC}">
              <c16:uniqueId val="{0000001F-8039-4A72-9B85-F6FECF6128D8}"/>
            </c:ext>
          </c:extLst>
        </c:ser>
        <c:ser>
          <c:idx val="2"/>
          <c:order val="2"/>
          <c:tx>
            <c:strRef>
              <c:f>模拟测试YCSB版!$A$268</c:f>
              <c:strCache>
                <c:ptCount val="1"/>
                <c:pt idx="0">
                  <c:v>P2KVS-8</c:v>
                </c:pt>
              </c:strCache>
            </c:strRef>
          </c:tx>
          <c:spPr>
            <a:solidFill>
              <a:srgbClr val="FF0000">
                <a:alpha val="89000"/>
              </a:srgbClr>
            </a:solidFill>
            <a:ln>
              <a:solidFill>
                <a:sysClr val="windowText" lastClr="000000"/>
              </a:solid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21-8039-4A72-9B85-F6FECF6128D8}"/>
                </c:ext>
              </c:extLst>
            </c:dLbl>
            <c:dLbl>
              <c:idx val="1"/>
              <c:delete val="1"/>
              <c:extLst>
                <c:ext xmlns:c15="http://schemas.microsoft.com/office/drawing/2012/chart" uri="{CE6537A1-D6FC-4f65-9D91-7224C49458BB}"/>
                <c:ext xmlns:c16="http://schemas.microsoft.com/office/drawing/2014/chart" uri="{C3380CC4-5D6E-409C-BE32-E72D297353CC}">
                  <c16:uniqueId val="{00000023-8039-4A72-9B85-F6FECF6128D8}"/>
                </c:ext>
              </c:extLst>
            </c:dLbl>
            <c:dLbl>
              <c:idx val="2"/>
              <c:delete val="1"/>
              <c:extLst>
                <c:ext xmlns:c15="http://schemas.microsoft.com/office/drawing/2012/chart" uri="{CE6537A1-D6FC-4f65-9D91-7224C49458BB}"/>
                <c:ext xmlns:c16="http://schemas.microsoft.com/office/drawing/2014/chart" uri="{C3380CC4-5D6E-409C-BE32-E72D297353CC}">
                  <c16:uniqueId val="{00000024-8039-4A72-9B85-F6FECF6128D8}"/>
                </c:ext>
              </c:extLst>
            </c:dLbl>
            <c:dLbl>
              <c:idx val="3"/>
              <c:delete val="1"/>
              <c:extLst>
                <c:ext xmlns:c15="http://schemas.microsoft.com/office/drawing/2012/chart" uri="{CE6537A1-D6FC-4f65-9D91-7224C49458BB}"/>
                <c:ext xmlns:c16="http://schemas.microsoft.com/office/drawing/2014/chart" uri="{C3380CC4-5D6E-409C-BE32-E72D297353CC}">
                  <c16:uniqueId val="{00000025-8039-4A72-9B85-F6FECF6128D8}"/>
                </c:ext>
              </c:extLst>
            </c:dLbl>
            <c:dLbl>
              <c:idx val="4"/>
              <c:delete val="1"/>
              <c:extLst>
                <c:ext xmlns:c15="http://schemas.microsoft.com/office/drawing/2012/chart" uri="{CE6537A1-D6FC-4f65-9D91-7224C49458BB}"/>
                <c:ext xmlns:c16="http://schemas.microsoft.com/office/drawing/2014/chart" uri="{C3380CC4-5D6E-409C-BE32-E72D297353CC}">
                  <c16:uniqueId val="{00000027-8039-4A72-9B85-F6FECF6128D8}"/>
                </c:ext>
              </c:extLst>
            </c:dLbl>
            <c:dLbl>
              <c:idx val="6"/>
              <c:delete val="1"/>
              <c:extLst>
                <c:ext xmlns:c15="http://schemas.microsoft.com/office/drawing/2012/chart" uri="{CE6537A1-D6FC-4f65-9D91-7224C49458BB}"/>
                <c:ext xmlns:c16="http://schemas.microsoft.com/office/drawing/2014/chart" uri="{C3380CC4-5D6E-409C-BE32-E72D297353CC}">
                  <c16:uniqueId val="{00000026-8039-4A72-9B85-F6FECF6128D8}"/>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模拟测试YCSB版!$B$262:$H$262</c:f>
              <c:strCache>
                <c:ptCount val="7"/>
                <c:pt idx="0">
                  <c:v>LOAD</c:v>
                </c:pt>
                <c:pt idx="1">
                  <c:v>A</c:v>
                </c:pt>
                <c:pt idx="2">
                  <c:v>B</c:v>
                </c:pt>
                <c:pt idx="3">
                  <c:v>C</c:v>
                </c:pt>
                <c:pt idx="4">
                  <c:v>D</c:v>
                </c:pt>
                <c:pt idx="5">
                  <c:v>E</c:v>
                </c:pt>
                <c:pt idx="6">
                  <c:v>F</c:v>
                </c:pt>
              </c:strCache>
            </c:strRef>
          </c:cat>
          <c:val>
            <c:numRef>
              <c:f>模拟测试YCSB版!$B$268:$H$268</c:f>
              <c:numCache>
                <c:formatCode>General</c:formatCode>
                <c:ptCount val="7"/>
                <c:pt idx="0">
                  <c:v>2536</c:v>
                </c:pt>
                <c:pt idx="1">
                  <c:v>1058</c:v>
                </c:pt>
                <c:pt idx="2">
                  <c:v>1299</c:v>
                </c:pt>
                <c:pt idx="3">
                  <c:v>1244</c:v>
                </c:pt>
                <c:pt idx="4">
                  <c:v>1425</c:v>
                </c:pt>
                <c:pt idx="5">
                  <c:v>23</c:v>
                </c:pt>
                <c:pt idx="6">
                  <c:v>1283</c:v>
                </c:pt>
              </c:numCache>
            </c:numRef>
          </c:val>
          <c:extLst>
            <c:ext xmlns:c16="http://schemas.microsoft.com/office/drawing/2014/chart" uri="{C3380CC4-5D6E-409C-BE32-E72D297353CC}">
              <c16:uniqueId val="{00000020-8039-4A72-9B85-F6FECF6128D8}"/>
            </c:ext>
          </c:extLst>
        </c:ser>
        <c:dLbls>
          <c:showLegendKey val="0"/>
          <c:showVal val="0"/>
          <c:showCatName val="0"/>
          <c:showSerName val="0"/>
          <c:showPercent val="0"/>
          <c:showBubbleSize val="0"/>
        </c:dLbls>
        <c:gapWidth val="219"/>
        <c:overlap val="-27"/>
        <c:axId val="100195263"/>
        <c:axId val="96041215"/>
      </c:barChart>
      <c:catAx>
        <c:axId val="10019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ysClr val="windowText" lastClr="000000"/>
                </a:solidFill>
                <a:latin typeface="+mn-lt"/>
                <a:ea typeface="+mn-ea"/>
                <a:cs typeface="+mn-cs"/>
              </a:defRPr>
            </a:pPr>
            <a:endParaRPr lang="zh-CN"/>
          </a:p>
        </c:txPr>
        <c:crossAx val="96041215"/>
        <c:crosses val="autoZero"/>
        <c:auto val="1"/>
        <c:lblAlgn val="ctr"/>
        <c:lblOffset val="100"/>
        <c:noMultiLvlLbl val="0"/>
      </c:catAx>
      <c:valAx>
        <c:axId val="96041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sz="1200" b="1">
                    <a:solidFill>
                      <a:sysClr val="windowText" lastClr="000000"/>
                    </a:solidFill>
                  </a:rPr>
                  <a:t>KQPS</a:t>
                </a:r>
                <a:endParaRPr lang="zh-CN" altLang="en-US" sz="1200"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0195263"/>
        <c:crosses val="autoZero"/>
        <c:crossBetween val="between"/>
      </c:valAx>
      <c:spPr>
        <a:noFill/>
        <a:ln w="25400">
          <a:noFill/>
        </a:ln>
        <a:effectLst/>
      </c:spPr>
    </c:plotArea>
    <c:legend>
      <c:legendPos val="tr"/>
      <c:layout>
        <c:manualLayout>
          <c:xMode val="edge"/>
          <c:yMode val="edge"/>
          <c:x val="0.72911649937453382"/>
          <c:y val="9.5890579785162508E-2"/>
          <c:w val="0.26637918213810574"/>
          <c:h val="0.31661252868117856"/>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900" b="1" i="0" u="none" strike="noStrike" kern="1200" baseline="0">
              <a:ln>
                <a:noFill/>
              </a:ln>
              <a:solidFill>
                <a:sysClr val="windowText" lastClr="000000"/>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128</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带宽占用RocksDB!$A$1</c:f>
              <c:strCache>
                <c:ptCount val="1"/>
                <c:pt idx="0">
                  <c:v>read</c:v>
                </c:pt>
              </c:strCache>
            </c:strRef>
          </c:tx>
          <c:spPr>
            <a:ln w="28575" cap="rnd">
              <a:solidFill>
                <a:schemeClr val="accent1"/>
              </a:solidFill>
              <a:round/>
            </a:ln>
            <a:effectLst/>
          </c:spPr>
          <c:marker>
            <c:symbol val="none"/>
          </c:marker>
          <c:val>
            <c:numRef>
              <c:f>带宽占用RocksDB!$A$2:$A$395</c:f>
              <c:numCache>
                <c:formatCode>General</c:formatCode>
                <c:ptCount val="394"/>
                <c:pt idx="0">
                  <c:v>0</c:v>
                </c:pt>
                <c:pt idx="1">
                  <c:v>0</c:v>
                </c:pt>
                <c:pt idx="2">
                  <c:v>0</c:v>
                </c:pt>
                <c:pt idx="3">
                  <c:v>0</c:v>
                </c:pt>
                <c:pt idx="4">
                  <c:v>0</c:v>
                </c:pt>
                <c:pt idx="5">
                  <c:v>0</c:v>
                </c:pt>
                <c:pt idx="6">
                  <c:v>0</c:v>
                </c:pt>
                <c:pt idx="7">
                  <c:v>207</c:v>
                </c:pt>
                <c:pt idx="8">
                  <c:v>0</c:v>
                </c:pt>
                <c:pt idx="9">
                  <c:v>0</c:v>
                </c:pt>
                <c:pt idx="10">
                  <c:v>0</c:v>
                </c:pt>
                <c:pt idx="11">
                  <c:v>0</c:v>
                </c:pt>
                <c:pt idx="12">
                  <c:v>78</c:v>
                </c:pt>
                <c:pt idx="13">
                  <c:v>276</c:v>
                </c:pt>
                <c:pt idx="14">
                  <c:v>60</c:v>
                </c:pt>
                <c:pt idx="15">
                  <c:v>0</c:v>
                </c:pt>
                <c:pt idx="16">
                  <c:v>0</c:v>
                </c:pt>
                <c:pt idx="17">
                  <c:v>0</c:v>
                </c:pt>
                <c:pt idx="18">
                  <c:v>174</c:v>
                </c:pt>
                <c:pt idx="19">
                  <c:v>252</c:v>
                </c:pt>
                <c:pt idx="20">
                  <c:v>0</c:v>
                </c:pt>
                <c:pt idx="21">
                  <c:v>0</c:v>
                </c:pt>
                <c:pt idx="22">
                  <c:v>0</c:v>
                </c:pt>
                <c:pt idx="23">
                  <c:v>0</c:v>
                </c:pt>
                <c:pt idx="24">
                  <c:v>224</c:v>
                </c:pt>
                <c:pt idx="25">
                  <c:v>279</c:v>
                </c:pt>
                <c:pt idx="26">
                  <c:v>194</c:v>
                </c:pt>
                <c:pt idx="27">
                  <c:v>0</c:v>
                </c:pt>
                <c:pt idx="28">
                  <c:v>0</c:v>
                </c:pt>
                <c:pt idx="29">
                  <c:v>0</c:v>
                </c:pt>
                <c:pt idx="30">
                  <c:v>272</c:v>
                </c:pt>
                <c:pt idx="31">
                  <c:v>283</c:v>
                </c:pt>
                <c:pt idx="32">
                  <c:v>303</c:v>
                </c:pt>
                <c:pt idx="33">
                  <c:v>57</c:v>
                </c:pt>
                <c:pt idx="34">
                  <c:v>0</c:v>
                </c:pt>
                <c:pt idx="35">
                  <c:v>0</c:v>
                </c:pt>
                <c:pt idx="36">
                  <c:v>216</c:v>
                </c:pt>
                <c:pt idx="37">
                  <c:v>287</c:v>
                </c:pt>
                <c:pt idx="38">
                  <c:v>296</c:v>
                </c:pt>
                <c:pt idx="39">
                  <c:v>144</c:v>
                </c:pt>
                <c:pt idx="40">
                  <c:v>0</c:v>
                </c:pt>
                <c:pt idx="41">
                  <c:v>0</c:v>
                </c:pt>
                <c:pt idx="42">
                  <c:v>177</c:v>
                </c:pt>
                <c:pt idx="43">
                  <c:v>291</c:v>
                </c:pt>
                <c:pt idx="44">
                  <c:v>312</c:v>
                </c:pt>
                <c:pt idx="45">
                  <c:v>264</c:v>
                </c:pt>
                <c:pt idx="46">
                  <c:v>0</c:v>
                </c:pt>
                <c:pt idx="47">
                  <c:v>0</c:v>
                </c:pt>
                <c:pt idx="48">
                  <c:v>151</c:v>
                </c:pt>
                <c:pt idx="49">
                  <c:v>265</c:v>
                </c:pt>
                <c:pt idx="50">
                  <c:v>295</c:v>
                </c:pt>
                <c:pt idx="51">
                  <c:v>312</c:v>
                </c:pt>
                <c:pt idx="52">
                  <c:v>226</c:v>
                </c:pt>
                <c:pt idx="53">
                  <c:v>0</c:v>
                </c:pt>
                <c:pt idx="54">
                  <c:v>174</c:v>
                </c:pt>
                <c:pt idx="55">
                  <c:v>264</c:v>
                </c:pt>
                <c:pt idx="56">
                  <c:v>313</c:v>
                </c:pt>
                <c:pt idx="57">
                  <c:v>296</c:v>
                </c:pt>
                <c:pt idx="58">
                  <c:v>314</c:v>
                </c:pt>
                <c:pt idx="59">
                  <c:v>149</c:v>
                </c:pt>
                <c:pt idx="60">
                  <c:v>264</c:v>
                </c:pt>
                <c:pt idx="61">
                  <c:v>282</c:v>
                </c:pt>
                <c:pt idx="62">
                  <c:v>302</c:v>
                </c:pt>
                <c:pt idx="63">
                  <c:v>298</c:v>
                </c:pt>
                <c:pt idx="64">
                  <c:v>91</c:v>
                </c:pt>
                <c:pt idx="65">
                  <c:v>34</c:v>
                </c:pt>
                <c:pt idx="66">
                  <c:v>272</c:v>
                </c:pt>
                <c:pt idx="67">
                  <c:v>267</c:v>
                </c:pt>
                <c:pt idx="68">
                  <c:v>311</c:v>
                </c:pt>
                <c:pt idx="69">
                  <c:v>272</c:v>
                </c:pt>
                <c:pt idx="70">
                  <c:v>0</c:v>
                </c:pt>
                <c:pt idx="71">
                  <c:v>35</c:v>
                </c:pt>
                <c:pt idx="72">
                  <c:v>261</c:v>
                </c:pt>
                <c:pt idx="73">
                  <c:v>264</c:v>
                </c:pt>
                <c:pt idx="74">
                  <c:v>276</c:v>
                </c:pt>
                <c:pt idx="75">
                  <c:v>278</c:v>
                </c:pt>
                <c:pt idx="76">
                  <c:v>286</c:v>
                </c:pt>
                <c:pt idx="77">
                  <c:v>191</c:v>
                </c:pt>
                <c:pt idx="78">
                  <c:v>259</c:v>
                </c:pt>
                <c:pt idx="79">
                  <c:v>273</c:v>
                </c:pt>
                <c:pt idx="80">
                  <c:v>285</c:v>
                </c:pt>
                <c:pt idx="81">
                  <c:v>297</c:v>
                </c:pt>
                <c:pt idx="82">
                  <c:v>236</c:v>
                </c:pt>
                <c:pt idx="83">
                  <c:v>65</c:v>
                </c:pt>
                <c:pt idx="84">
                  <c:v>258</c:v>
                </c:pt>
                <c:pt idx="85">
                  <c:v>281</c:v>
                </c:pt>
                <c:pt idx="86">
                  <c:v>304</c:v>
                </c:pt>
                <c:pt idx="87">
                  <c:v>289</c:v>
                </c:pt>
                <c:pt idx="88">
                  <c:v>281</c:v>
                </c:pt>
                <c:pt idx="89">
                  <c:v>130</c:v>
                </c:pt>
                <c:pt idx="90">
                  <c:v>271</c:v>
                </c:pt>
                <c:pt idx="91">
                  <c:v>300</c:v>
                </c:pt>
                <c:pt idx="92">
                  <c:v>311</c:v>
                </c:pt>
                <c:pt idx="93">
                  <c:v>304</c:v>
                </c:pt>
                <c:pt idx="94">
                  <c:v>315</c:v>
                </c:pt>
                <c:pt idx="95">
                  <c:v>283</c:v>
                </c:pt>
                <c:pt idx="96">
                  <c:v>276</c:v>
                </c:pt>
                <c:pt idx="97">
                  <c:v>276</c:v>
                </c:pt>
                <c:pt idx="98">
                  <c:v>314</c:v>
                </c:pt>
                <c:pt idx="99">
                  <c:v>302</c:v>
                </c:pt>
                <c:pt idx="100">
                  <c:v>297</c:v>
                </c:pt>
                <c:pt idx="101">
                  <c:v>295</c:v>
                </c:pt>
                <c:pt idx="102">
                  <c:v>270</c:v>
                </c:pt>
                <c:pt idx="103">
                  <c:v>295</c:v>
                </c:pt>
                <c:pt idx="104">
                  <c:v>290</c:v>
                </c:pt>
                <c:pt idx="105">
                  <c:v>290</c:v>
                </c:pt>
                <c:pt idx="106">
                  <c:v>84</c:v>
                </c:pt>
                <c:pt idx="107">
                  <c:v>189</c:v>
                </c:pt>
                <c:pt idx="108">
                  <c:v>237</c:v>
                </c:pt>
                <c:pt idx="109">
                  <c:v>284</c:v>
                </c:pt>
                <c:pt idx="110">
                  <c:v>289</c:v>
                </c:pt>
                <c:pt idx="111">
                  <c:v>294</c:v>
                </c:pt>
                <c:pt idx="112">
                  <c:v>300</c:v>
                </c:pt>
                <c:pt idx="113">
                  <c:v>274</c:v>
                </c:pt>
                <c:pt idx="114">
                  <c:v>265</c:v>
                </c:pt>
                <c:pt idx="115">
                  <c:v>272</c:v>
                </c:pt>
                <c:pt idx="116">
                  <c:v>226</c:v>
                </c:pt>
                <c:pt idx="117">
                  <c:v>294</c:v>
                </c:pt>
                <c:pt idx="118">
                  <c:v>280</c:v>
                </c:pt>
                <c:pt idx="119">
                  <c:v>180</c:v>
                </c:pt>
                <c:pt idx="120">
                  <c:v>271</c:v>
                </c:pt>
                <c:pt idx="121">
                  <c:v>294</c:v>
                </c:pt>
                <c:pt idx="122">
                  <c:v>301</c:v>
                </c:pt>
                <c:pt idx="123">
                  <c:v>311</c:v>
                </c:pt>
                <c:pt idx="124">
                  <c:v>73</c:v>
                </c:pt>
                <c:pt idx="125">
                  <c:v>0</c:v>
                </c:pt>
                <c:pt idx="126">
                  <c:v>206</c:v>
                </c:pt>
                <c:pt idx="127">
                  <c:v>281</c:v>
                </c:pt>
                <c:pt idx="128">
                  <c:v>308</c:v>
                </c:pt>
                <c:pt idx="129">
                  <c:v>300</c:v>
                </c:pt>
                <c:pt idx="130">
                  <c:v>306</c:v>
                </c:pt>
                <c:pt idx="131">
                  <c:v>54</c:v>
                </c:pt>
                <c:pt idx="132">
                  <c:v>158</c:v>
                </c:pt>
                <c:pt idx="133">
                  <c:v>285</c:v>
                </c:pt>
                <c:pt idx="134">
                  <c:v>290</c:v>
                </c:pt>
                <c:pt idx="135">
                  <c:v>290</c:v>
                </c:pt>
                <c:pt idx="136">
                  <c:v>283</c:v>
                </c:pt>
                <c:pt idx="137">
                  <c:v>286</c:v>
                </c:pt>
                <c:pt idx="138">
                  <c:v>285</c:v>
                </c:pt>
                <c:pt idx="139">
                  <c:v>263</c:v>
                </c:pt>
                <c:pt idx="140">
                  <c:v>271</c:v>
                </c:pt>
                <c:pt idx="141">
                  <c:v>304</c:v>
                </c:pt>
                <c:pt idx="142">
                  <c:v>300</c:v>
                </c:pt>
                <c:pt idx="143">
                  <c:v>298</c:v>
                </c:pt>
                <c:pt idx="144">
                  <c:v>274</c:v>
                </c:pt>
                <c:pt idx="145">
                  <c:v>246</c:v>
                </c:pt>
                <c:pt idx="146">
                  <c:v>279</c:v>
                </c:pt>
                <c:pt idx="147">
                  <c:v>284</c:v>
                </c:pt>
                <c:pt idx="148">
                  <c:v>288</c:v>
                </c:pt>
                <c:pt idx="149">
                  <c:v>305</c:v>
                </c:pt>
                <c:pt idx="150">
                  <c:v>124</c:v>
                </c:pt>
                <c:pt idx="151">
                  <c:v>261</c:v>
                </c:pt>
                <c:pt idx="152">
                  <c:v>262</c:v>
                </c:pt>
                <c:pt idx="153">
                  <c:v>291</c:v>
                </c:pt>
                <c:pt idx="154">
                  <c:v>279</c:v>
                </c:pt>
                <c:pt idx="155">
                  <c:v>113</c:v>
                </c:pt>
                <c:pt idx="156">
                  <c:v>142</c:v>
                </c:pt>
                <c:pt idx="157">
                  <c:v>265</c:v>
                </c:pt>
                <c:pt idx="158">
                  <c:v>274</c:v>
                </c:pt>
                <c:pt idx="159">
                  <c:v>292</c:v>
                </c:pt>
                <c:pt idx="160">
                  <c:v>287</c:v>
                </c:pt>
                <c:pt idx="161">
                  <c:v>292</c:v>
                </c:pt>
                <c:pt idx="162">
                  <c:v>247</c:v>
                </c:pt>
                <c:pt idx="163">
                  <c:v>257</c:v>
                </c:pt>
                <c:pt idx="164">
                  <c:v>263</c:v>
                </c:pt>
                <c:pt idx="165">
                  <c:v>296</c:v>
                </c:pt>
                <c:pt idx="166">
                  <c:v>290</c:v>
                </c:pt>
                <c:pt idx="167">
                  <c:v>295</c:v>
                </c:pt>
                <c:pt idx="168">
                  <c:v>280</c:v>
                </c:pt>
                <c:pt idx="169">
                  <c:v>267</c:v>
                </c:pt>
                <c:pt idx="170">
                  <c:v>254</c:v>
                </c:pt>
                <c:pt idx="171">
                  <c:v>280</c:v>
                </c:pt>
                <c:pt idx="172">
                  <c:v>274</c:v>
                </c:pt>
                <c:pt idx="173">
                  <c:v>294</c:v>
                </c:pt>
                <c:pt idx="174">
                  <c:v>269</c:v>
                </c:pt>
                <c:pt idx="175">
                  <c:v>266</c:v>
                </c:pt>
                <c:pt idx="176">
                  <c:v>251</c:v>
                </c:pt>
                <c:pt idx="177">
                  <c:v>258</c:v>
                </c:pt>
                <c:pt idx="178">
                  <c:v>294</c:v>
                </c:pt>
                <c:pt idx="179">
                  <c:v>281</c:v>
                </c:pt>
                <c:pt idx="180">
                  <c:v>299</c:v>
                </c:pt>
                <c:pt idx="181">
                  <c:v>277</c:v>
                </c:pt>
                <c:pt idx="182">
                  <c:v>255</c:v>
                </c:pt>
                <c:pt idx="183">
                  <c:v>274</c:v>
                </c:pt>
                <c:pt idx="184">
                  <c:v>280</c:v>
                </c:pt>
                <c:pt idx="185">
                  <c:v>272</c:v>
                </c:pt>
                <c:pt idx="186">
                  <c:v>262</c:v>
                </c:pt>
                <c:pt idx="187">
                  <c:v>252</c:v>
                </c:pt>
                <c:pt idx="188">
                  <c:v>274</c:v>
                </c:pt>
                <c:pt idx="189">
                  <c:v>295</c:v>
                </c:pt>
                <c:pt idx="190">
                  <c:v>286</c:v>
                </c:pt>
                <c:pt idx="191">
                  <c:v>278</c:v>
                </c:pt>
                <c:pt idx="192">
                  <c:v>269</c:v>
                </c:pt>
                <c:pt idx="193">
                  <c:v>276</c:v>
                </c:pt>
                <c:pt idx="194">
                  <c:v>275</c:v>
                </c:pt>
                <c:pt idx="195">
                  <c:v>271</c:v>
                </c:pt>
                <c:pt idx="196">
                  <c:v>292</c:v>
                </c:pt>
                <c:pt idx="197">
                  <c:v>264</c:v>
                </c:pt>
                <c:pt idx="198">
                  <c:v>298</c:v>
                </c:pt>
                <c:pt idx="199">
                  <c:v>259</c:v>
                </c:pt>
                <c:pt idx="200">
                  <c:v>259</c:v>
                </c:pt>
                <c:pt idx="201">
                  <c:v>281</c:v>
                </c:pt>
                <c:pt idx="202">
                  <c:v>283</c:v>
                </c:pt>
                <c:pt idx="203">
                  <c:v>286</c:v>
                </c:pt>
                <c:pt idx="204">
                  <c:v>284</c:v>
                </c:pt>
                <c:pt idx="205">
                  <c:v>279</c:v>
                </c:pt>
                <c:pt idx="206">
                  <c:v>266</c:v>
                </c:pt>
                <c:pt idx="207">
                  <c:v>263</c:v>
                </c:pt>
                <c:pt idx="208">
                  <c:v>232</c:v>
                </c:pt>
                <c:pt idx="209">
                  <c:v>268</c:v>
                </c:pt>
                <c:pt idx="210">
                  <c:v>296</c:v>
                </c:pt>
                <c:pt idx="211">
                  <c:v>260</c:v>
                </c:pt>
                <c:pt idx="212">
                  <c:v>282</c:v>
                </c:pt>
                <c:pt idx="213">
                  <c:v>275</c:v>
                </c:pt>
                <c:pt idx="214">
                  <c:v>253</c:v>
                </c:pt>
                <c:pt idx="215">
                  <c:v>247</c:v>
                </c:pt>
                <c:pt idx="216">
                  <c:v>264</c:v>
                </c:pt>
                <c:pt idx="217">
                  <c:v>292</c:v>
                </c:pt>
                <c:pt idx="218">
                  <c:v>277</c:v>
                </c:pt>
                <c:pt idx="219">
                  <c:v>276</c:v>
                </c:pt>
                <c:pt idx="220">
                  <c:v>283</c:v>
                </c:pt>
                <c:pt idx="221">
                  <c:v>271</c:v>
                </c:pt>
                <c:pt idx="222">
                  <c:v>271</c:v>
                </c:pt>
                <c:pt idx="223">
                  <c:v>266</c:v>
                </c:pt>
                <c:pt idx="224">
                  <c:v>287</c:v>
                </c:pt>
                <c:pt idx="225">
                  <c:v>289</c:v>
                </c:pt>
                <c:pt idx="226">
                  <c:v>299</c:v>
                </c:pt>
                <c:pt idx="227">
                  <c:v>293</c:v>
                </c:pt>
                <c:pt idx="228">
                  <c:v>270</c:v>
                </c:pt>
                <c:pt idx="229">
                  <c:v>272</c:v>
                </c:pt>
                <c:pt idx="230">
                  <c:v>272</c:v>
                </c:pt>
                <c:pt idx="231">
                  <c:v>290</c:v>
                </c:pt>
                <c:pt idx="232">
                  <c:v>285</c:v>
                </c:pt>
                <c:pt idx="233">
                  <c:v>301</c:v>
                </c:pt>
                <c:pt idx="234">
                  <c:v>291</c:v>
                </c:pt>
                <c:pt idx="235">
                  <c:v>291</c:v>
                </c:pt>
                <c:pt idx="236">
                  <c:v>279</c:v>
                </c:pt>
                <c:pt idx="237">
                  <c:v>256</c:v>
                </c:pt>
                <c:pt idx="238">
                  <c:v>260</c:v>
                </c:pt>
                <c:pt idx="239">
                  <c:v>256</c:v>
                </c:pt>
                <c:pt idx="240">
                  <c:v>291</c:v>
                </c:pt>
                <c:pt idx="241">
                  <c:v>286</c:v>
                </c:pt>
                <c:pt idx="242">
                  <c:v>282</c:v>
                </c:pt>
                <c:pt idx="243">
                  <c:v>261</c:v>
                </c:pt>
                <c:pt idx="244">
                  <c:v>268</c:v>
                </c:pt>
                <c:pt idx="245">
                  <c:v>269</c:v>
                </c:pt>
                <c:pt idx="246">
                  <c:v>255</c:v>
                </c:pt>
                <c:pt idx="247">
                  <c:v>246</c:v>
                </c:pt>
                <c:pt idx="248">
                  <c:v>282</c:v>
                </c:pt>
                <c:pt idx="249">
                  <c:v>281</c:v>
                </c:pt>
                <c:pt idx="250">
                  <c:v>277</c:v>
                </c:pt>
                <c:pt idx="251">
                  <c:v>289</c:v>
                </c:pt>
                <c:pt idx="252">
                  <c:v>302</c:v>
                </c:pt>
                <c:pt idx="253">
                  <c:v>283</c:v>
                </c:pt>
                <c:pt idx="254">
                  <c:v>279</c:v>
                </c:pt>
                <c:pt idx="255">
                  <c:v>262</c:v>
                </c:pt>
                <c:pt idx="256">
                  <c:v>266</c:v>
                </c:pt>
                <c:pt idx="257">
                  <c:v>291</c:v>
                </c:pt>
                <c:pt idx="258">
                  <c:v>288</c:v>
                </c:pt>
                <c:pt idx="259">
                  <c:v>290</c:v>
                </c:pt>
                <c:pt idx="260">
                  <c:v>291</c:v>
                </c:pt>
                <c:pt idx="261">
                  <c:v>304</c:v>
                </c:pt>
                <c:pt idx="262">
                  <c:v>293</c:v>
                </c:pt>
                <c:pt idx="263">
                  <c:v>283</c:v>
                </c:pt>
                <c:pt idx="264">
                  <c:v>276</c:v>
                </c:pt>
                <c:pt idx="265">
                  <c:v>611</c:v>
                </c:pt>
                <c:pt idx="266">
                  <c:v>1168</c:v>
                </c:pt>
                <c:pt idx="267">
                  <c:v>1152</c:v>
                </c:pt>
                <c:pt idx="268">
                  <c:v>246</c:v>
                </c:pt>
                <c:pt idx="269">
                  <c:v>287</c:v>
                </c:pt>
                <c:pt idx="270">
                  <c:v>300</c:v>
                </c:pt>
                <c:pt idx="271">
                  <c:v>299</c:v>
                </c:pt>
                <c:pt idx="272">
                  <c:v>284</c:v>
                </c:pt>
                <c:pt idx="273">
                  <c:v>270</c:v>
                </c:pt>
                <c:pt idx="274">
                  <c:v>267</c:v>
                </c:pt>
                <c:pt idx="275">
                  <c:v>285</c:v>
                </c:pt>
                <c:pt idx="276">
                  <c:v>299</c:v>
                </c:pt>
                <c:pt idx="277">
                  <c:v>286</c:v>
                </c:pt>
                <c:pt idx="278">
                  <c:v>290</c:v>
                </c:pt>
                <c:pt idx="279">
                  <c:v>294</c:v>
                </c:pt>
                <c:pt idx="280">
                  <c:v>276</c:v>
                </c:pt>
                <c:pt idx="281">
                  <c:v>270</c:v>
                </c:pt>
                <c:pt idx="282">
                  <c:v>270</c:v>
                </c:pt>
                <c:pt idx="283">
                  <c:v>274</c:v>
                </c:pt>
                <c:pt idx="284">
                  <c:v>297</c:v>
                </c:pt>
                <c:pt idx="285">
                  <c:v>303</c:v>
                </c:pt>
                <c:pt idx="286">
                  <c:v>300</c:v>
                </c:pt>
                <c:pt idx="287">
                  <c:v>296</c:v>
                </c:pt>
                <c:pt idx="288">
                  <c:v>313</c:v>
                </c:pt>
                <c:pt idx="289">
                  <c:v>298</c:v>
                </c:pt>
                <c:pt idx="290">
                  <c:v>250</c:v>
                </c:pt>
                <c:pt idx="291">
                  <c:v>272</c:v>
                </c:pt>
                <c:pt idx="292">
                  <c:v>281</c:v>
                </c:pt>
                <c:pt idx="293">
                  <c:v>303</c:v>
                </c:pt>
                <c:pt idx="294">
                  <c:v>302</c:v>
                </c:pt>
                <c:pt idx="295">
                  <c:v>300</c:v>
                </c:pt>
                <c:pt idx="296">
                  <c:v>304</c:v>
                </c:pt>
                <c:pt idx="297">
                  <c:v>283</c:v>
                </c:pt>
                <c:pt idx="298">
                  <c:v>277</c:v>
                </c:pt>
                <c:pt idx="299">
                  <c:v>257</c:v>
                </c:pt>
                <c:pt idx="300">
                  <c:v>271</c:v>
                </c:pt>
                <c:pt idx="301">
                  <c:v>280</c:v>
                </c:pt>
                <c:pt idx="302">
                  <c:v>300</c:v>
                </c:pt>
                <c:pt idx="303">
                  <c:v>300</c:v>
                </c:pt>
                <c:pt idx="304">
                  <c:v>301</c:v>
                </c:pt>
                <c:pt idx="305">
                  <c:v>303</c:v>
                </c:pt>
                <c:pt idx="306">
                  <c:v>304</c:v>
                </c:pt>
                <c:pt idx="307">
                  <c:v>280</c:v>
                </c:pt>
                <c:pt idx="308">
                  <c:v>278</c:v>
                </c:pt>
                <c:pt idx="309">
                  <c:v>269</c:v>
                </c:pt>
                <c:pt idx="310">
                  <c:v>279</c:v>
                </c:pt>
                <c:pt idx="311">
                  <c:v>302</c:v>
                </c:pt>
                <c:pt idx="312">
                  <c:v>304</c:v>
                </c:pt>
                <c:pt idx="313">
                  <c:v>295</c:v>
                </c:pt>
                <c:pt idx="314">
                  <c:v>286</c:v>
                </c:pt>
                <c:pt idx="315">
                  <c:v>282</c:v>
                </c:pt>
                <c:pt idx="316">
                  <c:v>297</c:v>
                </c:pt>
                <c:pt idx="317">
                  <c:v>271</c:v>
                </c:pt>
                <c:pt idx="318">
                  <c:v>273</c:v>
                </c:pt>
                <c:pt idx="319">
                  <c:v>281</c:v>
                </c:pt>
                <c:pt idx="320">
                  <c:v>302</c:v>
                </c:pt>
                <c:pt idx="321">
                  <c:v>297</c:v>
                </c:pt>
                <c:pt idx="322">
                  <c:v>304</c:v>
                </c:pt>
                <c:pt idx="323">
                  <c:v>304</c:v>
                </c:pt>
                <c:pt idx="324">
                  <c:v>302</c:v>
                </c:pt>
                <c:pt idx="325">
                  <c:v>314</c:v>
                </c:pt>
                <c:pt idx="326">
                  <c:v>304</c:v>
                </c:pt>
                <c:pt idx="327">
                  <c:v>270</c:v>
                </c:pt>
                <c:pt idx="328">
                  <c:v>728</c:v>
                </c:pt>
                <c:pt idx="329">
                  <c:v>1176</c:v>
                </c:pt>
                <c:pt idx="330">
                  <c:v>1134</c:v>
                </c:pt>
                <c:pt idx="331">
                  <c:v>1155</c:v>
                </c:pt>
                <c:pt idx="332">
                  <c:v>221</c:v>
                </c:pt>
                <c:pt idx="333">
                  <c:v>267</c:v>
                </c:pt>
                <c:pt idx="334">
                  <c:v>279</c:v>
                </c:pt>
                <c:pt idx="335">
                  <c:v>276</c:v>
                </c:pt>
                <c:pt idx="336">
                  <c:v>258</c:v>
                </c:pt>
                <c:pt idx="337">
                  <c:v>274</c:v>
                </c:pt>
                <c:pt idx="338">
                  <c:v>261</c:v>
                </c:pt>
                <c:pt idx="339">
                  <c:v>257</c:v>
                </c:pt>
                <c:pt idx="340">
                  <c:v>1013</c:v>
                </c:pt>
                <c:pt idx="341">
                  <c:v>374</c:v>
                </c:pt>
                <c:pt idx="342">
                  <c:v>275</c:v>
                </c:pt>
                <c:pt idx="343">
                  <c:v>279</c:v>
                </c:pt>
                <c:pt idx="344">
                  <c:v>292</c:v>
                </c:pt>
                <c:pt idx="345">
                  <c:v>296</c:v>
                </c:pt>
                <c:pt idx="346">
                  <c:v>299</c:v>
                </c:pt>
                <c:pt idx="347">
                  <c:v>266</c:v>
                </c:pt>
                <c:pt idx="348">
                  <c:v>275</c:v>
                </c:pt>
                <c:pt idx="349">
                  <c:v>287</c:v>
                </c:pt>
                <c:pt idx="350">
                  <c:v>286</c:v>
                </c:pt>
                <c:pt idx="351">
                  <c:v>288</c:v>
                </c:pt>
                <c:pt idx="352">
                  <c:v>295</c:v>
                </c:pt>
                <c:pt idx="353">
                  <c:v>309</c:v>
                </c:pt>
                <c:pt idx="354">
                  <c:v>278</c:v>
                </c:pt>
                <c:pt idx="355">
                  <c:v>266</c:v>
                </c:pt>
                <c:pt idx="356">
                  <c:v>268</c:v>
                </c:pt>
                <c:pt idx="357">
                  <c:v>303</c:v>
                </c:pt>
                <c:pt idx="358">
                  <c:v>301</c:v>
                </c:pt>
                <c:pt idx="359">
                  <c:v>302</c:v>
                </c:pt>
                <c:pt idx="360">
                  <c:v>307</c:v>
                </c:pt>
                <c:pt idx="361">
                  <c:v>305</c:v>
                </c:pt>
                <c:pt idx="362">
                  <c:v>297</c:v>
                </c:pt>
                <c:pt idx="363">
                  <c:v>256</c:v>
                </c:pt>
                <c:pt idx="364">
                  <c:v>254</c:v>
                </c:pt>
                <c:pt idx="365">
                  <c:v>282</c:v>
                </c:pt>
                <c:pt idx="366">
                  <c:v>284</c:v>
                </c:pt>
                <c:pt idx="367">
                  <c:v>301</c:v>
                </c:pt>
                <c:pt idx="368">
                  <c:v>295</c:v>
                </c:pt>
                <c:pt idx="369">
                  <c:v>220</c:v>
                </c:pt>
                <c:pt idx="370">
                  <c:v>309</c:v>
                </c:pt>
                <c:pt idx="371">
                  <c:v>306</c:v>
                </c:pt>
                <c:pt idx="372">
                  <c:v>318</c:v>
                </c:pt>
                <c:pt idx="373">
                  <c:v>324</c:v>
                </c:pt>
                <c:pt idx="374">
                  <c:v>318</c:v>
                </c:pt>
                <c:pt idx="375">
                  <c:v>298</c:v>
                </c:pt>
                <c:pt idx="376">
                  <c:v>287</c:v>
                </c:pt>
                <c:pt idx="377">
                  <c:v>310</c:v>
                </c:pt>
                <c:pt idx="378">
                  <c:v>314</c:v>
                </c:pt>
                <c:pt idx="379">
                  <c:v>310</c:v>
                </c:pt>
                <c:pt idx="380">
                  <c:v>314</c:v>
                </c:pt>
                <c:pt idx="381">
                  <c:v>315</c:v>
                </c:pt>
                <c:pt idx="382">
                  <c:v>313</c:v>
                </c:pt>
                <c:pt idx="383">
                  <c:v>315</c:v>
                </c:pt>
                <c:pt idx="384">
                  <c:v>316</c:v>
                </c:pt>
                <c:pt idx="385">
                  <c:v>311</c:v>
                </c:pt>
                <c:pt idx="386">
                  <c:v>316</c:v>
                </c:pt>
                <c:pt idx="387">
                  <c:v>316</c:v>
                </c:pt>
                <c:pt idx="388">
                  <c:v>318</c:v>
                </c:pt>
                <c:pt idx="389">
                  <c:v>311</c:v>
                </c:pt>
                <c:pt idx="390">
                  <c:v>322</c:v>
                </c:pt>
                <c:pt idx="391">
                  <c:v>319</c:v>
                </c:pt>
                <c:pt idx="392">
                  <c:v>273</c:v>
                </c:pt>
                <c:pt idx="393">
                  <c:v>0</c:v>
                </c:pt>
              </c:numCache>
            </c:numRef>
          </c:val>
          <c:smooth val="0"/>
          <c:extLst>
            <c:ext xmlns:c16="http://schemas.microsoft.com/office/drawing/2014/chart" uri="{C3380CC4-5D6E-409C-BE32-E72D297353CC}">
              <c16:uniqueId val="{00000000-BD8D-48AC-AB64-3936B4049743}"/>
            </c:ext>
          </c:extLst>
        </c:ser>
        <c:ser>
          <c:idx val="1"/>
          <c:order val="1"/>
          <c:tx>
            <c:strRef>
              <c:f>带宽占用RocksDB!$B$1</c:f>
              <c:strCache>
                <c:ptCount val="1"/>
                <c:pt idx="0">
                  <c:v>write</c:v>
                </c:pt>
              </c:strCache>
            </c:strRef>
          </c:tx>
          <c:spPr>
            <a:ln w="28575" cap="rnd">
              <a:solidFill>
                <a:schemeClr val="accent2"/>
              </a:solidFill>
              <a:round/>
            </a:ln>
            <a:effectLst/>
          </c:spPr>
          <c:marker>
            <c:symbol val="none"/>
          </c:marker>
          <c:val>
            <c:numRef>
              <c:f>带宽占用RocksDB!$B$2:$B$395</c:f>
              <c:numCache>
                <c:formatCode>General</c:formatCode>
                <c:ptCount val="394"/>
                <c:pt idx="0">
                  <c:v>0</c:v>
                </c:pt>
                <c:pt idx="1">
                  <c:v>28</c:v>
                </c:pt>
                <c:pt idx="2">
                  <c:v>92</c:v>
                </c:pt>
                <c:pt idx="3">
                  <c:v>44</c:v>
                </c:pt>
                <c:pt idx="4">
                  <c:v>88</c:v>
                </c:pt>
                <c:pt idx="5">
                  <c:v>92</c:v>
                </c:pt>
                <c:pt idx="6">
                  <c:v>76</c:v>
                </c:pt>
                <c:pt idx="7">
                  <c:v>262</c:v>
                </c:pt>
                <c:pt idx="8">
                  <c:v>88</c:v>
                </c:pt>
                <c:pt idx="9">
                  <c:v>92</c:v>
                </c:pt>
                <c:pt idx="10">
                  <c:v>40</c:v>
                </c:pt>
                <c:pt idx="11">
                  <c:v>96</c:v>
                </c:pt>
                <c:pt idx="12">
                  <c:v>164</c:v>
                </c:pt>
                <c:pt idx="13">
                  <c:v>332</c:v>
                </c:pt>
                <c:pt idx="14">
                  <c:v>139</c:v>
                </c:pt>
                <c:pt idx="15">
                  <c:v>88</c:v>
                </c:pt>
                <c:pt idx="16">
                  <c:v>92</c:v>
                </c:pt>
                <c:pt idx="17">
                  <c:v>40</c:v>
                </c:pt>
                <c:pt idx="18">
                  <c:v>264</c:v>
                </c:pt>
                <c:pt idx="19">
                  <c:v>341</c:v>
                </c:pt>
                <c:pt idx="20">
                  <c:v>40</c:v>
                </c:pt>
                <c:pt idx="21">
                  <c:v>88</c:v>
                </c:pt>
                <c:pt idx="22">
                  <c:v>92</c:v>
                </c:pt>
                <c:pt idx="23">
                  <c:v>44</c:v>
                </c:pt>
                <c:pt idx="24">
                  <c:v>312</c:v>
                </c:pt>
                <c:pt idx="25">
                  <c:v>365</c:v>
                </c:pt>
                <c:pt idx="26">
                  <c:v>250</c:v>
                </c:pt>
                <c:pt idx="27">
                  <c:v>73</c:v>
                </c:pt>
                <c:pt idx="28">
                  <c:v>92</c:v>
                </c:pt>
                <c:pt idx="29">
                  <c:v>73</c:v>
                </c:pt>
                <c:pt idx="30">
                  <c:v>322</c:v>
                </c:pt>
                <c:pt idx="31">
                  <c:v>370</c:v>
                </c:pt>
                <c:pt idx="32">
                  <c:v>341</c:v>
                </c:pt>
                <c:pt idx="33">
                  <c:v>143</c:v>
                </c:pt>
                <c:pt idx="34">
                  <c:v>88</c:v>
                </c:pt>
                <c:pt idx="35">
                  <c:v>36</c:v>
                </c:pt>
                <c:pt idx="36">
                  <c:v>302</c:v>
                </c:pt>
                <c:pt idx="37">
                  <c:v>375</c:v>
                </c:pt>
                <c:pt idx="38">
                  <c:v>336</c:v>
                </c:pt>
                <c:pt idx="39">
                  <c:v>232</c:v>
                </c:pt>
                <c:pt idx="40">
                  <c:v>88</c:v>
                </c:pt>
                <c:pt idx="41">
                  <c:v>36</c:v>
                </c:pt>
                <c:pt idx="42">
                  <c:v>264</c:v>
                </c:pt>
                <c:pt idx="43">
                  <c:v>379</c:v>
                </c:pt>
                <c:pt idx="44">
                  <c:v>348</c:v>
                </c:pt>
                <c:pt idx="45">
                  <c:v>356</c:v>
                </c:pt>
                <c:pt idx="46">
                  <c:v>88</c:v>
                </c:pt>
                <c:pt idx="47">
                  <c:v>40</c:v>
                </c:pt>
                <c:pt idx="48">
                  <c:v>239</c:v>
                </c:pt>
                <c:pt idx="49">
                  <c:v>352</c:v>
                </c:pt>
                <c:pt idx="50">
                  <c:v>334</c:v>
                </c:pt>
                <c:pt idx="51">
                  <c:v>401</c:v>
                </c:pt>
                <c:pt idx="52">
                  <c:v>314</c:v>
                </c:pt>
                <c:pt idx="53">
                  <c:v>40</c:v>
                </c:pt>
                <c:pt idx="54">
                  <c:v>265</c:v>
                </c:pt>
                <c:pt idx="55">
                  <c:v>355</c:v>
                </c:pt>
                <c:pt idx="56">
                  <c:v>358</c:v>
                </c:pt>
                <c:pt idx="57">
                  <c:v>383</c:v>
                </c:pt>
                <c:pt idx="58">
                  <c:v>401</c:v>
                </c:pt>
                <c:pt idx="59">
                  <c:v>222</c:v>
                </c:pt>
                <c:pt idx="60">
                  <c:v>322</c:v>
                </c:pt>
                <c:pt idx="61">
                  <c:v>370</c:v>
                </c:pt>
                <c:pt idx="62">
                  <c:v>390</c:v>
                </c:pt>
                <c:pt idx="63">
                  <c:v>336</c:v>
                </c:pt>
                <c:pt idx="64">
                  <c:v>184</c:v>
                </c:pt>
                <c:pt idx="65">
                  <c:v>125</c:v>
                </c:pt>
                <c:pt idx="66">
                  <c:v>308</c:v>
                </c:pt>
                <c:pt idx="67">
                  <c:v>356</c:v>
                </c:pt>
                <c:pt idx="68">
                  <c:v>397</c:v>
                </c:pt>
                <c:pt idx="69">
                  <c:v>314</c:v>
                </c:pt>
                <c:pt idx="70">
                  <c:v>88</c:v>
                </c:pt>
                <c:pt idx="71">
                  <c:v>124</c:v>
                </c:pt>
                <c:pt idx="72">
                  <c:v>298</c:v>
                </c:pt>
                <c:pt idx="73">
                  <c:v>352</c:v>
                </c:pt>
                <c:pt idx="74">
                  <c:v>365</c:v>
                </c:pt>
                <c:pt idx="75">
                  <c:v>313</c:v>
                </c:pt>
                <c:pt idx="76">
                  <c:v>378</c:v>
                </c:pt>
                <c:pt idx="77">
                  <c:v>277</c:v>
                </c:pt>
                <c:pt idx="78">
                  <c:v>300</c:v>
                </c:pt>
                <c:pt idx="79">
                  <c:v>364</c:v>
                </c:pt>
                <c:pt idx="80">
                  <c:v>373</c:v>
                </c:pt>
                <c:pt idx="81">
                  <c:v>337</c:v>
                </c:pt>
                <c:pt idx="82">
                  <c:v>329</c:v>
                </c:pt>
                <c:pt idx="83">
                  <c:v>151</c:v>
                </c:pt>
                <c:pt idx="84">
                  <c:v>310</c:v>
                </c:pt>
                <c:pt idx="85">
                  <c:v>363</c:v>
                </c:pt>
                <c:pt idx="86">
                  <c:v>395</c:v>
                </c:pt>
                <c:pt idx="87">
                  <c:v>359</c:v>
                </c:pt>
                <c:pt idx="88">
                  <c:v>339</c:v>
                </c:pt>
                <c:pt idx="89">
                  <c:v>217</c:v>
                </c:pt>
                <c:pt idx="90">
                  <c:v>359</c:v>
                </c:pt>
                <c:pt idx="91">
                  <c:v>344</c:v>
                </c:pt>
                <c:pt idx="92">
                  <c:v>398</c:v>
                </c:pt>
                <c:pt idx="93">
                  <c:v>396</c:v>
                </c:pt>
                <c:pt idx="94">
                  <c:v>357</c:v>
                </c:pt>
                <c:pt idx="95">
                  <c:v>374</c:v>
                </c:pt>
                <c:pt idx="96">
                  <c:v>362</c:v>
                </c:pt>
                <c:pt idx="97">
                  <c:v>313</c:v>
                </c:pt>
                <c:pt idx="98">
                  <c:v>407</c:v>
                </c:pt>
                <c:pt idx="99">
                  <c:v>388</c:v>
                </c:pt>
                <c:pt idx="100">
                  <c:v>332</c:v>
                </c:pt>
                <c:pt idx="101">
                  <c:v>386</c:v>
                </c:pt>
                <c:pt idx="102">
                  <c:v>359</c:v>
                </c:pt>
                <c:pt idx="103">
                  <c:v>337</c:v>
                </c:pt>
                <c:pt idx="104">
                  <c:v>375</c:v>
                </c:pt>
                <c:pt idx="105">
                  <c:v>383</c:v>
                </c:pt>
                <c:pt idx="106">
                  <c:v>121</c:v>
                </c:pt>
                <c:pt idx="107">
                  <c:v>271</c:v>
                </c:pt>
                <c:pt idx="108">
                  <c:v>325</c:v>
                </c:pt>
                <c:pt idx="109">
                  <c:v>320</c:v>
                </c:pt>
                <c:pt idx="110">
                  <c:v>377</c:v>
                </c:pt>
                <c:pt idx="111">
                  <c:v>383</c:v>
                </c:pt>
                <c:pt idx="112">
                  <c:v>339</c:v>
                </c:pt>
                <c:pt idx="113">
                  <c:v>356</c:v>
                </c:pt>
                <c:pt idx="114">
                  <c:v>341</c:v>
                </c:pt>
                <c:pt idx="115">
                  <c:v>321</c:v>
                </c:pt>
                <c:pt idx="116">
                  <c:v>307</c:v>
                </c:pt>
                <c:pt idx="117">
                  <c:v>332</c:v>
                </c:pt>
                <c:pt idx="118">
                  <c:v>367</c:v>
                </c:pt>
                <c:pt idx="119">
                  <c:v>253</c:v>
                </c:pt>
                <c:pt idx="120">
                  <c:v>317</c:v>
                </c:pt>
                <c:pt idx="121">
                  <c:v>381</c:v>
                </c:pt>
                <c:pt idx="122">
                  <c:v>349</c:v>
                </c:pt>
                <c:pt idx="123">
                  <c:v>387</c:v>
                </c:pt>
                <c:pt idx="124">
                  <c:v>161</c:v>
                </c:pt>
                <c:pt idx="125">
                  <c:v>36</c:v>
                </c:pt>
                <c:pt idx="126">
                  <c:v>297</c:v>
                </c:pt>
                <c:pt idx="127">
                  <c:v>368</c:v>
                </c:pt>
                <c:pt idx="128">
                  <c:v>345</c:v>
                </c:pt>
                <c:pt idx="129">
                  <c:v>388</c:v>
                </c:pt>
                <c:pt idx="130">
                  <c:v>394</c:v>
                </c:pt>
                <c:pt idx="131">
                  <c:v>90</c:v>
                </c:pt>
                <c:pt idx="132">
                  <c:v>245</c:v>
                </c:pt>
                <c:pt idx="133">
                  <c:v>364</c:v>
                </c:pt>
                <c:pt idx="134">
                  <c:v>332</c:v>
                </c:pt>
                <c:pt idx="135">
                  <c:v>377</c:v>
                </c:pt>
                <c:pt idx="136">
                  <c:v>326</c:v>
                </c:pt>
                <c:pt idx="137">
                  <c:v>368</c:v>
                </c:pt>
                <c:pt idx="138">
                  <c:v>371</c:v>
                </c:pt>
                <c:pt idx="139">
                  <c:v>301</c:v>
                </c:pt>
                <c:pt idx="140">
                  <c:v>362</c:v>
                </c:pt>
                <c:pt idx="141">
                  <c:v>391</c:v>
                </c:pt>
                <c:pt idx="142">
                  <c:v>342</c:v>
                </c:pt>
                <c:pt idx="143">
                  <c:v>384</c:v>
                </c:pt>
                <c:pt idx="144">
                  <c:v>365</c:v>
                </c:pt>
                <c:pt idx="145">
                  <c:v>301</c:v>
                </c:pt>
                <c:pt idx="146">
                  <c:v>354</c:v>
                </c:pt>
                <c:pt idx="147">
                  <c:v>376</c:v>
                </c:pt>
                <c:pt idx="148">
                  <c:v>355</c:v>
                </c:pt>
                <c:pt idx="149">
                  <c:v>363</c:v>
                </c:pt>
                <c:pt idx="150">
                  <c:v>211</c:v>
                </c:pt>
                <c:pt idx="151">
                  <c:v>298</c:v>
                </c:pt>
                <c:pt idx="152">
                  <c:v>349</c:v>
                </c:pt>
                <c:pt idx="153">
                  <c:v>385</c:v>
                </c:pt>
                <c:pt idx="154">
                  <c:v>346</c:v>
                </c:pt>
                <c:pt idx="155">
                  <c:v>177</c:v>
                </c:pt>
                <c:pt idx="156">
                  <c:v>233</c:v>
                </c:pt>
                <c:pt idx="157">
                  <c:v>349</c:v>
                </c:pt>
                <c:pt idx="158">
                  <c:v>314</c:v>
                </c:pt>
                <c:pt idx="159">
                  <c:v>380</c:v>
                </c:pt>
                <c:pt idx="160">
                  <c:v>378</c:v>
                </c:pt>
                <c:pt idx="161">
                  <c:v>329</c:v>
                </c:pt>
                <c:pt idx="162">
                  <c:v>338</c:v>
                </c:pt>
                <c:pt idx="163">
                  <c:v>341</c:v>
                </c:pt>
                <c:pt idx="164">
                  <c:v>303</c:v>
                </c:pt>
                <c:pt idx="165">
                  <c:v>389</c:v>
                </c:pt>
                <c:pt idx="166">
                  <c:v>378</c:v>
                </c:pt>
                <c:pt idx="167">
                  <c:v>335</c:v>
                </c:pt>
                <c:pt idx="168">
                  <c:v>368</c:v>
                </c:pt>
                <c:pt idx="169">
                  <c:v>354</c:v>
                </c:pt>
                <c:pt idx="170">
                  <c:v>294</c:v>
                </c:pt>
                <c:pt idx="171">
                  <c:v>368</c:v>
                </c:pt>
                <c:pt idx="172">
                  <c:v>362</c:v>
                </c:pt>
                <c:pt idx="173">
                  <c:v>334</c:v>
                </c:pt>
                <c:pt idx="174">
                  <c:v>362</c:v>
                </c:pt>
                <c:pt idx="175">
                  <c:v>353</c:v>
                </c:pt>
                <c:pt idx="176">
                  <c:v>293</c:v>
                </c:pt>
                <c:pt idx="177">
                  <c:v>346</c:v>
                </c:pt>
                <c:pt idx="178">
                  <c:v>383</c:v>
                </c:pt>
                <c:pt idx="179">
                  <c:v>320</c:v>
                </c:pt>
                <c:pt idx="180">
                  <c:v>392</c:v>
                </c:pt>
                <c:pt idx="181">
                  <c:v>367</c:v>
                </c:pt>
                <c:pt idx="182">
                  <c:v>316</c:v>
                </c:pt>
                <c:pt idx="183">
                  <c:v>342</c:v>
                </c:pt>
                <c:pt idx="184">
                  <c:v>373</c:v>
                </c:pt>
                <c:pt idx="185">
                  <c:v>355</c:v>
                </c:pt>
                <c:pt idx="186">
                  <c:v>305</c:v>
                </c:pt>
                <c:pt idx="187">
                  <c:v>344</c:v>
                </c:pt>
                <c:pt idx="188">
                  <c:v>365</c:v>
                </c:pt>
                <c:pt idx="189">
                  <c:v>332</c:v>
                </c:pt>
                <c:pt idx="190">
                  <c:v>376</c:v>
                </c:pt>
                <c:pt idx="191">
                  <c:v>371</c:v>
                </c:pt>
                <c:pt idx="192">
                  <c:v>307</c:v>
                </c:pt>
                <c:pt idx="193">
                  <c:v>368</c:v>
                </c:pt>
                <c:pt idx="194">
                  <c:v>362</c:v>
                </c:pt>
                <c:pt idx="195">
                  <c:v>326</c:v>
                </c:pt>
                <c:pt idx="196">
                  <c:v>365</c:v>
                </c:pt>
                <c:pt idx="197">
                  <c:v>351</c:v>
                </c:pt>
                <c:pt idx="198">
                  <c:v>360</c:v>
                </c:pt>
                <c:pt idx="199">
                  <c:v>324</c:v>
                </c:pt>
                <c:pt idx="200">
                  <c:v>351</c:v>
                </c:pt>
                <c:pt idx="201">
                  <c:v>372</c:v>
                </c:pt>
                <c:pt idx="202">
                  <c:v>323</c:v>
                </c:pt>
                <c:pt idx="203">
                  <c:v>377</c:v>
                </c:pt>
                <c:pt idx="204">
                  <c:v>372</c:v>
                </c:pt>
                <c:pt idx="205">
                  <c:v>318</c:v>
                </c:pt>
                <c:pt idx="206">
                  <c:v>358</c:v>
                </c:pt>
                <c:pt idx="207">
                  <c:v>353</c:v>
                </c:pt>
                <c:pt idx="208">
                  <c:v>293</c:v>
                </c:pt>
                <c:pt idx="209">
                  <c:v>338</c:v>
                </c:pt>
                <c:pt idx="210">
                  <c:v>387</c:v>
                </c:pt>
                <c:pt idx="211">
                  <c:v>317</c:v>
                </c:pt>
                <c:pt idx="212">
                  <c:v>349</c:v>
                </c:pt>
                <c:pt idx="213">
                  <c:v>369</c:v>
                </c:pt>
                <c:pt idx="214">
                  <c:v>338</c:v>
                </c:pt>
                <c:pt idx="215">
                  <c:v>288</c:v>
                </c:pt>
                <c:pt idx="216">
                  <c:v>354</c:v>
                </c:pt>
                <c:pt idx="217">
                  <c:v>386</c:v>
                </c:pt>
                <c:pt idx="218">
                  <c:v>312</c:v>
                </c:pt>
                <c:pt idx="219">
                  <c:v>367</c:v>
                </c:pt>
                <c:pt idx="220">
                  <c:v>376</c:v>
                </c:pt>
                <c:pt idx="221">
                  <c:v>310</c:v>
                </c:pt>
                <c:pt idx="222">
                  <c:v>363</c:v>
                </c:pt>
                <c:pt idx="223">
                  <c:v>352</c:v>
                </c:pt>
                <c:pt idx="224">
                  <c:v>351</c:v>
                </c:pt>
                <c:pt idx="225">
                  <c:v>356</c:v>
                </c:pt>
                <c:pt idx="226">
                  <c:v>389</c:v>
                </c:pt>
                <c:pt idx="227">
                  <c:v>379</c:v>
                </c:pt>
                <c:pt idx="228">
                  <c:v>313</c:v>
                </c:pt>
                <c:pt idx="229">
                  <c:v>365</c:v>
                </c:pt>
                <c:pt idx="230">
                  <c:v>359</c:v>
                </c:pt>
                <c:pt idx="231">
                  <c:v>330</c:v>
                </c:pt>
                <c:pt idx="232">
                  <c:v>377</c:v>
                </c:pt>
                <c:pt idx="233">
                  <c:v>390</c:v>
                </c:pt>
                <c:pt idx="234">
                  <c:v>348</c:v>
                </c:pt>
                <c:pt idx="235">
                  <c:v>364</c:v>
                </c:pt>
                <c:pt idx="236">
                  <c:v>370</c:v>
                </c:pt>
                <c:pt idx="237">
                  <c:v>346</c:v>
                </c:pt>
                <c:pt idx="238">
                  <c:v>303</c:v>
                </c:pt>
                <c:pt idx="239">
                  <c:v>344</c:v>
                </c:pt>
                <c:pt idx="240">
                  <c:v>382</c:v>
                </c:pt>
                <c:pt idx="241">
                  <c:v>324</c:v>
                </c:pt>
                <c:pt idx="242">
                  <c:v>372</c:v>
                </c:pt>
                <c:pt idx="243">
                  <c:v>352</c:v>
                </c:pt>
                <c:pt idx="244">
                  <c:v>304</c:v>
                </c:pt>
                <c:pt idx="245">
                  <c:v>360</c:v>
                </c:pt>
                <c:pt idx="246">
                  <c:v>344</c:v>
                </c:pt>
                <c:pt idx="247">
                  <c:v>281</c:v>
                </c:pt>
                <c:pt idx="248">
                  <c:v>374</c:v>
                </c:pt>
                <c:pt idx="249">
                  <c:v>370</c:v>
                </c:pt>
                <c:pt idx="250">
                  <c:v>318</c:v>
                </c:pt>
                <c:pt idx="251">
                  <c:v>377</c:v>
                </c:pt>
                <c:pt idx="252">
                  <c:v>393</c:v>
                </c:pt>
                <c:pt idx="253">
                  <c:v>345</c:v>
                </c:pt>
                <c:pt idx="254">
                  <c:v>345</c:v>
                </c:pt>
                <c:pt idx="255">
                  <c:v>353</c:v>
                </c:pt>
                <c:pt idx="256">
                  <c:v>357</c:v>
                </c:pt>
                <c:pt idx="257">
                  <c:v>333</c:v>
                </c:pt>
                <c:pt idx="258">
                  <c:v>377</c:v>
                </c:pt>
                <c:pt idx="259">
                  <c:v>380</c:v>
                </c:pt>
                <c:pt idx="260">
                  <c:v>331</c:v>
                </c:pt>
                <c:pt idx="261">
                  <c:v>395</c:v>
                </c:pt>
                <c:pt idx="262">
                  <c:v>380</c:v>
                </c:pt>
                <c:pt idx="263">
                  <c:v>325</c:v>
                </c:pt>
                <c:pt idx="264">
                  <c:v>367</c:v>
                </c:pt>
                <c:pt idx="265">
                  <c:v>677</c:v>
                </c:pt>
                <c:pt idx="266">
                  <c:v>1206</c:v>
                </c:pt>
                <c:pt idx="267">
                  <c:v>1237</c:v>
                </c:pt>
                <c:pt idx="268">
                  <c:v>278</c:v>
                </c:pt>
                <c:pt idx="269">
                  <c:v>377</c:v>
                </c:pt>
                <c:pt idx="270">
                  <c:v>370</c:v>
                </c:pt>
                <c:pt idx="271">
                  <c:v>353</c:v>
                </c:pt>
                <c:pt idx="272">
                  <c:v>370</c:v>
                </c:pt>
                <c:pt idx="273">
                  <c:v>326</c:v>
                </c:pt>
                <c:pt idx="274">
                  <c:v>345</c:v>
                </c:pt>
                <c:pt idx="275">
                  <c:v>372</c:v>
                </c:pt>
                <c:pt idx="276">
                  <c:v>390</c:v>
                </c:pt>
                <c:pt idx="277">
                  <c:v>327</c:v>
                </c:pt>
                <c:pt idx="278">
                  <c:v>382</c:v>
                </c:pt>
                <c:pt idx="279">
                  <c:v>386</c:v>
                </c:pt>
                <c:pt idx="280">
                  <c:v>327</c:v>
                </c:pt>
                <c:pt idx="281">
                  <c:v>350</c:v>
                </c:pt>
                <c:pt idx="282">
                  <c:v>362</c:v>
                </c:pt>
                <c:pt idx="283">
                  <c:v>366</c:v>
                </c:pt>
                <c:pt idx="284">
                  <c:v>338</c:v>
                </c:pt>
                <c:pt idx="285">
                  <c:v>390</c:v>
                </c:pt>
                <c:pt idx="286">
                  <c:v>391</c:v>
                </c:pt>
                <c:pt idx="287">
                  <c:v>335</c:v>
                </c:pt>
                <c:pt idx="288">
                  <c:v>402</c:v>
                </c:pt>
                <c:pt idx="289">
                  <c:v>386</c:v>
                </c:pt>
                <c:pt idx="290">
                  <c:v>286</c:v>
                </c:pt>
                <c:pt idx="291">
                  <c:v>365</c:v>
                </c:pt>
                <c:pt idx="292">
                  <c:v>367</c:v>
                </c:pt>
                <c:pt idx="293">
                  <c:v>345</c:v>
                </c:pt>
                <c:pt idx="294">
                  <c:v>389</c:v>
                </c:pt>
                <c:pt idx="295">
                  <c:v>387</c:v>
                </c:pt>
                <c:pt idx="296">
                  <c:v>341</c:v>
                </c:pt>
                <c:pt idx="297">
                  <c:v>371</c:v>
                </c:pt>
                <c:pt idx="298">
                  <c:v>362</c:v>
                </c:pt>
                <c:pt idx="299">
                  <c:v>295</c:v>
                </c:pt>
                <c:pt idx="300">
                  <c:v>360</c:v>
                </c:pt>
                <c:pt idx="301">
                  <c:v>357</c:v>
                </c:pt>
                <c:pt idx="302">
                  <c:v>350</c:v>
                </c:pt>
                <c:pt idx="303">
                  <c:v>392</c:v>
                </c:pt>
                <c:pt idx="304">
                  <c:v>392</c:v>
                </c:pt>
                <c:pt idx="305">
                  <c:v>343</c:v>
                </c:pt>
                <c:pt idx="306">
                  <c:v>398</c:v>
                </c:pt>
                <c:pt idx="307">
                  <c:v>366</c:v>
                </c:pt>
                <c:pt idx="308">
                  <c:v>324</c:v>
                </c:pt>
                <c:pt idx="309">
                  <c:v>354</c:v>
                </c:pt>
                <c:pt idx="310">
                  <c:v>369</c:v>
                </c:pt>
                <c:pt idx="311">
                  <c:v>350</c:v>
                </c:pt>
                <c:pt idx="312">
                  <c:v>381</c:v>
                </c:pt>
                <c:pt idx="313">
                  <c:v>387</c:v>
                </c:pt>
                <c:pt idx="314">
                  <c:v>322</c:v>
                </c:pt>
                <c:pt idx="315">
                  <c:v>370</c:v>
                </c:pt>
                <c:pt idx="316">
                  <c:v>384</c:v>
                </c:pt>
                <c:pt idx="317">
                  <c:v>305</c:v>
                </c:pt>
                <c:pt idx="318">
                  <c:v>366</c:v>
                </c:pt>
                <c:pt idx="319">
                  <c:v>368</c:v>
                </c:pt>
                <c:pt idx="320">
                  <c:v>338</c:v>
                </c:pt>
                <c:pt idx="321">
                  <c:v>389</c:v>
                </c:pt>
                <c:pt idx="322">
                  <c:v>397</c:v>
                </c:pt>
                <c:pt idx="323">
                  <c:v>361</c:v>
                </c:pt>
                <c:pt idx="324">
                  <c:v>372</c:v>
                </c:pt>
                <c:pt idx="325">
                  <c:v>406</c:v>
                </c:pt>
                <c:pt idx="326">
                  <c:v>394</c:v>
                </c:pt>
                <c:pt idx="327">
                  <c:v>308</c:v>
                </c:pt>
                <c:pt idx="328">
                  <c:v>798</c:v>
                </c:pt>
                <c:pt idx="329">
                  <c:v>1209</c:v>
                </c:pt>
                <c:pt idx="330">
                  <c:v>1216</c:v>
                </c:pt>
                <c:pt idx="331">
                  <c:v>1197</c:v>
                </c:pt>
                <c:pt idx="332">
                  <c:v>308</c:v>
                </c:pt>
                <c:pt idx="333">
                  <c:v>335</c:v>
                </c:pt>
                <c:pt idx="334">
                  <c:v>331</c:v>
                </c:pt>
                <c:pt idx="335">
                  <c:v>364</c:v>
                </c:pt>
                <c:pt idx="336">
                  <c:v>308</c:v>
                </c:pt>
                <c:pt idx="337">
                  <c:v>349</c:v>
                </c:pt>
                <c:pt idx="338">
                  <c:v>348</c:v>
                </c:pt>
                <c:pt idx="339">
                  <c:v>298</c:v>
                </c:pt>
                <c:pt idx="340">
                  <c:v>1097</c:v>
                </c:pt>
                <c:pt idx="341">
                  <c:v>462</c:v>
                </c:pt>
                <c:pt idx="342">
                  <c:v>312</c:v>
                </c:pt>
                <c:pt idx="343">
                  <c:v>366</c:v>
                </c:pt>
                <c:pt idx="344">
                  <c:v>376</c:v>
                </c:pt>
                <c:pt idx="345">
                  <c:v>336</c:v>
                </c:pt>
                <c:pt idx="346">
                  <c:v>389</c:v>
                </c:pt>
                <c:pt idx="347">
                  <c:v>335</c:v>
                </c:pt>
                <c:pt idx="348">
                  <c:v>329</c:v>
                </c:pt>
                <c:pt idx="349">
                  <c:v>379</c:v>
                </c:pt>
                <c:pt idx="350">
                  <c:v>358</c:v>
                </c:pt>
                <c:pt idx="351">
                  <c:v>344</c:v>
                </c:pt>
                <c:pt idx="352">
                  <c:v>382</c:v>
                </c:pt>
                <c:pt idx="353">
                  <c:v>401</c:v>
                </c:pt>
                <c:pt idx="354">
                  <c:v>314</c:v>
                </c:pt>
                <c:pt idx="355">
                  <c:v>358</c:v>
                </c:pt>
                <c:pt idx="356">
                  <c:v>359</c:v>
                </c:pt>
                <c:pt idx="357">
                  <c:v>343</c:v>
                </c:pt>
                <c:pt idx="358">
                  <c:v>393</c:v>
                </c:pt>
                <c:pt idx="359">
                  <c:v>394</c:v>
                </c:pt>
                <c:pt idx="360">
                  <c:v>372</c:v>
                </c:pt>
                <c:pt idx="361">
                  <c:v>371</c:v>
                </c:pt>
                <c:pt idx="362">
                  <c:v>387</c:v>
                </c:pt>
                <c:pt idx="363">
                  <c:v>321</c:v>
                </c:pt>
                <c:pt idx="364">
                  <c:v>315</c:v>
                </c:pt>
                <c:pt idx="365">
                  <c:v>370</c:v>
                </c:pt>
                <c:pt idx="366">
                  <c:v>362</c:v>
                </c:pt>
                <c:pt idx="367">
                  <c:v>356</c:v>
                </c:pt>
                <c:pt idx="368">
                  <c:v>382</c:v>
                </c:pt>
                <c:pt idx="369">
                  <c:v>222</c:v>
                </c:pt>
                <c:pt idx="370">
                  <c:v>310</c:v>
                </c:pt>
                <c:pt idx="371">
                  <c:v>305</c:v>
                </c:pt>
                <c:pt idx="372">
                  <c:v>318</c:v>
                </c:pt>
                <c:pt idx="373">
                  <c:v>324</c:v>
                </c:pt>
                <c:pt idx="374">
                  <c:v>320</c:v>
                </c:pt>
                <c:pt idx="375">
                  <c:v>299</c:v>
                </c:pt>
                <c:pt idx="376">
                  <c:v>293</c:v>
                </c:pt>
                <c:pt idx="377">
                  <c:v>306</c:v>
                </c:pt>
                <c:pt idx="378">
                  <c:v>313</c:v>
                </c:pt>
                <c:pt idx="379">
                  <c:v>310</c:v>
                </c:pt>
                <c:pt idx="380">
                  <c:v>313</c:v>
                </c:pt>
                <c:pt idx="381">
                  <c:v>319</c:v>
                </c:pt>
                <c:pt idx="382">
                  <c:v>310</c:v>
                </c:pt>
                <c:pt idx="383">
                  <c:v>315</c:v>
                </c:pt>
                <c:pt idx="384">
                  <c:v>316</c:v>
                </c:pt>
                <c:pt idx="385">
                  <c:v>312</c:v>
                </c:pt>
                <c:pt idx="386">
                  <c:v>316</c:v>
                </c:pt>
                <c:pt idx="387">
                  <c:v>317</c:v>
                </c:pt>
                <c:pt idx="388">
                  <c:v>322</c:v>
                </c:pt>
                <c:pt idx="389">
                  <c:v>307</c:v>
                </c:pt>
                <c:pt idx="390">
                  <c:v>324</c:v>
                </c:pt>
                <c:pt idx="391">
                  <c:v>321</c:v>
                </c:pt>
                <c:pt idx="392">
                  <c:v>271</c:v>
                </c:pt>
                <c:pt idx="393">
                  <c:v>0</c:v>
                </c:pt>
              </c:numCache>
            </c:numRef>
          </c:val>
          <c:smooth val="0"/>
          <c:extLst>
            <c:ext xmlns:c16="http://schemas.microsoft.com/office/drawing/2014/chart" uri="{C3380CC4-5D6E-409C-BE32-E72D297353CC}">
              <c16:uniqueId val="{00000001-BD8D-48AC-AB64-3936B4049743}"/>
            </c:ext>
          </c:extLst>
        </c:ser>
        <c:ser>
          <c:idx val="2"/>
          <c:order val="2"/>
          <c:tx>
            <c:strRef>
              <c:f>带宽占用RocksDB!$C$1</c:f>
              <c:strCache>
                <c:ptCount val="1"/>
                <c:pt idx="0">
                  <c:v>total</c:v>
                </c:pt>
              </c:strCache>
            </c:strRef>
          </c:tx>
          <c:spPr>
            <a:ln w="28575" cap="rnd">
              <a:solidFill>
                <a:schemeClr val="accent3"/>
              </a:solidFill>
              <a:round/>
            </a:ln>
            <a:effectLst/>
          </c:spPr>
          <c:marker>
            <c:symbol val="none"/>
          </c:marker>
          <c:val>
            <c:numRef>
              <c:f>带宽占用RocksDB!$C$2:$C$395</c:f>
              <c:numCache>
                <c:formatCode>General</c:formatCode>
                <c:ptCount val="394"/>
                <c:pt idx="0">
                  <c:v>0</c:v>
                </c:pt>
                <c:pt idx="1">
                  <c:v>28</c:v>
                </c:pt>
                <c:pt idx="2">
                  <c:v>92</c:v>
                </c:pt>
                <c:pt idx="3">
                  <c:v>44</c:v>
                </c:pt>
                <c:pt idx="4">
                  <c:v>88</c:v>
                </c:pt>
                <c:pt idx="5">
                  <c:v>92</c:v>
                </c:pt>
                <c:pt idx="6">
                  <c:v>76</c:v>
                </c:pt>
                <c:pt idx="7">
                  <c:v>469</c:v>
                </c:pt>
                <c:pt idx="8">
                  <c:v>88</c:v>
                </c:pt>
                <c:pt idx="9">
                  <c:v>92</c:v>
                </c:pt>
                <c:pt idx="10">
                  <c:v>40</c:v>
                </c:pt>
                <c:pt idx="11">
                  <c:v>96</c:v>
                </c:pt>
                <c:pt idx="12">
                  <c:v>242</c:v>
                </c:pt>
                <c:pt idx="13">
                  <c:v>608</c:v>
                </c:pt>
                <c:pt idx="14">
                  <c:v>199</c:v>
                </c:pt>
                <c:pt idx="15">
                  <c:v>88</c:v>
                </c:pt>
                <c:pt idx="16">
                  <c:v>92</c:v>
                </c:pt>
                <c:pt idx="17">
                  <c:v>40</c:v>
                </c:pt>
                <c:pt idx="18">
                  <c:v>438</c:v>
                </c:pt>
                <c:pt idx="19">
                  <c:v>593</c:v>
                </c:pt>
                <c:pt idx="20">
                  <c:v>40</c:v>
                </c:pt>
                <c:pt idx="21">
                  <c:v>88</c:v>
                </c:pt>
                <c:pt idx="22">
                  <c:v>92</c:v>
                </c:pt>
                <c:pt idx="23">
                  <c:v>44</c:v>
                </c:pt>
                <c:pt idx="24">
                  <c:v>536</c:v>
                </c:pt>
                <c:pt idx="25">
                  <c:v>644</c:v>
                </c:pt>
                <c:pt idx="26">
                  <c:v>444</c:v>
                </c:pt>
                <c:pt idx="27">
                  <c:v>73</c:v>
                </c:pt>
                <c:pt idx="28">
                  <c:v>92</c:v>
                </c:pt>
                <c:pt idx="29">
                  <c:v>73</c:v>
                </c:pt>
                <c:pt idx="30">
                  <c:v>594</c:v>
                </c:pt>
                <c:pt idx="31">
                  <c:v>653</c:v>
                </c:pt>
                <c:pt idx="32">
                  <c:v>644</c:v>
                </c:pt>
                <c:pt idx="33">
                  <c:v>200</c:v>
                </c:pt>
                <c:pt idx="34">
                  <c:v>88</c:v>
                </c:pt>
                <c:pt idx="35">
                  <c:v>36</c:v>
                </c:pt>
                <c:pt idx="36">
                  <c:v>518</c:v>
                </c:pt>
                <c:pt idx="37">
                  <c:v>662</c:v>
                </c:pt>
                <c:pt idx="38">
                  <c:v>632</c:v>
                </c:pt>
                <c:pt idx="39">
                  <c:v>376</c:v>
                </c:pt>
                <c:pt idx="40">
                  <c:v>88</c:v>
                </c:pt>
                <c:pt idx="41">
                  <c:v>36</c:v>
                </c:pt>
                <c:pt idx="42">
                  <c:v>441</c:v>
                </c:pt>
                <c:pt idx="43">
                  <c:v>670</c:v>
                </c:pt>
                <c:pt idx="44">
                  <c:v>660</c:v>
                </c:pt>
                <c:pt idx="45">
                  <c:v>620</c:v>
                </c:pt>
                <c:pt idx="46">
                  <c:v>88</c:v>
                </c:pt>
                <c:pt idx="47">
                  <c:v>40</c:v>
                </c:pt>
                <c:pt idx="48">
                  <c:v>390</c:v>
                </c:pt>
                <c:pt idx="49">
                  <c:v>617</c:v>
                </c:pt>
                <c:pt idx="50">
                  <c:v>629</c:v>
                </c:pt>
                <c:pt idx="51">
                  <c:v>713</c:v>
                </c:pt>
                <c:pt idx="52">
                  <c:v>540</c:v>
                </c:pt>
                <c:pt idx="53">
                  <c:v>40</c:v>
                </c:pt>
                <c:pt idx="54">
                  <c:v>439</c:v>
                </c:pt>
                <c:pt idx="55">
                  <c:v>619</c:v>
                </c:pt>
                <c:pt idx="56">
                  <c:v>671</c:v>
                </c:pt>
                <c:pt idx="57">
                  <c:v>679</c:v>
                </c:pt>
                <c:pt idx="58">
                  <c:v>715</c:v>
                </c:pt>
                <c:pt idx="59">
                  <c:v>371</c:v>
                </c:pt>
                <c:pt idx="60">
                  <c:v>586</c:v>
                </c:pt>
                <c:pt idx="61">
                  <c:v>652</c:v>
                </c:pt>
                <c:pt idx="62">
                  <c:v>692</c:v>
                </c:pt>
                <c:pt idx="63">
                  <c:v>634</c:v>
                </c:pt>
                <c:pt idx="64">
                  <c:v>275</c:v>
                </c:pt>
                <c:pt idx="65">
                  <c:v>159</c:v>
                </c:pt>
                <c:pt idx="66">
                  <c:v>580</c:v>
                </c:pt>
                <c:pt idx="67">
                  <c:v>623</c:v>
                </c:pt>
                <c:pt idx="68">
                  <c:v>708</c:v>
                </c:pt>
                <c:pt idx="69">
                  <c:v>586</c:v>
                </c:pt>
                <c:pt idx="70">
                  <c:v>88</c:v>
                </c:pt>
                <c:pt idx="71">
                  <c:v>159</c:v>
                </c:pt>
                <c:pt idx="72">
                  <c:v>559</c:v>
                </c:pt>
                <c:pt idx="73">
                  <c:v>616</c:v>
                </c:pt>
                <c:pt idx="74">
                  <c:v>641</c:v>
                </c:pt>
                <c:pt idx="75">
                  <c:v>591</c:v>
                </c:pt>
                <c:pt idx="76">
                  <c:v>664</c:v>
                </c:pt>
                <c:pt idx="77">
                  <c:v>468</c:v>
                </c:pt>
                <c:pt idx="78">
                  <c:v>559</c:v>
                </c:pt>
                <c:pt idx="79">
                  <c:v>637</c:v>
                </c:pt>
                <c:pt idx="80">
                  <c:v>658</c:v>
                </c:pt>
                <c:pt idx="81">
                  <c:v>634</c:v>
                </c:pt>
                <c:pt idx="82">
                  <c:v>565</c:v>
                </c:pt>
                <c:pt idx="83">
                  <c:v>216</c:v>
                </c:pt>
                <c:pt idx="84">
                  <c:v>568</c:v>
                </c:pt>
                <c:pt idx="85">
                  <c:v>644</c:v>
                </c:pt>
                <c:pt idx="86">
                  <c:v>699</c:v>
                </c:pt>
                <c:pt idx="87">
                  <c:v>648</c:v>
                </c:pt>
                <c:pt idx="88">
                  <c:v>620</c:v>
                </c:pt>
                <c:pt idx="89">
                  <c:v>347</c:v>
                </c:pt>
                <c:pt idx="90">
                  <c:v>630</c:v>
                </c:pt>
                <c:pt idx="91">
                  <c:v>644</c:v>
                </c:pt>
                <c:pt idx="92">
                  <c:v>709</c:v>
                </c:pt>
                <c:pt idx="93">
                  <c:v>700</c:v>
                </c:pt>
                <c:pt idx="94">
                  <c:v>672</c:v>
                </c:pt>
                <c:pt idx="95">
                  <c:v>657</c:v>
                </c:pt>
                <c:pt idx="96">
                  <c:v>638</c:v>
                </c:pt>
                <c:pt idx="97">
                  <c:v>589</c:v>
                </c:pt>
                <c:pt idx="98">
                  <c:v>721</c:v>
                </c:pt>
                <c:pt idx="99">
                  <c:v>690</c:v>
                </c:pt>
                <c:pt idx="100">
                  <c:v>629</c:v>
                </c:pt>
                <c:pt idx="101">
                  <c:v>681</c:v>
                </c:pt>
                <c:pt idx="102">
                  <c:v>629</c:v>
                </c:pt>
                <c:pt idx="103">
                  <c:v>632</c:v>
                </c:pt>
                <c:pt idx="104">
                  <c:v>665</c:v>
                </c:pt>
                <c:pt idx="105">
                  <c:v>673</c:v>
                </c:pt>
                <c:pt idx="106">
                  <c:v>205</c:v>
                </c:pt>
                <c:pt idx="107">
                  <c:v>460</c:v>
                </c:pt>
                <c:pt idx="108">
                  <c:v>562</c:v>
                </c:pt>
                <c:pt idx="109">
                  <c:v>604</c:v>
                </c:pt>
                <c:pt idx="110">
                  <c:v>666</c:v>
                </c:pt>
                <c:pt idx="111">
                  <c:v>677</c:v>
                </c:pt>
                <c:pt idx="112">
                  <c:v>639</c:v>
                </c:pt>
                <c:pt idx="113">
                  <c:v>630</c:v>
                </c:pt>
                <c:pt idx="114">
                  <c:v>606</c:v>
                </c:pt>
                <c:pt idx="115">
                  <c:v>593</c:v>
                </c:pt>
                <c:pt idx="116">
                  <c:v>533</c:v>
                </c:pt>
                <c:pt idx="117">
                  <c:v>626</c:v>
                </c:pt>
                <c:pt idx="118">
                  <c:v>647</c:v>
                </c:pt>
                <c:pt idx="119">
                  <c:v>433</c:v>
                </c:pt>
                <c:pt idx="120">
                  <c:v>588</c:v>
                </c:pt>
                <c:pt idx="121">
                  <c:v>675</c:v>
                </c:pt>
                <c:pt idx="122">
                  <c:v>650</c:v>
                </c:pt>
                <c:pt idx="123">
                  <c:v>698</c:v>
                </c:pt>
                <c:pt idx="124">
                  <c:v>234</c:v>
                </c:pt>
                <c:pt idx="125">
                  <c:v>36</c:v>
                </c:pt>
                <c:pt idx="126">
                  <c:v>503</c:v>
                </c:pt>
                <c:pt idx="127">
                  <c:v>649</c:v>
                </c:pt>
                <c:pt idx="128">
                  <c:v>653</c:v>
                </c:pt>
                <c:pt idx="129">
                  <c:v>688</c:v>
                </c:pt>
                <c:pt idx="130">
                  <c:v>700</c:v>
                </c:pt>
                <c:pt idx="131">
                  <c:v>144</c:v>
                </c:pt>
                <c:pt idx="132">
                  <c:v>403</c:v>
                </c:pt>
                <c:pt idx="133">
                  <c:v>649</c:v>
                </c:pt>
                <c:pt idx="134">
                  <c:v>622</c:v>
                </c:pt>
                <c:pt idx="135">
                  <c:v>667</c:v>
                </c:pt>
                <c:pt idx="136">
                  <c:v>609</c:v>
                </c:pt>
                <c:pt idx="137">
                  <c:v>654</c:v>
                </c:pt>
                <c:pt idx="138">
                  <c:v>656</c:v>
                </c:pt>
                <c:pt idx="139">
                  <c:v>564</c:v>
                </c:pt>
                <c:pt idx="140">
                  <c:v>633</c:v>
                </c:pt>
                <c:pt idx="141">
                  <c:v>695</c:v>
                </c:pt>
                <c:pt idx="142">
                  <c:v>642</c:v>
                </c:pt>
                <c:pt idx="143">
                  <c:v>682</c:v>
                </c:pt>
                <c:pt idx="144">
                  <c:v>639</c:v>
                </c:pt>
                <c:pt idx="145">
                  <c:v>547</c:v>
                </c:pt>
                <c:pt idx="146">
                  <c:v>633</c:v>
                </c:pt>
                <c:pt idx="147">
                  <c:v>660</c:v>
                </c:pt>
                <c:pt idx="148">
                  <c:v>643</c:v>
                </c:pt>
                <c:pt idx="149">
                  <c:v>668</c:v>
                </c:pt>
                <c:pt idx="150">
                  <c:v>335</c:v>
                </c:pt>
                <c:pt idx="151">
                  <c:v>559</c:v>
                </c:pt>
                <c:pt idx="152">
                  <c:v>611</c:v>
                </c:pt>
                <c:pt idx="153">
                  <c:v>676</c:v>
                </c:pt>
                <c:pt idx="154">
                  <c:v>625</c:v>
                </c:pt>
                <c:pt idx="155">
                  <c:v>290</c:v>
                </c:pt>
                <c:pt idx="156">
                  <c:v>375</c:v>
                </c:pt>
                <c:pt idx="157">
                  <c:v>614</c:v>
                </c:pt>
                <c:pt idx="158">
                  <c:v>588</c:v>
                </c:pt>
                <c:pt idx="159">
                  <c:v>672</c:v>
                </c:pt>
                <c:pt idx="160">
                  <c:v>665</c:v>
                </c:pt>
                <c:pt idx="161">
                  <c:v>621</c:v>
                </c:pt>
                <c:pt idx="162">
                  <c:v>585</c:v>
                </c:pt>
                <c:pt idx="163">
                  <c:v>598</c:v>
                </c:pt>
                <c:pt idx="164">
                  <c:v>566</c:v>
                </c:pt>
                <c:pt idx="165">
                  <c:v>685</c:v>
                </c:pt>
                <c:pt idx="166">
                  <c:v>668</c:v>
                </c:pt>
                <c:pt idx="167">
                  <c:v>630</c:v>
                </c:pt>
                <c:pt idx="168">
                  <c:v>648</c:v>
                </c:pt>
                <c:pt idx="169">
                  <c:v>621</c:v>
                </c:pt>
                <c:pt idx="170">
                  <c:v>548</c:v>
                </c:pt>
                <c:pt idx="171">
                  <c:v>648</c:v>
                </c:pt>
                <c:pt idx="172">
                  <c:v>636</c:v>
                </c:pt>
                <c:pt idx="173">
                  <c:v>628</c:v>
                </c:pt>
                <c:pt idx="174">
                  <c:v>631</c:v>
                </c:pt>
                <c:pt idx="175">
                  <c:v>619</c:v>
                </c:pt>
                <c:pt idx="176">
                  <c:v>544</c:v>
                </c:pt>
                <c:pt idx="177">
                  <c:v>604</c:v>
                </c:pt>
                <c:pt idx="178">
                  <c:v>677</c:v>
                </c:pt>
                <c:pt idx="179">
                  <c:v>601</c:v>
                </c:pt>
                <c:pt idx="180">
                  <c:v>691</c:v>
                </c:pt>
                <c:pt idx="181">
                  <c:v>644</c:v>
                </c:pt>
                <c:pt idx="182">
                  <c:v>571</c:v>
                </c:pt>
                <c:pt idx="183">
                  <c:v>616</c:v>
                </c:pt>
                <c:pt idx="184">
                  <c:v>653</c:v>
                </c:pt>
                <c:pt idx="185">
                  <c:v>627</c:v>
                </c:pt>
                <c:pt idx="186">
                  <c:v>567</c:v>
                </c:pt>
                <c:pt idx="187">
                  <c:v>596</c:v>
                </c:pt>
                <c:pt idx="188">
                  <c:v>639</c:v>
                </c:pt>
                <c:pt idx="189">
                  <c:v>627</c:v>
                </c:pt>
                <c:pt idx="190">
                  <c:v>662</c:v>
                </c:pt>
                <c:pt idx="191">
                  <c:v>649</c:v>
                </c:pt>
                <c:pt idx="192">
                  <c:v>576</c:v>
                </c:pt>
                <c:pt idx="193">
                  <c:v>644</c:v>
                </c:pt>
                <c:pt idx="194">
                  <c:v>637</c:v>
                </c:pt>
                <c:pt idx="195">
                  <c:v>597</c:v>
                </c:pt>
                <c:pt idx="196">
                  <c:v>657</c:v>
                </c:pt>
                <c:pt idx="197">
                  <c:v>615</c:v>
                </c:pt>
                <c:pt idx="198">
                  <c:v>658</c:v>
                </c:pt>
                <c:pt idx="199">
                  <c:v>583</c:v>
                </c:pt>
                <c:pt idx="200">
                  <c:v>610</c:v>
                </c:pt>
                <c:pt idx="201">
                  <c:v>653</c:v>
                </c:pt>
                <c:pt idx="202">
                  <c:v>606</c:v>
                </c:pt>
                <c:pt idx="203">
                  <c:v>663</c:v>
                </c:pt>
                <c:pt idx="204">
                  <c:v>656</c:v>
                </c:pt>
                <c:pt idx="205">
                  <c:v>597</c:v>
                </c:pt>
                <c:pt idx="206">
                  <c:v>624</c:v>
                </c:pt>
                <c:pt idx="207">
                  <c:v>616</c:v>
                </c:pt>
                <c:pt idx="208">
                  <c:v>525</c:v>
                </c:pt>
                <c:pt idx="209">
                  <c:v>606</c:v>
                </c:pt>
                <c:pt idx="210">
                  <c:v>683</c:v>
                </c:pt>
                <c:pt idx="211">
                  <c:v>577</c:v>
                </c:pt>
                <c:pt idx="212">
                  <c:v>631</c:v>
                </c:pt>
                <c:pt idx="213">
                  <c:v>644</c:v>
                </c:pt>
                <c:pt idx="214">
                  <c:v>591</c:v>
                </c:pt>
                <c:pt idx="215">
                  <c:v>535</c:v>
                </c:pt>
                <c:pt idx="216">
                  <c:v>618</c:v>
                </c:pt>
                <c:pt idx="217">
                  <c:v>678</c:v>
                </c:pt>
                <c:pt idx="218">
                  <c:v>589</c:v>
                </c:pt>
                <c:pt idx="219">
                  <c:v>643</c:v>
                </c:pt>
                <c:pt idx="220">
                  <c:v>659</c:v>
                </c:pt>
                <c:pt idx="221">
                  <c:v>581</c:v>
                </c:pt>
                <c:pt idx="222">
                  <c:v>634</c:v>
                </c:pt>
                <c:pt idx="223">
                  <c:v>618</c:v>
                </c:pt>
                <c:pt idx="224">
                  <c:v>638</c:v>
                </c:pt>
                <c:pt idx="225">
                  <c:v>645</c:v>
                </c:pt>
                <c:pt idx="226">
                  <c:v>688</c:v>
                </c:pt>
                <c:pt idx="227">
                  <c:v>672</c:v>
                </c:pt>
                <c:pt idx="228">
                  <c:v>583</c:v>
                </c:pt>
                <c:pt idx="229">
                  <c:v>637</c:v>
                </c:pt>
                <c:pt idx="230">
                  <c:v>631</c:v>
                </c:pt>
                <c:pt idx="231">
                  <c:v>620</c:v>
                </c:pt>
                <c:pt idx="232">
                  <c:v>662</c:v>
                </c:pt>
                <c:pt idx="233">
                  <c:v>691</c:v>
                </c:pt>
                <c:pt idx="234">
                  <c:v>639</c:v>
                </c:pt>
                <c:pt idx="235">
                  <c:v>655</c:v>
                </c:pt>
                <c:pt idx="236">
                  <c:v>649</c:v>
                </c:pt>
                <c:pt idx="237">
                  <c:v>602</c:v>
                </c:pt>
                <c:pt idx="238">
                  <c:v>563</c:v>
                </c:pt>
                <c:pt idx="239">
                  <c:v>600</c:v>
                </c:pt>
                <c:pt idx="240">
                  <c:v>673</c:v>
                </c:pt>
                <c:pt idx="241">
                  <c:v>610</c:v>
                </c:pt>
                <c:pt idx="242">
                  <c:v>654</c:v>
                </c:pt>
                <c:pt idx="243">
                  <c:v>613</c:v>
                </c:pt>
                <c:pt idx="244">
                  <c:v>572</c:v>
                </c:pt>
                <c:pt idx="245">
                  <c:v>629</c:v>
                </c:pt>
                <c:pt idx="246">
                  <c:v>599</c:v>
                </c:pt>
                <c:pt idx="247">
                  <c:v>527</c:v>
                </c:pt>
                <c:pt idx="248">
                  <c:v>656</c:v>
                </c:pt>
                <c:pt idx="249">
                  <c:v>651</c:v>
                </c:pt>
                <c:pt idx="250">
                  <c:v>595</c:v>
                </c:pt>
                <c:pt idx="251">
                  <c:v>666</c:v>
                </c:pt>
                <c:pt idx="252">
                  <c:v>695</c:v>
                </c:pt>
                <c:pt idx="253">
                  <c:v>628</c:v>
                </c:pt>
                <c:pt idx="254">
                  <c:v>624</c:v>
                </c:pt>
                <c:pt idx="255">
                  <c:v>615</c:v>
                </c:pt>
                <c:pt idx="256">
                  <c:v>623</c:v>
                </c:pt>
                <c:pt idx="257">
                  <c:v>624</c:v>
                </c:pt>
                <c:pt idx="258">
                  <c:v>665</c:v>
                </c:pt>
                <c:pt idx="259">
                  <c:v>670</c:v>
                </c:pt>
                <c:pt idx="260">
                  <c:v>622</c:v>
                </c:pt>
                <c:pt idx="261">
                  <c:v>699</c:v>
                </c:pt>
                <c:pt idx="262">
                  <c:v>673</c:v>
                </c:pt>
                <c:pt idx="263">
                  <c:v>608</c:v>
                </c:pt>
                <c:pt idx="264">
                  <c:v>643</c:v>
                </c:pt>
                <c:pt idx="265">
                  <c:v>1288</c:v>
                </c:pt>
                <c:pt idx="266">
                  <c:v>2374</c:v>
                </c:pt>
                <c:pt idx="267">
                  <c:v>2389</c:v>
                </c:pt>
                <c:pt idx="268">
                  <c:v>524</c:v>
                </c:pt>
                <c:pt idx="269">
                  <c:v>664</c:v>
                </c:pt>
                <c:pt idx="270">
                  <c:v>670</c:v>
                </c:pt>
                <c:pt idx="271">
                  <c:v>652</c:v>
                </c:pt>
                <c:pt idx="272">
                  <c:v>654</c:v>
                </c:pt>
                <c:pt idx="273">
                  <c:v>596</c:v>
                </c:pt>
                <c:pt idx="274">
                  <c:v>612</c:v>
                </c:pt>
                <c:pt idx="275">
                  <c:v>657</c:v>
                </c:pt>
                <c:pt idx="276">
                  <c:v>689</c:v>
                </c:pt>
                <c:pt idx="277">
                  <c:v>613</c:v>
                </c:pt>
                <c:pt idx="278">
                  <c:v>672</c:v>
                </c:pt>
                <c:pt idx="279">
                  <c:v>680</c:v>
                </c:pt>
                <c:pt idx="280">
                  <c:v>603</c:v>
                </c:pt>
                <c:pt idx="281">
                  <c:v>620</c:v>
                </c:pt>
                <c:pt idx="282">
                  <c:v>632</c:v>
                </c:pt>
                <c:pt idx="283">
                  <c:v>640</c:v>
                </c:pt>
                <c:pt idx="284">
                  <c:v>635</c:v>
                </c:pt>
                <c:pt idx="285">
                  <c:v>693</c:v>
                </c:pt>
                <c:pt idx="286">
                  <c:v>691</c:v>
                </c:pt>
                <c:pt idx="287">
                  <c:v>631</c:v>
                </c:pt>
                <c:pt idx="288">
                  <c:v>715</c:v>
                </c:pt>
                <c:pt idx="289">
                  <c:v>684</c:v>
                </c:pt>
                <c:pt idx="290">
                  <c:v>536</c:v>
                </c:pt>
                <c:pt idx="291">
                  <c:v>637</c:v>
                </c:pt>
                <c:pt idx="292">
                  <c:v>648</c:v>
                </c:pt>
                <c:pt idx="293">
                  <c:v>648</c:v>
                </c:pt>
                <c:pt idx="294">
                  <c:v>691</c:v>
                </c:pt>
                <c:pt idx="295">
                  <c:v>687</c:v>
                </c:pt>
                <c:pt idx="296">
                  <c:v>645</c:v>
                </c:pt>
                <c:pt idx="297">
                  <c:v>654</c:v>
                </c:pt>
                <c:pt idx="298">
                  <c:v>639</c:v>
                </c:pt>
                <c:pt idx="299">
                  <c:v>552</c:v>
                </c:pt>
                <c:pt idx="300">
                  <c:v>631</c:v>
                </c:pt>
                <c:pt idx="301">
                  <c:v>637</c:v>
                </c:pt>
                <c:pt idx="302">
                  <c:v>650</c:v>
                </c:pt>
                <c:pt idx="303">
                  <c:v>692</c:v>
                </c:pt>
                <c:pt idx="304">
                  <c:v>693</c:v>
                </c:pt>
                <c:pt idx="305">
                  <c:v>646</c:v>
                </c:pt>
                <c:pt idx="306">
                  <c:v>702</c:v>
                </c:pt>
                <c:pt idx="307">
                  <c:v>646</c:v>
                </c:pt>
                <c:pt idx="308">
                  <c:v>602</c:v>
                </c:pt>
                <c:pt idx="309">
                  <c:v>623</c:v>
                </c:pt>
                <c:pt idx="310">
                  <c:v>648</c:v>
                </c:pt>
                <c:pt idx="311">
                  <c:v>652</c:v>
                </c:pt>
                <c:pt idx="312">
                  <c:v>685</c:v>
                </c:pt>
                <c:pt idx="313">
                  <c:v>682</c:v>
                </c:pt>
                <c:pt idx="314">
                  <c:v>608</c:v>
                </c:pt>
                <c:pt idx="315">
                  <c:v>652</c:v>
                </c:pt>
                <c:pt idx="316">
                  <c:v>681</c:v>
                </c:pt>
                <c:pt idx="317">
                  <c:v>576</c:v>
                </c:pt>
                <c:pt idx="318">
                  <c:v>639</c:v>
                </c:pt>
                <c:pt idx="319">
                  <c:v>649</c:v>
                </c:pt>
                <c:pt idx="320">
                  <c:v>640</c:v>
                </c:pt>
                <c:pt idx="321">
                  <c:v>686</c:v>
                </c:pt>
                <c:pt idx="322">
                  <c:v>701</c:v>
                </c:pt>
                <c:pt idx="323">
                  <c:v>665</c:v>
                </c:pt>
                <c:pt idx="324">
                  <c:v>674</c:v>
                </c:pt>
                <c:pt idx="325">
                  <c:v>720</c:v>
                </c:pt>
                <c:pt idx="326">
                  <c:v>698</c:v>
                </c:pt>
                <c:pt idx="327">
                  <c:v>578</c:v>
                </c:pt>
                <c:pt idx="328">
                  <c:v>1526</c:v>
                </c:pt>
                <c:pt idx="329">
                  <c:v>2385</c:v>
                </c:pt>
                <c:pt idx="330">
                  <c:v>2350</c:v>
                </c:pt>
                <c:pt idx="331">
                  <c:v>2352</c:v>
                </c:pt>
                <c:pt idx="332">
                  <c:v>529</c:v>
                </c:pt>
                <c:pt idx="333">
                  <c:v>602</c:v>
                </c:pt>
                <c:pt idx="334">
                  <c:v>610</c:v>
                </c:pt>
                <c:pt idx="335">
                  <c:v>640</c:v>
                </c:pt>
                <c:pt idx="336">
                  <c:v>566</c:v>
                </c:pt>
                <c:pt idx="337">
                  <c:v>623</c:v>
                </c:pt>
                <c:pt idx="338">
                  <c:v>609</c:v>
                </c:pt>
                <c:pt idx="339">
                  <c:v>555</c:v>
                </c:pt>
                <c:pt idx="340">
                  <c:v>2110</c:v>
                </c:pt>
                <c:pt idx="341">
                  <c:v>836</c:v>
                </c:pt>
                <c:pt idx="342">
                  <c:v>587</c:v>
                </c:pt>
                <c:pt idx="343">
                  <c:v>645</c:v>
                </c:pt>
                <c:pt idx="344">
                  <c:v>668</c:v>
                </c:pt>
                <c:pt idx="345">
                  <c:v>632</c:v>
                </c:pt>
                <c:pt idx="346">
                  <c:v>688</c:v>
                </c:pt>
                <c:pt idx="347">
                  <c:v>601</c:v>
                </c:pt>
                <c:pt idx="348">
                  <c:v>604</c:v>
                </c:pt>
                <c:pt idx="349">
                  <c:v>666</c:v>
                </c:pt>
                <c:pt idx="350">
                  <c:v>644</c:v>
                </c:pt>
                <c:pt idx="351">
                  <c:v>632</c:v>
                </c:pt>
                <c:pt idx="352">
                  <c:v>677</c:v>
                </c:pt>
                <c:pt idx="353">
                  <c:v>710</c:v>
                </c:pt>
                <c:pt idx="354">
                  <c:v>592</c:v>
                </c:pt>
                <c:pt idx="355">
                  <c:v>624</c:v>
                </c:pt>
                <c:pt idx="356">
                  <c:v>627</c:v>
                </c:pt>
                <c:pt idx="357">
                  <c:v>646</c:v>
                </c:pt>
                <c:pt idx="358">
                  <c:v>694</c:v>
                </c:pt>
                <c:pt idx="359">
                  <c:v>696</c:v>
                </c:pt>
                <c:pt idx="360">
                  <c:v>679</c:v>
                </c:pt>
                <c:pt idx="361">
                  <c:v>676</c:v>
                </c:pt>
                <c:pt idx="362">
                  <c:v>684</c:v>
                </c:pt>
                <c:pt idx="363">
                  <c:v>577</c:v>
                </c:pt>
                <c:pt idx="364">
                  <c:v>569</c:v>
                </c:pt>
                <c:pt idx="365">
                  <c:v>652</c:v>
                </c:pt>
                <c:pt idx="366">
                  <c:v>646</c:v>
                </c:pt>
                <c:pt idx="367">
                  <c:v>657</c:v>
                </c:pt>
                <c:pt idx="368">
                  <c:v>677</c:v>
                </c:pt>
                <c:pt idx="369">
                  <c:v>442</c:v>
                </c:pt>
                <c:pt idx="370">
                  <c:v>619</c:v>
                </c:pt>
                <c:pt idx="371">
                  <c:v>611</c:v>
                </c:pt>
                <c:pt idx="372">
                  <c:v>636</c:v>
                </c:pt>
                <c:pt idx="373">
                  <c:v>648</c:v>
                </c:pt>
                <c:pt idx="374">
                  <c:v>638</c:v>
                </c:pt>
                <c:pt idx="375">
                  <c:v>597</c:v>
                </c:pt>
                <c:pt idx="376">
                  <c:v>580</c:v>
                </c:pt>
                <c:pt idx="377">
                  <c:v>616</c:v>
                </c:pt>
                <c:pt idx="378">
                  <c:v>627</c:v>
                </c:pt>
                <c:pt idx="379">
                  <c:v>620</c:v>
                </c:pt>
                <c:pt idx="380">
                  <c:v>627</c:v>
                </c:pt>
                <c:pt idx="381">
                  <c:v>634</c:v>
                </c:pt>
                <c:pt idx="382">
                  <c:v>623</c:v>
                </c:pt>
                <c:pt idx="383">
                  <c:v>630</c:v>
                </c:pt>
                <c:pt idx="384">
                  <c:v>632</c:v>
                </c:pt>
                <c:pt idx="385">
                  <c:v>623</c:v>
                </c:pt>
                <c:pt idx="386">
                  <c:v>632</c:v>
                </c:pt>
                <c:pt idx="387">
                  <c:v>633</c:v>
                </c:pt>
                <c:pt idx="388">
                  <c:v>640</c:v>
                </c:pt>
                <c:pt idx="389">
                  <c:v>618</c:v>
                </c:pt>
                <c:pt idx="390">
                  <c:v>646</c:v>
                </c:pt>
                <c:pt idx="391">
                  <c:v>640</c:v>
                </c:pt>
                <c:pt idx="392">
                  <c:v>544</c:v>
                </c:pt>
                <c:pt idx="393">
                  <c:v>0</c:v>
                </c:pt>
              </c:numCache>
            </c:numRef>
          </c:val>
          <c:smooth val="0"/>
          <c:extLst>
            <c:ext xmlns:c16="http://schemas.microsoft.com/office/drawing/2014/chart" uri="{C3380CC4-5D6E-409C-BE32-E72D297353CC}">
              <c16:uniqueId val="{00000002-BD8D-48AC-AB64-3936B4049743}"/>
            </c:ext>
          </c:extLst>
        </c:ser>
        <c:dLbls>
          <c:showLegendKey val="0"/>
          <c:showVal val="0"/>
          <c:showCatName val="0"/>
          <c:showSerName val="0"/>
          <c:showPercent val="0"/>
          <c:showBubbleSize val="0"/>
        </c:dLbls>
        <c:smooth val="0"/>
        <c:axId val="548397583"/>
        <c:axId val="655257279"/>
      </c:lineChart>
      <c:catAx>
        <c:axId val="54839758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5257279"/>
        <c:crosses val="autoZero"/>
        <c:auto val="1"/>
        <c:lblAlgn val="ctr"/>
        <c:lblOffset val="100"/>
        <c:noMultiLvlLbl val="0"/>
      </c:catAx>
      <c:valAx>
        <c:axId val="65525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48397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1k</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带宽占用RocksDB!$F$1</c:f>
              <c:strCache>
                <c:ptCount val="1"/>
                <c:pt idx="0">
                  <c:v>read</c:v>
                </c:pt>
              </c:strCache>
            </c:strRef>
          </c:tx>
          <c:spPr>
            <a:ln w="28575" cap="rnd">
              <a:solidFill>
                <a:schemeClr val="accent1"/>
              </a:solidFill>
              <a:round/>
            </a:ln>
            <a:effectLst/>
          </c:spPr>
          <c:marker>
            <c:symbol val="none"/>
          </c:marker>
          <c:val>
            <c:numRef>
              <c:f>带宽占用RocksDB!$F$2:$F$980</c:f>
              <c:numCache>
                <c:formatCode>General</c:formatCode>
                <c:ptCount val="979"/>
                <c:pt idx="0">
                  <c:v>0</c:v>
                </c:pt>
                <c:pt idx="1">
                  <c:v>1</c:v>
                </c:pt>
                <c:pt idx="2">
                  <c:v>246</c:v>
                </c:pt>
                <c:pt idx="3">
                  <c:v>282</c:v>
                </c:pt>
                <c:pt idx="4">
                  <c:v>330</c:v>
                </c:pt>
                <c:pt idx="5">
                  <c:v>374</c:v>
                </c:pt>
                <c:pt idx="6">
                  <c:v>449</c:v>
                </c:pt>
                <c:pt idx="7">
                  <c:v>501</c:v>
                </c:pt>
                <c:pt idx="8">
                  <c:v>463</c:v>
                </c:pt>
                <c:pt idx="9">
                  <c:v>423</c:v>
                </c:pt>
                <c:pt idx="10">
                  <c:v>436</c:v>
                </c:pt>
                <c:pt idx="11">
                  <c:v>614</c:v>
                </c:pt>
                <c:pt idx="12">
                  <c:v>575</c:v>
                </c:pt>
                <c:pt idx="13">
                  <c:v>502</c:v>
                </c:pt>
                <c:pt idx="14">
                  <c:v>1006</c:v>
                </c:pt>
                <c:pt idx="15">
                  <c:v>764</c:v>
                </c:pt>
                <c:pt idx="16">
                  <c:v>479</c:v>
                </c:pt>
                <c:pt idx="17">
                  <c:v>714</c:v>
                </c:pt>
                <c:pt idx="18">
                  <c:v>536</c:v>
                </c:pt>
                <c:pt idx="19">
                  <c:v>451</c:v>
                </c:pt>
                <c:pt idx="20">
                  <c:v>761</c:v>
                </c:pt>
                <c:pt idx="21">
                  <c:v>1010</c:v>
                </c:pt>
                <c:pt idx="22">
                  <c:v>664</c:v>
                </c:pt>
                <c:pt idx="23">
                  <c:v>514</c:v>
                </c:pt>
                <c:pt idx="24">
                  <c:v>654</c:v>
                </c:pt>
                <c:pt idx="25">
                  <c:v>687</c:v>
                </c:pt>
                <c:pt idx="26">
                  <c:v>528</c:v>
                </c:pt>
                <c:pt idx="27">
                  <c:v>461</c:v>
                </c:pt>
                <c:pt idx="28">
                  <c:v>906</c:v>
                </c:pt>
                <c:pt idx="29">
                  <c:v>1015</c:v>
                </c:pt>
                <c:pt idx="30">
                  <c:v>997</c:v>
                </c:pt>
                <c:pt idx="31">
                  <c:v>511</c:v>
                </c:pt>
                <c:pt idx="32">
                  <c:v>714</c:v>
                </c:pt>
                <c:pt idx="33">
                  <c:v>639</c:v>
                </c:pt>
                <c:pt idx="34">
                  <c:v>569</c:v>
                </c:pt>
                <c:pt idx="35">
                  <c:v>735</c:v>
                </c:pt>
                <c:pt idx="36">
                  <c:v>731</c:v>
                </c:pt>
                <c:pt idx="37">
                  <c:v>1039</c:v>
                </c:pt>
                <c:pt idx="38">
                  <c:v>1032</c:v>
                </c:pt>
                <c:pt idx="39">
                  <c:v>1012</c:v>
                </c:pt>
                <c:pt idx="40">
                  <c:v>1006</c:v>
                </c:pt>
                <c:pt idx="41">
                  <c:v>844</c:v>
                </c:pt>
                <c:pt idx="42">
                  <c:v>391</c:v>
                </c:pt>
                <c:pt idx="43">
                  <c:v>680</c:v>
                </c:pt>
                <c:pt idx="44">
                  <c:v>604</c:v>
                </c:pt>
                <c:pt idx="45">
                  <c:v>595</c:v>
                </c:pt>
                <c:pt idx="46">
                  <c:v>842</c:v>
                </c:pt>
                <c:pt idx="47">
                  <c:v>829</c:v>
                </c:pt>
                <c:pt idx="48">
                  <c:v>1034</c:v>
                </c:pt>
                <c:pt idx="49">
                  <c:v>1025</c:v>
                </c:pt>
                <c:pt idx="50">
                  <c:v>1012</c:v>
                </c:pt>
                <c:pt idx="51">
                  <c:v>993</c:v>
                </c:pt>
                <c:pt idx="52">
                  <c:v>1001</c:v>
                </c:pt>
                <c:pt idx="53">
                  <c:v>506</c:v>
                </c:pt>
                <c:pt idx="54">
                  <c:v>514</c:v>
                </c:pt>
                <c:pt idx="55">
                  <c:v>598</c:v>
                </c:pt>
                <c:pt idx="56">
                  <c:v>687</c:v>
                </c:pt>
                <c:pt idx="57">
                  <c:v>799</c:v>
                </c:pt>
                <c:pt idx="58">
                  <c:v>832</c:v>
                </c:pt>
                <c:pt idx="59">
                  <c:v>1044</c:v>
                </c:pt>
                <c:pt idx="60">
                  <c:v>1029</c:v>
                </c:pt>
                <c:pt idx="61">
                  <c:v>1021</c:v>
                </c:pt>
                <c:pt idx="62">
                  <c:v>1035</c:v>
                </c:pt>
                <c:pt idx="63">
                  <c:v>1030</c:v>
                </c:pt>
                <c:pt idx="64">
                  <c:v>1034</c:v>
                </c:pt>
                <c:pt idx="65">
                  <c:v>1063</c:v>
                </c:pt>
                <c:pt idx="66">
                  <c:v>1051</c:v>
                </c:pt>
                <c:pt idx="67">
                  <c:v>1023</c:v>
                </c:pt>
                <c:pt idx="68">
                  <c:v>636</c:v>
                </c:pt>
                <c:pt idx="69">
                  <c:v>568</c:v>
                </c:pt>
                <c:pt idx="70">
                  <c:v>631</c:v>
                </c:pt>
                <c:pt idx="71">
                  <c:v>692</c:v>
                </c:pt>
                <c:pt idx="72">
                  <c:v>770</c:v>
                </c:pt>
                <c:pt idx="73">
                  <c:v>855</c:v>
                </c:pt>
                <c:pt idx="74">
                  <c:v>1083</c:v>
                </c:pt>
                <c:pt idx="75">
                  <c:v>1057</c:v>
                </c:pt>
                <c:pt idx="76">
                  <c:v>1052</c:v>
                </c:pt>
                <c:pt idx="77">
                  <c:v>1048</c:v>
                </c:pt>
                <c:pt idx="78">
                  <c:v>1032</c:v>
                </c:pt>
                <c:pt idx="79">
                  <c:v>1036</c:v>
                </c:pt>
                <c:pt idx="80">
                  <c:v>1047</c:v>
                </c:pt>
                <c:pt idx="81">
                  <c:v>1063</c:v>
                </c:pt>
                <c:pt idx="82">
                  <c:v>1084</c:v>
                </c:pt>
                <c:pt idx="83">
                  <c:v>1049</c:v>
                </c:pt>
                <c:pt idx="84">
                  <c:v>959</c:v>
                </c:pt>
                <c:pt idx="85">
                  <c:v>443</c:v>
                </c:pt>
                <c:pt idx="86">
                  <c:v>692</c:v>
                </c:pt>
                <c:pt idx="87">
                  <c:v>559</c:v>
                </c:pt>
                <c:pt idx="88">
                  <c:v>566</c:v>
                </c:pt>
                <c:pt idx="89">
                  <c:v>829</c:v>
                </c:pt>
                <c:pt idx="90">
                  <c:v>918</c:v>
                </c:pt>
                <c:pt idx="91">
                  <c:v>683</c:v>
                </c:pt>
                <c:pt idx="92">
                  <c:v>784</c:v>
                </c:pt>
                <c:pt idx="93">
                  <c:v>1048</c:v>
                </c:pt>
                <c:pt idx="94">
                  <c:v>1046</c:v>
                </c:pt>
                <c:pt idx="95">
                  <c:v>1038</c:v>
                </c:pt>
                <c:pt idx="96">
                  <c:v>1093</c:v>
                </c:pt>
                <c:pt idx="97">
                  <c:v>1079</c:v>
                </c:pt>
                <c:pt idx="98">
                  <c:v>1127</c:v>
                </c:pt>
                <c:pt idx="99">
                  <c:v>1062</c:v>
                </c:pt>
                <c:pt idx="100">
                  <c:v>1050</c:v>
                </c:pt>
                <c:pt idx="101">
                  <c:v>980</c:v>
                </c:pt>
                <c:pt idx="102">
                  <c:v>431</c:v>
                </c:pt>
                <c:pt idx="103">
                  <c:v>660</c:v>
                </c:pt>
                <c:pt idx="104">
                  <c:v>634</c:v>
                </c:pt>
                <c:pt idx="105">
                  <c:v>473</c:v>
                </c:pt>
                <c:pt idx="106">
                  <c:v>843</c:v>
                </c:pt>
                <c:pt idx="107">
                  <c:v>941</c:v>
                </c:pt>
                <c:pt idx="108">
                  <c:v>731</c:v>
                </c:pt>
                <c:pt idx="109">
                  <c:v>652</c:v>
                </c:pt>
                <c:pt idx="110">
                  <c:v>823</c:v>
                </c:pt>
                <c:pt idx="111">
                  <c:v>1066</c:v>
                </c:pt>
                <c:pt idx="112">
                  <c:v>1095</c:v>
                </c:pt>
                <c:pt idx="113">
                  <c:v>1081</c:v>
                </c:pt>
                <c:pt idx="114">
                  <c:v>1053</c:v>
                </c:pt>
                <c:pt idx="115">
                  <c:v>1070</c:v>
                </c:pt>
                <c:pt idx="116">
                  <c:v>1082</c:v>
                </c:pt>
                <c:pt idx="117">
                  <c:v>1078</c:v>
                </c:pt>
                <c:pt idx="118">
                  <c:v>1081</c:v>
                </c:pt>
                <c:pt idx="119">
                  <c:v>1074</c:v>
                </c:pt>
                <c:pt idx="120">
                  <c:v>1089</c:v>
                </c:pt>
                <c:pt idx="121">
                  <c:v>1071</c:v>
                </c:pt>
                <c:pt idx="122">
                  <c:v>1083</c:v>
                </c:pt>
                <c:pt idx="123">
                  <c:v>1076</c:v>
                </c:pt>
                <c:pt idx="124">
                  <c:v>1064</c:v>
                </c:pt>
                <c:pt idx="125">
                  <c:v>1030</c:v>
                </c:pt>
                <c:pt idx="126">
                  <c:v>594</c:v>
                </c:pt>
                <c:pt idx="127">
                  <c:v>651</c:v>
                </c:pt>
                <c:pt idx="128">
                  <c:v>587</c:v>
                </c:pt>
                <c:pt idx="129">
                  <c:v>570</c:v>
                </c:pt>
                <c:pt idx="130">
                  <c:v>792</c:v>
                </c:pt>
                <c:pt idx="131">
                  <c:v>876</c:v>
                </c:pt>
                <c:pt idx="132">
                  <c:v>828</c:v>
                </c:pt>
                <c:pt idx="133">
                  <c:v>694</c:v>
                </c:pt>
                <c:pt idx="134">
                  <c:v>659</c:v>
                </c:pt>
                <c:pt idx="135">
                  <c:v>920</c:v>
                </c:pt>
                <c:pt idx="136">
                  <c:v>1085</c:v>
                </c:pt>
                <c:pt idx="137">
                  <c:v>1099</c:v>
                </c:pt>
                <c:pt idx="138">
                  <c:v>1095</c:v>
                </c:pt>
                <c:pt idx="139">
                  <c:v>1090</c:v>
                </c:pt>
                <c:pt idx="140">
                  <c:v>1085</c:v>
                </c:pt>
                <c:pt idx="141">
                  <c:v>1093</c:v>
                </c:pt>
                <c:pt idx="142">
                  <c:v>1085</c:v>
                </c:pt>
                <c:pt idx="143">
                  <c:v>1101</c:v>
                </c:pt>
                <c:pt idx="144">
                  <c:v>1088</c:v>
                </c:pt>
                <c:pt idx="145">
                  <c:v>1090</c:v>
                </c:pt>
                <c:pt idx="146">
                  <c:v>1098</c:v>
                </c:pt>
                <c:pt idx="147">
                  <c:v>1083</c:v>
                </c:pt>
                <c:pt idx="148">
                  <c:v>1066</c:v>
                </c:pt>
                <c:pt idx="149">
                  <c:v>1073</c:v>
                </c:pt>
                <c:pt idx="150">
                  <c:v>1072</c:v>
                </c:pt>
                <c:pt idx="151">
                  <c:v>1044</c:v>
                </c:pt>
                <c:pt idx="152">
                  <c:v>892</c:v>
                </c:pt>
                <c:pt idx="153">
                  <c:v>450</c:v>
                </c:pt>
                <c:pt idx="154">
                  <c:v>684</c:v>
                </c:pt>
                <c:pt idx="155">
                  <c:v>693</c:v>
                </c:pt>
                <c:pt idx="156">
                  <c:v>596</c:v>
                </c:pt>
                <c:pt idx="157">
                  <c:v>854</c:v>
                </c:pt>
                <c:pt idx="158">
                  <c:v>1064</c:v>
                </c:pt>
                <c:pt idx="159">
                  <c:v>459</c:v>
                </c:pt>
                <c:pt idx="160">
                  <c:v>668</c:v>
                </c:pt>
                <c:pt idx="161">
                  <c:v>731</c:v>
                </c:pt>
                <c:pt idx="162">
                  <c:v>924</c:v>
                </c:pt>
                <c:pt idx="163">
                  <c:v>1076</c:v>
                </c:pt>
                <c:pt idx="164">
                  <c:v>1089</c:v>
                </c:pt>
                <c:pt idx="165">
                  <c:v>1090</c:v>
                </c:pt>
                <c:pt idx="166">
                  <c:v>1073</c:v>
                </c:pt>
                <c:pt idx="167">
                  <c:v>1077</c:v>
                </c:pt>
                <c:pt idx="168">
                  <c:v>1082</c:v>
                </c:pt>
                <c:pt idx="169">
                  <c:v>1103</c:v>
                </c:pt>
                <c:pt idx="170">
                  <c:v>1089</c:v>
                </c:pt>
                <c:pt idx="171">
                  <c:v>1094</c:v>
                </c:pt>
                <c:pt idx="172">
                  <c:v>1107</c:v>
                </c:pt>
                <c:pt idx="173">
                  <c:v>1127</c:v>
                </c:pt>
                <c:pt idx="174">
                  <c:v>1106</c:v>
                </c:pt>
                <c:pt idx="175">
                  <c:v>1087</c:v>
                </c:pt>
                <c:pt idx="176">
                  <c:v>1085</c:v>
                </c:pt>
                <c:pt idx="177">
                  <c:v>1117</c:v>
                </c:pt>
                <c:pt idx="178">
                  <c:v>1070</c:v>
                </c:pt>
                <c:pt idx="179">
                  <c:v>1082</c:v>
                </c:pt>
                <c:pt idx="180">
                  <c:v>1064</c:v>
                </c:pt>
                <c:pt idx="181">
                  <c:v>1040</c:v>
                </c:pt>
                <c:pt idx="182">
                  <c:v>566</c:v>
                </c:pt>
                <c:pt idx="183">
                  <c:v>543</c:v>
                </c:pt>
                <c:pt idx="184">
                  <c:v>656</c:v>
                </c:pt>
                <c:pt idx="185">
                  <c:v>696</c:v>
                </c:pt>
                <c:pt idx="186">
                  <c:v>714</c:v>
                </c:pt>
                <c:pt idx="187">
                  <c:v>873</c:v>
                </c:pt>
                <c:pt idx="188">
                  <c:v>966</c:v>
                </c:pt>
                <c:pt idx="189">
                  <c:v>541</c:v>
                </c:pt>
                <c:pt idx="190">
                  <c:v>607</c:v>
                </c:pt>
                <c:pt idx="191">
                  <c:v>853</c:v>
                </c:pt>
                <c:pt idx="192">
                  <c:v>922</c:v>
                </c:pt>
                <c:pt idx="193">
                  <c:v>1073</c:v>
                </c:pt>
                <c:pt idx="194">
                  <c:v>1087</c:v>
                </c:pt>
                <c:pt idx="195">
                  <c:v>1084</c:v>
                </c:pt>
                <c:pt idx="196">
                  <c:v>1086</c:v>
                </c:pt>
                <c:pt idx="197">
                  <c:v>1108</c:v>
                </c:pt>
                <c:pt idx="198">
                  <c:v>1102</c:v>
                </c:pt>
                <c:pt idx="199">
                  <c:v>1103</c:v>
                </c:pt>
                <c:pt idx="200">
                  <c:v>1092</c:v>
                </c:pt>
                <c:pt idx="201">
                  <c:v>1099</c:v>
                </c:pt>
                <c:pt idx="202">
                  <c:v>1114</c:v>
                </c:pt>
                <c:pt idx="203">
                  <c:v>1077</c:v>
                </c:pt>
                <c:pt idx="204">
                  <c:v>1094</c:v>
                </c:pt>
                <c:pt idx="205">
                  <c:v>1100</c:v>
                </c:pt>
                <c:pt idx="206">
                  <c:v>1093</c:v>
                </c:pt>
                <c:pt idx="207">
                  <c:v>1092</c:v>
                </c:pt>
                <c:pt idx="208">
                  <c:v>1108</c:v>
                </c:pt>
                <c:pt idx="209">
                  <c:v>1083</c:v>
                </c:pt>
                <c:pt idx="210">
                  <c:v>1087</c:v>
                </c:pt>
                <c:pt idx="211">
                  <c:v>1066</c:v>
                </c:pt>
                <c:pt idx="212">
                  <c:v>1078</c:v>
                </c:pt>
                <c:pt idx="213">
                  <c:v>1054</c:v>
                </c:pt>
                <c:pt idx="214">
                  <c:v>857</c:v>
                </c:pt>
                <c:pt idx="215">
                  <c:v>484</c:v>
                </c:pt>
                <c:pt idx="216">
                  <c:v>687</c:v>
                </c:pt>
                <c:pt idx="217">
                  <c:v>695</c:v>
                </c:pt>
                <c:pt idx="218">
                  <c:v>676</c:v>
                </c:pt>
                <c:pt idx="219">
                  <c:v>857</c:v>
                </c:pt>
                <c:pt idx="220">
                  <c:v>858</c:v>
                </c:pt>
                <c:pt idx="221">
                  <c:v>682</c:v>
                </c:pt>
                <c:pt idx="222">
                  <c:v>698</c:v>
                </c:pt>
                <c:pt idx="223">
                  <c:v>600</c:v>
                </c:pt>
                <c:pt idx="224">
                  <c:v>777</c:v>
                </c:pt>
                <c:pt idx="225">
                  <c:v>1037</c:v>
                </c:pt>
                <c:pt idx="226">
                  <c:v>1098</c:v>
                </c:pt>
                <c:pt idx="227">
                  <c:v>1094</c:v>
                </c:pt>
                <c:pt idx="228">
                  <c:v>1071</c:v>
                </c:pt>
                <c:pt idx="229">
                  <c:v>1087</c:v>
                </c:pt>
                <c:pt idx="230">
                  <c:v>1097</c:v>
                </c:pt>
                <c:pt idx="231">
                  <c:v>1085</c:v>
                </c:pt>
                <c:pt idx="232">
                  <c:v>1124</c:v>
                </c:pt>
                <c:pt idx="233">
                  <c:v>1103</c:v>
                </c:pt>
                <c:pt idx="234">
                  <c:v>1094</c:v>
                </c:pt>
                <c:pt idx="235">
                  <c:v>1069</c:v>
                </c:pt>
                <c:pt idx="236">
                  <c:v>1094</c:v>
                </c:pt>
                <c:pt idx="237">
                  <c:v>1104</c:v>
                </c:pt>
                <c:pt idx="238">
                  <c:v>1107</c:v>
                </c:pt>
                <c:pt idx="239">
                  <c:v>1114</c:v>
                </c:pt>
                <c:pt idx="240">
                  <c:v>1097</c:v>
                </c:pt>
                <c:pt idx="241">
                  <c:v>1098</c:v>
                </c:pt>
                <c:pt idx="242">
                  <c:v>1079</c:v>
                </c:pt>
                <c:pt idx="243">
                  <c:v>1101</c:v>
                </c:pt>
                <c:pt idx="244">
                  <c:v>1102</c:v>
                </c:pt>
                <c:pt idx="245">
                  <c:v>1088</c:v>
                </c:pt>
                <c:pt idx="246">
                  <c:v>1083</c:v>
                </c:pt>
                <c:pt idx="247">
                  <c:v>1055</c:v>
                </c:pt>
                <c:pt idx="248">
                  <c:v>1102</c:v>
                </c:pt>
                <c:pt idx="249">
                  <c:v>858</c:v>
                </c:pt>
                <c:pt idx="250">
                  <c:v>440</c:v>
                </c:pt>
                <c:pt idx="251">
                  <c:v>678</c:v>
                </c:pt>
                <c:pt idx="252">
                  <c:v>700</c:v>
                </c:pt>
                <c:pt idx="253">
                  <c:v>714</c:v>
                </c:pt>
                <c:pt idx="254">
                  <c:v>862</c:v>
                </c:pt>
                <c:pt idx="255">
                  <c:v>1007</c:v>
                </c:pt>
                <c:pt idx="256">
                  <c:v>576</c:v>
                </c:pt>
                <c:pt idx="257">
                  <c:v>600</c:v>
                </c:pt>
                <c:pt idx="258">
                  <c:v>885</c:v>
                </c:pt>
                <c:pt idx="259">
                  <c:v>954</c:v>
                </c:pt>
                <c:pt idx="260">
                  <c:v>982</c:v>
                </c:pt>
                <c:pt idx="261">
                  <c:v>1060</c:v>
                </c:pt>
                <c:pt idx="262">
                  <c:v>1070</c:v>
                </c:pt>
                <c:pt idx="263">
                  <c:v>1082</c:v>
                </c:pt>
                <c:pt idx="264">
                  <c:v>1091</c:v>
                </c:pt>
                <c:pt idx="265">
                  <c:v>1107</c:v>
                </c:pt>
                <c:pt idx="266">
                  <c:v>1098</c:v>
                </c:pt>
                <c:pt idx="267">
                  <c:v>1081</c:v>
                </c:pt>
                <c:pt idx="268">
                  <c:v>1091</c:v>
                </c:pt>
                <c:pt idx="269">
                  <c:v>1096</c:v>
                </c:pt>
                <c:pt idx="270">
                  <c:v>1132</c:v>
                </c:pt>
                <c:pt idx="271">
                  <c:v>1108</c:v>
                </c:pt>
                <c:pt idx="272">
                  <c:v>1098</c:v>
                </c:pt>
                <c:pt idx="273">
                  <c:v>1074</c:v>
                </c:pt>
                <c:pt idx="274">
                  <c:v>1058</c:v>
                </c:pt>
                <c:pt idx="275">
                  <c:v>1044</c:v>
                </c:pt>
                <c:pt idx="276">
                  <c:v>1033</c:v>
                </c:pt>
                <c:pt idx="277">
                  <c:v>739</c:v>
                </c:pt>
                <c:pt idx="278">
                  <c:v>438</c:v>
                </c:pt>
                <c:pt idx="279">
                  <c:v>667</c:v>
                </c:pt>
                <c:pt idx="280">
                  <c:v>700</c:v>
                </c:pt>
                <c:pt idx="281">
                  <c:v>698</c:v>
                </c:pt>
                <c:pt idx="282">
                  <c:v>848</c:v>
                </c:pt>
                <c:pt idx="283">
                  <c:v>1012</c:v>
                </c:pt>
                <c:pt idx="284">
                  <c:v>547</c:v>
                </c:pt>
                <c:pt idx="285">
                  <c:v>632</c:v>
                </c:pt>
                <c:pt idx="286">
                  <c:v>864</c:v>
                </c:pt>
                <c:pt idx="287">
                  <c:v>894</c:v>
                </c:pt>
                <c:pt idx="288">
                  <c:v>768</c:v>
                </c:pt>
                <c:pt idx="289">
                  <c:v>633</c:v>
                </c:pt>
                <c:pt idx="290">
                  <c:v>1089</c:v>
                </c:pt>
                <c:pt idx="291">
                  <c:v>1083</c:v>
                </c:pt>
                <c:pt idx="292">
                  <c:v>1095</c:v>
                </c:pt>
                <c:pt idx="293">
                  <c:v>1094</c:v>
                </c:pt>
                <c:pt idx="294">
                  <c:v>1099</c:v>
                </c:pt>
                <c:pt idx="295">
                  <c:v>1089</c:v>
                </c:pt>
                <c:pt idx="296">
                  <c:v>1096</c:v>
                </c:pt>
                <c:pt idx="297">
                  <c:v>1084</c:v>
                </c:pt>
                <c:pt idx="298">
                  <c:v>1102</c:v>
                </c:pt>
                <c:pt idx="299">
                  <c:v>1080</c:v>
                </c:pt>
                <c:pt idx="300">
                  <c:v>1099</c:v>
                </c:pt>
                <c:pt idx="301">
                  <c:v>1129</c:v>
                </c:pt>
                <c:pt idx="302">
                  <c:v>1078</c:v>
                </c:pt>
                <c:pt idx="303">
                  <c:v>1080</c:v>
                </c:pt>
                <c:pt idx="304">
                  <c:v>1069</c:v>
                </c:pt>
                <c:pt idx="305">
                  <c:v>1045</c:v>
                </c:pt>
                <c:pt idx="306">
                  <c:v>1019</c:v>
                </c:pt>
                <c:pt idx="307">
                  <c:v>917</c:v>
                </c:pt>
                <c:pt idx="308">
                  <c:v>448</c:v>
                </c:pt>
                <c:pt idx="309">
                  <c:v>685</c:v>
                </c:pt>
                <c:pt idx="310">
                  <c:v>689</c:v>
                </c:pt>
                <c:pt idx="311">
                  <c:v>721</c:v>
                </c:pt>
                <c:pt idx="312">
                  <c:v>867</c:v>
                </c:pt>
                <c:pt idx="313">
                  <c:v>744</c:v>
                </c:pt>
                <c:pt idx="314">
                  <c:v>677</c:v>
                </c:pt>
                <c:pt idx="315">
                  <c:v>702</c:v>
                </c:pt>
                <c:pt idx="316">
                  <c:v>584</c:v>
                </c:pt>
                <c:pt idx="317">
                  <c:v>754</c:v>
                </c:pt>
                <c:pt idx="318">
                  <c:v>933</c:v>
                </c:pt>
                <c:pt idx="319">
                  <c:v>676</c:v>
                </c:pt>
                <c:pt idx="320">
                  <c:v>729</c:v>
                </c:pt>
                <c:pt idx="321">
                  <c:v>1069</c:v>
                </c:pt>
                <c:pt idx="322">
                  <c:v>1081</c:v>
                </c:pt>
                <c:pt idx="323">
                  <c:v>1089</c:v>
                </c:pt>
                <c:pt idx="324">
                  <c:v>1111</c:v>
                </c:pt>
                <c:pt idx="325">
                  <c:v>1090</c:v>
                </c:pt>
                <c:pt idx="326">
                  <c:v>1098</c:v>
                </c:pt>
                <c:pt idx="327">
                  <c:v>1091</c:v>
                </c:pt>
                <c:pt idx="328">
                  <c:v>1081</c:v>
                </c:pt>
                <c:pt idx="329">
                  <c:v>1093</c:v>
                </c:pt>
                <c:pt idx="330">
                  <c:v>1085</c:v>
                </c:pt>
                <c:pt idx="331">
                  <c:v>1073</c:v>
                </c:pt>
                <c:pt idx="332">
                  <c:v>1123</c:v>
                </c:pt>
                <c:pt idx="333">
                  <c:v>1103</c:v>
                </c:pt>
                <c:pt idx="334">
                  <c:v>1077</c:v>
                </c:pt>
                <c:pt idx="335">
                  <c:v>1105</c:v>
                </c:pt>
                <c:pt idx="336">
                  <c:v>1062</c:v>
                </c:pt>
                <c:pt idx="337">
                  <c:v>1056</c:v>
                </c:pt>
                <c:pt idx="338">
                  <c:v>1043</c:v>
                </c:pt>
                <c:pt idx="339">
                  <c:v>907</c:v>
                </c:pt>
                <c:pt idx="340">
                  <c:v>413</c:v>
                </c:pt>
                <c:pt idx="341">
                  <c:v>685</c:v>
                </c:pt>
                <c:pt idx="342">
                  <c:v>651</c:v>
                </c:pt>
                <c:pt idx="343">
                  <c:v>548</c:v>
                </c:pt>
                <c:pt idx="344">
                  <c:v>785</c:v>
                </c:pt>
                <c:pt idx="345">
                  <c:v>884</c:v>
                </c:pt>
                <c:pt idx="346">
                  <c:v>701</c:v>
                </c:pt>
                <c:pt idx="347">
                  <c:v>697</c:v>
                </c:pt>
                <c:pt idx="348">
                  <c:v>712</c:v>
                </c:pt>
                <c:pt idx="349">
                  <c:v>472</c:v>
                </c:pt>
                <c:pt idx="350">
                  <c:v>492</c:v>
                </c:pt>
                <c:pt idx="351">
                  <c:v>494</c:v>
                </c:pt>
                <c:pt idx="352">
                  <c:v>781</c:v>
                </c:pt>
                <c:pt idx="353">
                  <c:v>1087</c:v>
                </c:pt>
                <c:pt idx="354">
                  <c:v>1094</c:v>
                </c:pt>
                <c:pt idx="355">
                  <c:v>1098</c:v>
                </c:pt>
                <c:pt idx="356">
                  <c:v>1095</c:v>
                </c:pt>
                <c:pt idx="357">
                  <c:v>1097</c:v>
                </c:pt>
                <c:pt idx="358">
                  <c:v>1099</c:v>
                </c:pt>
                <c:pt idx="359">
                  <c:v>1111</c:v>
                </c:pt>
                <c:pt idx="360">
                  <c:v>1090</c:v>
                </c:pt>
                <c:pt idx="361">
                  <c:v>1120</c:v>
                </c:pt>
                <c:pt idx="362">
                  <c:v>1131</c:v>
                </c:pt>
                <c:pt idx="363">
                  <c:v>1091</c:v>
                </c:pt>
                <c:pt idx="364">
                  <c:v>1098</c:v>
                </c:pt>
                <c:pt idx="365">
                  <c:v>1099</c:v>
                </c:pt>
                <c:pt idx="366">
                  <c:v>1083</c:v>
                </c:pt>
                <c:pt idx="367">
                  <c:v>1105</c:v>
                </c:pt>
                <c:pt idx="368">
                  <c:v>1078</c:v>
                </c:pt>
                <c:pt idx="369">
                  <c:v>1072</c:v>
                </c:pt>
                <c:pt idx="370">
                  <c:v>1079</c:v>
                </c:pt>
                <c:pt idx="371">
                  <c:v>1077</c:v>
                </c:pt>
                <c:pt idx="372">
                  <c:v>1061</c:v>
                </c:pt>
                <c:pt idx="373">
                  <c:v>1020</c:v>
                </c:pt>
                <c:pt idx="374">
                  <c:v>476</c:v>
                </c:pt>
                <c:pt idx="375">
                  <c:v>679</c:v>
                </c:pt>
                <c:pt idx="376">
                  <c:v>690</c:v>
                </c:pt>
                <c:pt idx="377">
                  <c:v>587</c:v>
                </c:pt>
                <c:pt idx="378">
                  <c:v>752</c:v>
                </c:pt>
                <c:pt idx="379">
                  <c:v>878</c:v>
                </c:pt>
                <c:pt idx="380">
                  <c:v>634</c:v>
                </c:pt>
                <c:pt idx="381">
                  <c:v>613</c:v>
                </c:pt>
                <c:pt idx="382">
                  <c:v>716</c:v>
                </c:pt>
                <c:pt idx="383">
                  <c:v>494</c:v>
                </c:pt>
                <c:pt idx="384">
                  <c:v>801</c:v>
                </c:pt>
                <c:pt idx="385">
                  <c:v>1068</c:v>
                </c:pt>
                <c:pt idx="386">
                  <c:v>1078</c:v>
                </c:pt>
                <c:pt idx="387">
                  <c:v>1072</c:v>
                </c:pt>
                <c:pt idx="388">
                  <c:v>1083</c:v>
                </c:pt>
                <c:pt idx="389">
                  <c:v>1111</c:v>
                </c:pt>
                <c:pt idx="390">
                  <c:v>1090</c:v>
                </c:pt>
                <c:pt idx="391">
                  <c:v>1115</c:v>
                </c:pt>
                <c:pt idx="392">
                  <c:v>1080</c:v>
                </c:pt>
                <c:pt idx="393">
                  <c:v>1114</c:v>
                </c:pt>
                <c:pt idx="394">
                  <c:v>1125</c:v>
                </c:pt>
                <c:pt idx="395">
                  <c:v>1095</c:v>
                </c:pt>
                <c:pt idx="396">
                  <c:v>1083</c:v>
                </c:pt>
                <c:pt idx="397">
                  <c:v>1079</c:v>
                </c:pt>
                <c:pt idx="398">
                  <c:v>1079</c:v>
                </c:pt>
                <c:pt idx="399">
                  <c:v>1064</c:v>
                </c:pt>
                <c:pt idx="400">
                  <c:v>1056</c:v>
                </c:pt>
                <c:pt idx="401">
                  <c:v>909</c:v>
                </c:pt>
                <c:pt idx="402">
                  <c:v>410</c:v>
                </c:pt>
                <c:pt idx="403">
                  <c:v>665</c:v>
                </c:pt>
                <c:pt idx="404">
                  <c:v>668</c:v>
                </c:pt>
                <c:pt idx="405">
                  <c:v>636</c:v>
                </c:pt>
                <c:pt idx="406">
                  <c:v>827</c:v>
                </c:pt>
                <c:pt idx="407">
                  <c:v>1043</c:v>
                </c:pt>
                <c:pt idx="408">
                  <c:v>448</c:v>
                </c:pt>
                <c:pt idx="409">
                  <c:v>658</c:v>
                </c:pt>
                <c:pt idx="410">
                  <c:v>706</c:v>
                </c:pt>
                <c:pt idx="411">
                  <c:v>877</c:v>
                </c:pt>
                <c:pt idx="412">
                  <c:v>784</c:v>
                </c:pt>
                <c:pt idx="413">
                  <c:v>1079</c:v>
                </c:pt>
                <c:pt idx="414">
                  <c:v>1073</c:v>
                </c:pt>
                <c:pt idx="415">
                  <c:v>1091</c:v>
                </c:pt>
                <c:pt idx="416">
                  <c:v>1085</c:v>
                </c:pt>
                <c:pt idx="417">
                  <c:v>1089</c:v>
                </c:pt>
                <c:pt idx="418">
                  <c:v>1096</c:v>
                </c:pt>
                <c:pt idx="419">
                  <c:v>1095</c:v>
                </c:pt>
                <c:pt idx="420">
                  <c:v>1094</c:v>
                </c:pt>
                <c:pt idx="421">
                  <c:v>1092</c:v>
                </c:pt>
                <c:pt idx="422">
                  <c:v>1100</c:v>
                </c:pt>
                <c:pt idx="423">
                  <c:v>1096</c:v>
                </c:pt>
                <c:pt idx="424">
                  <c:v>1081</c:v>
                </c:pt>
                <c:pt idx="425">
                  <c:v>1092</c:v>
                </c:pt>
                <c:pt idx="426">
                  <c:v>1085</c:v>
                </c:pt>
                <c:pt idx="427">
                  <c:v>1068</c:v>
                </c:pt>
                <c:pt idx="428">
                  <c:v>1000</c:v>
                </c:pt>
                <c:pt idx="429">
                  <c:v>680</c:v>
                </c:pt>
                <c:pt idx="430">
                  <c:v>673</c:v>
                </c:pt>
                <c:pt idx="431">
                  <c:v>665</c:v>
                </c:pt>
                <c:pt idx="432">
                  <c:v>838</c:v>
                </c:pt>
                <c:pt idx="433">
                  <c:v>1017</c:v>
                </c:pt>
                <c:pt idx="434">
                  <c:v>595</c:v>
                </c:pt>
                <c:pt idx="435">
                  <c:v>608</c:v>
                </c:pt>
                <c:pt idx="436">
                  <c:v>867</c:v>
                </c:pt>
                <c:pt idx="437">
                  <c:v>1061</c:v>
                </c:pt>
                <c:pt idx="438">
                  <c:v>587</c:v>
                </c:pt>
                <c:pt idx="439">
                  <c:v>718</c:v>
                </c:pt>
                <c:pt idx="440">
                  <c:v>1073</c:v>
                </c:pt>
                <c:pt idx="441">
                  <c:v>1083</c:v>
                </c:pt>
                <c:pt idx="442">
                  <c:v>1069</c:v>
                </c:pt>
                <c:pt idx="443">
                  <c:v>1061</c:v>
                </c:pt>
                <c:pt idx="444">
                  <c:v>1061</c:v>
                </c:pt>
                <c:pt idx="445">
                  <c:v>1071</c:v>
                </c:pt>
                <c:pt idx="446">
                  <c:v>1076</c:v>
                </c:pt>
                <c:pt idx="447">
                  <c:v>1049</c:v>
                </c:pt>
                <c:pt idx="448">
                  <c:v>1064</c:v>
                </c:pt>
                <c:pt idx="449">
                  <c:v>1055</c:v>
                </c:pt>
                <c:pt idx="450">
                  <c:v>1051</c:v>
                </c:pt>
                <c:pt idx="451">
                  <c:v>1059</c:v>
                </c:pt>
                <c:pt idx="452">
                  <c:v>1050</c:v>
                </c:pt>
                <c:pt idx="453">
                  <c:v>1038</c:v>
                </c:pt>
                <c:pt idx="454">
                  <c:v>1001</c:v>
                </c:pt>
                <c:pt idx="455">
                  <c:v>558</c:v>
                </c:pt>
                <c:pt idx="456">
                  <c:v>654</c:v>
                </c:pt>
                <c:pt idx="457">
                  <c:v>663</c:v>
                </c:pt>
                <c:pt idx="458">
                  <c:v>543</c:v>
                </c:pt>
                <c:pt idx="459">
                  <c:v>741</c:v>
                </c:pt>
                <c:pt idx="460">
                  <c:v>883</c:v>
                </c:pt>
                <c:pt idx="461">
                  <c:v>645</c:v>
                </c:pt>
                <c:pt idx="462">
                  <c:v>678</c:v>
                </c:pt>
                <c:pt idx="463">
                  <c:v>714</c:v>
                </c:pt>
                <c:pt idx="464">
                  <c:v>474</c:v>
                </c:pt>
                <c:pt idx="465">
                  <c:v>515</c:v>
                </c:pt>
                <c:pt idx="466">
                  <c:v>516</c:v>
                </c:pt>
                <c:pt idx="467">
                  <c:v>530</c:v>
                </c:pt>
                <c:pt idx="468">
                  <c:v>1033</c:v>
                </c:pt>
                <c:pt idx="469">
                  <c:v>1080</c:v>
                </c:pt>
                <c:pt idx="470">
                  <c:v>1064</c:v>
                </c:pt>
                <c:pt idx="471">
                  <c:v>1084</c:v>
                </c:pt>
                <c:pt idx="472">
                  <c:v>1070</c:v>
                </c:pt>
                <c:pt idx="473">
                  <c:v>1073</c:v>
                </c:pt>
                <c:pt idx="474">
                  <c:v>1062</c:v>
                </c:pt>
                <c:pt idx="475">
                  <c:v>1079</c:v>
                </c:pt>
                <c:pt idx="476">
                  <c:v>1078</c:v>
                </c:pt>
                <c:pt idx="477">
                  <c:v>1055</c:v>
                </c:pt>
                <c:pt idx="478">
                  <c:v>1075</c:v>
                </c:pt>
                <c:pt idx="479">
                  <c:v>1082</c:v>
                </c:pt>
                <c:pt idx="480">
                  <c:v>1089</c:v>
                </c:pt>
                <c:pt idx="481">
                  <c:v>1064</c:v>
                </c:pt>
                <c:pt idx="482">
                  <c:v>1078</c:v>
                </c:pt>
                <c:pt idx="483">
                  <c:v>1093</c:v>
                </c:pt>
                <c:pt idx="484">
                  <c:v>1073</c:v>
                </c:pt>
                <c:pt idx="485">
                  <c:v>1092</c:v>
                </c:pt>
                <c:pt idx="486">
                  <c:v>1101</c:v>
                </c:pt>
                <c:pt idx="487">
                  <c:v>1074</c:v>
                </c:pt>
                <c:pt idx="488">
                  <c:v>1125</c:v>
                </c:pt>
                <c:pt idx="489">
                  <c:v>1142</c:v>
                </c:pt>
                <c:pt idx="490">
                  <c:v>1084</c:v>
                </c:pt>
                <c:pt idx="491">
                  <c:v>1027</c:v>
                </c:pt>
                <c:pt idx="492">
                  <c:v>664</c:v>
                </c:pt>
                <c:pt idx="493">
                  <c:v>554</c:v>
                </c:pt>
                <c:pt idx="494">
                  <c:v>704</c:v>
                </c:pt>
                <c:pt idx="495">
                  <c:v>472</c:v>
                </c:pt>
                <c:pt idx="496">
                  <c:v>487</c:v>
                </c:pt>
                <c:pt idx="497">
                  <c:v>483</c:v>
                </c:pt>
                <c:pt idx="498">
                  <c:v>487</c:v>
                </c:pt>
                <c:pt idx="499">
                  <c:v>485</c:v>
                </c:pt>
                <c:pt idx="500">
                  <c:v>490</c:v>
                </c:pt>
                <c:pt idx="501">
                  <c:v>636</c:v>
                </c:pt>
                <c:pt idx="502">
                  <c:v>957</c:v>
                </c:pt>
                <c:pt idx="503">
                  <c:v>1063</c:v>
                </c:pt>
                <c:pt idx="504">
                  <c:v>1059</c:v>
                </c:pt>
                <c:pt idx="505">
                  <c:v>1080</c:v>
                </c:pt>
                <c:pt idx="506">
                  <c:v>1088</c:v>
                </c:pt>
                <c:pt idx="507">
                  <c:v>1098</c:v>
                </c:pt>
                <c:pt idx="508">
                  <c:v>1092</c:v>
                </c:pt>
                <c:pt idx="509">
                  <c:v>1090</c:v>
                </c:pt>
                <c:pt idx="510">
                  <c:v>1097</c:v>
                </c:pt>
                <c:pt idx="511">
                  <c:v>1108</c:v>
                </c:pt>
                <c:pt idx="512">
                  <c:v>1083</c:v>
                </c:pt>
                <c:pt idx="513">
                  <c:v>1107</c:v>
                </c:pt>
                <c:pt idx="514">
                  <c:v>1104</c:v>
                </c:pt>
                <c:pt idx="515">
                  <c:v>1096</c:v>
                </c:pt>
                <c:pt idx="516">
                  <c:v>1093</c:v>
                </c:pt>
                <c:pt idx="517">
                  <c:v>1110</c:v>
                </c:pt>
                <c:pt idx="518">
                  <c:v>1093</c:v>
                </c:pt>
                <c:pt idx="519">
                  <c:v>1066</c:v>
                </c:pt>
                <c:pt idx="520">
                  <c:v>1102</c:v>
                </c:pt>
                <c:pt idx="521">
                  <c:v>1085</c:v>
                </c:pt>
                <c:pt idx="522">
                  <c:v>1074</c:v>
                </c:pt>
                <c:pt idx="523">
                  <c:v>1020</c:v>
                </c:pt>
                <c:pt idx="524">
                  <c:v>524</c:v>
                </c:pt>
                <c:pt idx="525">
                  <c:v>678</c:v>
                </c:pt>
                <c:pt idx="526">
                  <c:v>647</c:v>
                </c:pt>
                <c:pt idx="527">
                  <c:v>502</c:v>
                </c:pt>
                <c:pt idx="528">
                  <c:v>482</c:v>
                </c:pt>
                <c:pt idx="529">
                  <c:v>496</c:v>
                </c:pt>
                <c:pt idx="530">
                  <c:v>484</c:v>
                </c:pt>
                <c:pt idx="531">
                  <c:v>511</c:v>
                </c:pt>
                <c:pt idx="532">
                  <c:v>954</c:v>
                </c:pt>
                <c:pt idx="533">
                  <c:v>1079</c:v>
                </c:pt>
                <c:pt idx="534">
                  <c:v>1092</c:v>
                </c:pt>
                <c:pt idx="535">
                  <c:v>1064</c:v>
                </c:pt>
                <c:pt idx="536">
                  <c:v>1093</c:v>
                </c:pt>
                <c:pt idx="537">
                  <c:v>1093</c:v>
                </c:pt>
                <c:pt idx="538">
                  <c:v>1096</c:v>
                </c:pt>
                <c:pt idx="539">
                  <c:v>1084</c:v>
                </c:pt>
                <c:pt idx="540">
                  <c:v>1091</c:v>
                </c:pt>
                <c:pt idx="541">
                  <c:v>1087</c:v>
                </c:pt>
                <c:pt idx="542">
                  <c:v>1081</c:v>
                </c:pt>
                <c:pt idx="543">
                  <c:v>1085</c:v>
                </c:pt>
                <c:pt idx="544">
                  <c:v>1079</c:v>
                </c:pt>
                <c:pt idx="545">
                  <c:v>1152</c:v>
                </c:pt>
                <c:pt idx="546">
                  <c:v>1203</c:v>
                </c:pt>
                <c:pt idx="547">
                  <c:v>1168</c:v>
                </c:pt>
                <c:pt idx="548">
                  <c:v>1079</c:v>
                </c:pt>
                <c:pt idx="549">
                  <c:v>1071</c:v>
                </c:pt>
                <c:pt idx="550">
                  <c:v>1054</c:v>
                </c:pt>
                <c:pt idx="551">
                  <c:v>1017</c:v>
                </c:pt>
                <c:pt idx="552">
                  <c:v>912</c:v>
                </c:pt>
                <c:pt idx="553">
                  <c:v>477</c:v>
                </c:pt>
                <c:pt idx="554">
                  <c:v>679</c:v>
                </c:pt>
                <c:pt idx="555">
                  <c:v>686</c:v>
                </c:pt>
                <c:pt idx="556">
                  <c:v>632</c:v>
                </c:pt>
                <c:pt idx="557">
                  <c:v>822</c:v>
                </c:pt>
                <c:pt idx="558">
                  <c:v>1019</c:v>
                </c:pt>
                <c:pt idx="559">
                  <c:v>612</c:v>
                </c:pt>
                <c:pt idx="560">
                  <c:v>933</c:v>
                </c:pt>
                <c:pt idx="561">
                  <c:v>1060</c:v>
                </c:pt>
                <c:pt idx="562">
                  <c:v>1043</c:v>
                </c:pt>
                <c:pt idx="563">
                  <c:v>1087</c:v>
                </c:pt>
                <c:pt idx="564">
                  <c:v>1076</c:v>
                </c:pt>
                <c:pt idx="565">
                  <c:v>1079</c:v>
                </c:pt>
                <c:pt idx="566">
                  <c:v>1090</c:v>
                </c:pt>
                <c:pt idx="567">
                  <c:v>1076</c:v>
                </c:pt>
                <c:pt idx="568">
                  <c:v>1084</c:v>
                </c:pt>
                <c:pt idx="569">
                  <c:v>1087</c:v>
                </c:pt>
                <c:pt idx="570">
                  <c:v>1073</c:v>
                </c:pt>
                <c:pt idx="571">
                  <c:v>911</c:v>
                </c:pt>
                <c:pt idx="572">
                  <c:v>453</c:v>
                </c:pt>
                <c:pt idx="573">
                  <c:v>685</c:v>
                </c:pt>
                <c:pt idx="574">
                  <c:v>681</c:v>
                </c:pt>
                <c:pt idx="575">
                  <c:v>694</c:v>
                </c:pt>
                <c:pt idx="576">
                  <c:v>872</c:v>
                </c:pt>
                <c:pt idx="577">
                  <c:v>936</c:v>
                </c:pt>
                <c:pt idx="578">
                  <c:v>680</c:v>
                </c:pt>
                <c:pt idx="579">
                  <c:v>562</c:v>
                </c:pt>
                <c:pt idx="580">
                  <c:v>851</c:v>
                </c:pt>
                <c:pt idx="581">
                  <c:v>1104</c:v>
                </c:pt>
                <c:pt idx="582">
                  <c:v>1066</c:v>
                </c:pt>
                <c:pt idx="583">
                  <c:v>1085</c:v>
                </c:pt>
                <c:pt idx="584">
                  <c:v>1085</c:v>
                </c:pt>
                <c:pt idx="585">
                  <c:v>1084</c:v>
                </c:pt>
                <c:pt idx="586">
                  <c:v>1106</c:v>
                </c:pt>
                <c:pt idx="587">
                  <c:v>1098</c:v>
                </c:pt>
                <c:pt idx="588">
                  <c:v>1092</c:v>
                </c:pt>
                <c:pt idx="589">
                  <c:v>1101</c:v>
                </c:pt>
                <c:pt idx="590">
                  <c:v>1101</c:v>
                </c:pt>
                <c:pt idx="591">
                  <c:v>1099</c:v>
                </c:pt>
                <c:pt idx="592">
                  <c:v>1093</c:v>
                </c:pt>
                <c:pt idx="593">
                  <c:v>1100</c:v>
                </c:pt>
                <c:pt idx="594">
                  <c:v>1083</c:v>
                </c:pt>
                <c:pt idx="595">
                  <c:v>1099</c:v>
                </c:pt>
                <c:pt idx="596">
                  <c:v>1093</c:v>
                </c:pt>
                <c:pt idx="597">
                  <c:v>1083</c:v>
                </c:pt>
                <c:pt idx="598">
                  <c:v>1123</c:v>
                </c:pt>
                <c:pt idx="599">
                  <c:v>1068</c:v>
                </c:pt>
                <c:pt idx="600">
                  <c:v>1047</c:v>
                </c:pt>
                <c:pt idx="601">
                  <c:v>1030</c:v>
                </c:pt>
                <c:pt idx="602">
                  <c:v>1105</c:v>
                </c:pt>
                <c:pt idx="603">
                  <c:v>1084</c:v>
                </c:pt>
                <c:pt idx="604">
                  <c:v>1086</c:v>
                </c:pt>
                <c:pt idx="605">
                  <c:v>763</c:v>
                </c:pt>
                <c:pt idx="606">
                  <c:v>542</c:v>
                </c:pt>
                <c:pt idx="607">
                  <c:v>608</c:v>
                </c:pt>
                <c:pt idx="608">
                  <c:v>705</c:v>
                </c:pt>
                <c:pt idx="609">
                  <c:v>692</c:v>
                </c:pt>
                <c:pt idx="610">
                  <c:v>751</c:v>
                </c:pt>
                <c:pt idx="611">
                  <c:v>935</c:v>
                </c:pt>
                <c:pt idx="612">
                  <c:v>643</c:v>
                </c:pt>
                <c:pt idx="613">
                  <c:v>493</c:v>
                </c:pt>
                <c:pt idx="614">
                  <c:v>682</c:v>
                </c:pt>
                <c:pt idx="615">
                  <c:v>483</c:v>
                </c:pt>
                <c:pt idx="616">
                  <c:v>476</c:v>
                </c:pt>
                <c:pt idx="617">
                  <c:v>635</c:v>
                </c:pt>
                <c:pt idx="618">
                  <c:v>1078</c:v>
                </c:pt>
                <c:pt idx="619">
                  <c:v>1073</c:v>
                </c:pt>
                <c:pt idx="620">
                  <c:v>1089</c:v>
                </c:pt>
                <c:pt idx="621">
                  <c:v>1084</c:v>
                </c:pt>
                <c:pt idx="622">
                  <c:v>1094</c:v>
                </c:pt>
                <c:pt idx="623">
                  <c:v>1102</c:v>
                </c:pt>
                <c:pt idx="624">
                  <c:v>1094</c:v>
                </c:pt>
                <c:pt idx="625">
                  <c:v>1093</c:v>
                </c:pt>
                <c:pt idx="626">
                  <c:v>1091</c:v>
                </c:pt>
                <c:pt idx="627">
                  <c:v>1110</c:v>
                </c:pt>
                <c:pt idx="628">
                  <c:v>1099</c:v>
                </c:pt>
                <c:pt idx="629">
                  <c:v>1099</c:v>
                </c:pt>
                <c:pt idx="630">
                  <c:v>1092</c:v>
                </c:pt>
                <c:pt idx="631">
                  <c:v>1095</c:v>
                </c:pt>
                <c:pt idx="632">
                  <c:v>1098</c:v>
                </c:pt>
                <c:pt idx="633">
                  <c:v>1100</c:v>
                </c:pt>
                <c:pt idx="634">
                  <c:v>1097</c:v>
                </c:pt>
                <c:pt idx="635">
                  <c:v>1104</c:v>
                </c:pt>
                <c:pt idx="636">
                  <c:v>1092</c:v>
                </c:pt>
                <c:pt idx="637">
                  <c:v>1136</c:v>
                </c:pt>
                <c:pt idx="638">
                  <c:v>1077</c:v>
                </c:pt>
                <c:pt idx="639">
                  <c:v>1095</c:v>
                </c:pt>
                <c:pt idx="640">
                  <c:v>1061</c:v>
                </c:pt>
                <c:pt idx="641">
                  <c:v>1153</c:v>
                </c:pt>
                <c:pt idx="642">
                  <c:v>1090</c:v>
                </c:pt>
                <c:pt idx="643">
                  <c:v>1132</c:v>
                </c:pt>
                <c:pt idx="644">
                  <c:v>1172</c:v>
                </c:pt>
                <c:pt idx="645">
                  <c:v>1100</c:v>
                </c:pt>
                <c:pt idx="646">
                  <c:v>1155</c:v>
                </c:pt>
                <c:pt idx="647">
                  <c:v>1187</c:v>
                </c:pt>
                <c:pt idx="648">
                  <c:v>986</c:v>
                </c:pt>
                <c:pt idx="649">
                  <c:v>441</c:v>
                </c:pt>
                <c:pt idx="650">
                  <c:v>492</c:v>
                </c:pt>
                <c:pt idx="651">
                  <c:v>514</c:v>
                </c:pt>
                <c:pt idx="652">
                  <c:v>511</c:v>
                </c:pt>
                <c:pt idx="653">
                  <c:v>516</c:v>
                </c:pt>
                <c:pt idx="654">
                  <c:v>567</c:v>
                </c:pt>
                <c:pt idx="655">
                  <c:v>641</c:v>
                </c:pt>
                <c:pt idx="656">
                  <c:v>500</c:v>
                </c:pt>
                <c:pt idx="657">
                  <c:v>490</c:v>
                </c:pt>
                <c:pt idx="658">
                  <c:v>490</c:v>
                </c:pt>
                <c:pt idx="659">
                  <c:v>490</c:v>
                </c:pt>
                <c:pt idx="660">
                  <c:v>892</c:v>
                </c:pt>
                <c:pt idx="661">
                  <c:v>1076</c:v>
                </c:pt>
                <c:pt idx="662">
                  <c:v>1109</c:v>
                </c:pt>
                <c:pt idx="663">
                  <c:v>1088</c:v>
                </c:pt>
                <c:pt idx="664">
                  <c:v>1098</c:v>
                </c:pt>
                <c:pt idx="665">
                  <c:v>1096</c:v>
                </c:pt>
                <c:pt idx="666">
                  <c:v>1086</c:v>
                </c:pt>
                <c:pt idx="667">
                  <c:v>1101</c:v>
                </c:pt>
                <c:pt idx="668">
                  <c:v>1076</c:v>
                </c:pt>
                <c:pt idx="669">
                  <c:v>1105</c:v>
                </c:pt>
                <c:pt idx="670">
                  <c:v>1105</c:v>
                </c:pt>
                <c:pt idx="671">
                  <c:v>1112</c:v>
                </c:pt>
                <c:pt idx="672">
                  <c:v>1102</c:v>
                </c:pt>
                <c:pt idx="673">
                  <c:v>1107</c:v>
                </c:pt>
                <c:pt idx="674">
                  <c:v>1100</c:v>
                </c:pt>
                <c:pt idx="675">
                  <c:v>1086</c:v>
                </c:pt>
                <c:pt idx="676">
                  <c:v>1099</c:v>
                </c:pt>
                <c:pt idx="677">
                  <c:v>1106</c:v>
                </c:pt>
                <c:pt idx="678">
                  <c:v>1092</c:v>
                </c:pt>
                <c:pt idx="679">
                  <c:v>1093</c:v>
                </c:pt>
                <c:pt idx="680">
                  <c:v>1109</c:v>
                </c:pt>
                <c:pt idx="681">
                  <c:v>1112</c:v>
                </c:pt>
                <c:pt idx="682">
                  <c:v>1175</c:v>
                </c:pt>
                <c:pt idx="683">
                  <c:v>1089</c:v>
                </c:pt>
                <c:pt idx="684">
                  <c:v>1075</c:v>
                </c:pt>
                <c:pt idx="685">
                  <c:v>1084</c:v>
                </c:pt>
                <c:pt idx="686">
                  <c:v>1071</c:v>
                </c:pt>
                <c:pt idx="687">
                  <c:v>1090</c:v>
                </c:pt>
                <c:pt idx="688">
                  <c:v>1111</c:v>
                </c:pt>
                <c:pt idx="689">
                  <c:v>1117</c:v>
                </c:pt>
                <c:pt idx="690">
                  <c:v>1100</c:v>
                </c:pt>
                <c:pt idx="691">
                  <c:v>1116</c:v>
                </c:pt>
                <c:pt idx="692">
                  <c:v>1186</c:v>
                </c:pt>
                <c:pt idx="693">
                  <c:v>1160</c:v>
                </c:pt>
                <c:pt idx="694">
                  <c:v>1100</c:v>
                </c:pt>
                <c:pt idx="695">
                  <c:v>1182</c:v>
                </c:pt>
                <c:pt idx="696">
                  <c:v>1114</c:v>
                </c:pt>
                <c:pt idx="697">
                  <c:v>1113</c:v>
                </c:pt>
                <c:pt idx="698">
                  <c:v>1193</c:v>
                </c:pt>
                <c:pt idx="699">
                  <c:v>1165</c:v>
                </c:pt>
                <c:pt idx="700">
                  <c:v>1018</c:v>
                </c:pt>
                <c:pt idx="701">
                  <c:v>473</c:v>
                </c:pt>
                <c:pt idx="702">
                  <c:v>483</c:v>
                </c:pt>
                <c:pt idx="703">
                  <c:v>618</c:v>
                </c:pt>
                <c:pt idx="704">
                  <c:v>588</c:v>
                </c:pt>
                <c:pt idx="705">
                  <c:v>492</c:v>
                </c:pt>
                <c:pt idx="706">
                  <c:v>489</c:v>
                </c:pt>
                <c:pt idx="707">
                  <c:v>513</c:v>
                </c:pt>
                <c:pt idx="708">
                  <c:v>509</c:v>
                </c:pt>
                <c:pt idx="709">
                  <c:v>907</c:v>
                </c:pt>
                <c:pt idx="710">
                  <c:v>1081</c:v>
                </c:pt>
                <c:pt idx="711">
                  <c:v>1091</c:v>
                </c:pt>
                <c:pt idx="712">
                  <c:v>1076</c:v>
                </c:pt>
                <c:pt idx="713">
                  <c:v>1084</c:v>
                </c:pt>
                <c:pt idx="714">
                  <c:v>1096</c:v>
                </c:pt>
                <c:pt idx="715">
                  <c:v>1101</c:v>
                </c:pt>
                <c:pt idx="716">
                  <c:v>1095</c:v>
                </c:pt>
                <c:pt idx="717">
                  <c:v>1109</c:v>
                </c:pt>
                <c:pt idx="718">
                  <c:v>1118</c:v>
                </c:pt>
                <c:pt idx="719">
                  <c:v>1101</c:v>
                </c:pt>
                <c:pt idx="720">
                  <c:v>1098</c:v>
                </c:pt>
                <c:pt idx="721">
                  <c:v>1120</c:v>
                </c:pt>
                <c:pt idx="722">
                  <c:v>1101</c:v>
                </c:pt>
                <c:pt idx="723">
                  <c:v>1090</c:v>
                </c:pt>
                <c:pt idx="724">
                  <c:v>1094</c:v>
                </c:pt>
                <c:pt idx="725">
                  <c:v>1101</c:v>
                </c:pt>
                <c:pt idx="726">
                  <c:v>1093</c:v>
                </c:pt>
                <c:pt idx="727">
                  <c:v>1092</c:v>
                </c:pt>
                <c:pt idx="728">
                  <c:v>1069</c:v>
                </c:pt>
                <c:pt idx="729">
                  <c:v>1088</c:v>
                </c:pt>
                <c:pt idx="730">
                  <c:v>1075</c:v>
                </c:pt>
                <c:pt idx="731">
                  <c:v>1083</c:v>
                </c:pt>
                <c:pt idx="732">
                  <c:v>1072</c:v>
                </c:pt>
                <c:pt idx="733">
                  <c:v>1087</c:v>
                </c:pt>
                <c:pt idx="734">
                  <c:v>1075</c:v>
                </c:pt>
                <c:pt idx="735">
                  <c:v>1115</c:v>
                </c:pt>
                <c:pt idx="736">
                  <c:v>1103</c:v>
                </c:pt>
                <c:pt idx="737">
                  <c:v>1109</c:v>
                </c:pt>
                <c:pt idx="738">
                  <c:v>1159</c:v>
                </c:pt>
                <c:pt idx="739">
                  <c:v>1189</c:v>
                </c:pt>
                <c:pt idx="740">
                  <c:v>1119</c:v>
                </c:pt>
                <c:pt idx="741">
                  <c:v>1121</c:v>
                </c:pt>
                <c:pt idx="742">
                  <c:v>1140</c:v>
                </c:pt>
                <c:pt idx="743">
                  <c:v>503</c:v>
                </c:pt>
                <c:pt idx="744">
                  <c:v>697</c:v>
                </c:pt>
                <c:pt idx="745">
                  <c:v>481</c:v>
                </c:pt>
                <c:pt idx="746">
                  <c:v>501</c:v>
                </c:pt>
                <c:pt idx="747">
                  <c:v>516</c:v>
                </c:pt>
                <c:pt idx="748">
                  <c:v>514</c:v>
                </c:pt>
                <c:pt idx="749">
                  <c:v>492</c:v>
                </c:pt>
                <c:pt idx="750">
                  <c:v>559</c:v>
                </c:pt>
                <c:pt idx="751">
                  <c:v>860</c:v>
                </c:pt>
                <c:pt idx="752">
                  <c:v>1096</c:v>
                </c:pt>
                <c:pt idx="753">
                  <c:v>1092</c:v>
                </c:pt>
                <c:pt idx="754">
                  <c:v>1087</c:v>
                </c:pt>
                <c:pt idx="755">
                  <c:v>1081</c:v>
                </c:pt>
                <c:pt idx="756">
                  <c:v>1097</c:v>
                </c:pt>
                <c:pt idx="757">
                  <c:v>1090</c:v>
                </c:pt>
                <c:pt idx="758">
                  <c:v>1116</c:v>
                </c:pt>
                <c:pt idx="759">
                  <c:v>1089</c:v>
                </c:pt>
                <c:pt idx="760">
                  <c:v>1087</c:v>
                </c:pt>
                <c:pt idx="761">
                  <c:v>1113</c:v>
                </c:pt>
                <c:pt idx="762">
                  <c:v>1100</c:v>
                </c:pt>
                <c:pt idx="763">
                  <c:v>1106</c:v>
                </c:pt>
                <c:pt idx="764">
                  <c:v>1087</c:v>
                </c:pt>
                <c:pt idx="765">
                  <c:v>1095</c:v>
                </c:pt>
                <c:pt idx="766">
                  <c:v>1100</c:v>
                </c:pt>
                <c:pt idx="767">
                  <c:v>1108</c:v>
                </c:pt>
                <c:pt idx="768">
                  <c:v>1093</c:v>
                </c:pt>
                <c:pt idx="769">
                  <c:v>1074</c:v>
                </c:pt>
                <c:pt idx="770">
                  <c:v>1079</c:v>
                </c:pt>
                <c:pt idx="771">
                  <c:v>1085</c:v>
                </c:pt>
                <c:pt idx="772">
                  <c:v>1087</c:v>
                </c:pt>
                <c:pt idx="773">
                  <c:v>1085</c:v>
                </c:pt>
                <c:pt idx="774">
                  <c:v>1072</c:v>
                </c:pt>
                <c:pt idx="775">
                  <c:v>1068</c:v>
                </c:pt>
                <c:pt idx="776">
                  <c:v>1065</c:v>
                </c:pt>
                <c:pt idx="777">
                  <c:v>1122</c:v>
                </c:pt>
                <c:pt idx="778">
                  <c:v>1175</c:v>
                </c:pt>
                <c:pt idx="779">
                  <c:v>1108</c:v>
                </c:pt>
                <c:pt idx="780">
                  <c:v>1123</c:v>
                </c:pt>
                <c:pt idx="781">
                  <c:v>1174</c:v>
                </c:pt>
                <c:pt idx="782">
                  <c:v>1089</c:v>
                </c:pt>
                <c:pt idx="783">
                  <c:v>1113</c:v>
                </c:pt>
                <c:pt idx="784">
                  <c:v>717</c:v>
                </c:pt>
                <c:pt idx="785">
                  <c:v>511</c:v>
                </c:pt>
                <c:pt idx="786">
                  <c:v>623</c:v>
                </c:pt>
                <c:pt idx="787">
                  <c:v>493</c:v>
                </c:pt>
                <c:pt idx="788">
                  <c:v>487</c:v>
                </c:pt>
                <c:pt idx="789">
                  <c:v>491</c:v>
                </c:pt>
                <c:pt idx="790">
                  <c:v>501</c:v>
                </c:pt>
                <c:pt idx="791">
                  <c:v>512</c:v>
                </c:pt>
                <c:pt idx="792">
                  <c:v>658</c:v>
                </c:pt>
                <c:pt idx="793">
                  <c:v>950</c:v>
                </c:pt>
                <c:pt idx="794">
                  <c:v>1080</c:v>
                </c:pt>
                <c:pt idx="795">
                  <c:v>1096</c:v>
                </c:pt>
                <c:pt idx="796">
                  <c:v>1089</c:v>
                </c:pt>
                <c:pt idx="797">
                  <c:v>1079</c:v>
                </c:pt>
                <c:pt idx="798">
                  <c:v>1099</c:v>
                </c:pt>
                <c:pt idx="799">
                  <c:v>1093</c:v>
                </c:pt>
                <c:pt idx="800">
                  <c:v>1090</c:v>
                </c:pt>
                <c:pt idx="801">
                  <c:v>1101</c:v>
                </c:pt>
                <c:pt idx="802">
                  <c:v>1085</c:v>
                </c:pt>
                <c:pt idx="803">
                  <c:v>1096</c:v>
                </c:pt>
                <c:pt idx="804">
                  <c:v>1082</c:v>
                </c:pt>
                <c:pt idx="805">
                  <c:v>1103</c:v>
                </c:pt>
                <c:pt idx="806">
                  <c:v>1095</c:v>
                </c:pt>
                <c:pt idx="807">
                  <c:v>1083</c:v>
                </c:pt>
                <c:pt idx="808">
                  <c:v>1149</c:v>
                </c:pt>
                <c:pt idx="809">
                  <c:v>1106</c:v>
                </c:pt>
                <c:pt idx="810">
                  <c:v>1102</c:v>
                </c:pt>
                <c:pt idx="811">
                  <c:v>1096</c:v>
                </c:pt>
                <c:pt idx="812">
                  <c:v>1092</c:v>
                </c:pt>
                <c:pt idx="813">
                  <c:v>1101</c:v>
                </c:pt>
                <c:pt idx="814">
                  <c:v>1091</c:v>
                </c:pt>
                <c:pt idx="815">
                  <c:v>1055</c:v>
                </c:pt>
                <c:pt idx="816">
                  <c:v>1057</c:v>
                </c:pt>
                <c:pt idx="817">
                  <c:v>1089</c:v>
                </c:pt>
                <c:pt idx="818">
                  <c:v>1127</c:v>
                </c:pt>
                <c:pt idx="819">
                  <c:v>1114</c:v>
                </c:pt>
                <c:pt idx="820">
                  <c:v>1105</c:v>
                </c:pt>
                <c:pt idx="821">
                  <c:v>1123</c:v>
                </c:pt>
                <c:pt idx="822">
                  <c:v>1164</c:v>
                </c:pt>
                <c:pt idx="823">
                  <c:v>1185</c:v>
                </c:pt>
                <c:pt idx="824">
                  <c:v>1095</c:v>
                </c:pt>
                <c:pt idx="825">
                  <c:v>1112</c:v>
                </c:pt>
                <c:pt idx="826">
                  <c:v>1101</c:v>
                </c:pt>
                <c:pt idx="827">
                  <c:v>748</c:v>
                </c:pt>
                <c:pt idx="828">
                  <c:v>469</c:v>
                </c:pt>
                <c:pt idx="829">
                  <c:v>493</c:v>
                </c:pt>
                <c:pt idx="830">
                  <c:v>486</c:v>
                </c:pt>
                <c:pt idx="831">
                  <c:v>506</c:v>
                </c:pt>
                <c:pt idx="832">
                  <c:v>500</c:v>
                </c:pt>
                <c:pt idx="833">
                  <c:v>578</c:v>
                </c:pt>
                <c:pt idx="834">
                  <c:v>619</c:v>
                </c:pt>
                <c:pt idx="835">
                  <c:v>499</c:v>
                </c:pt>
                <c:pt idx="836">
                  <c:v>1090</c:v>
                </c:pt>
                <c:pt idx="837">
                  <c:v>1088</c:v>
                </c:pt>
                <c:pt idx="838">
                  <c:v>1106</c:v>
                </c:pt>
                <c:pt idx="839">
                  <c:v>1083</c:v>
                </c:pt>
                <c:pt idx="840">
                  <c:v>1104</c:v>
                </c:pt>
                <c:pt idx="841">
                  <c:v>1087</c:v>
                </c:pt>
                <c:pt idx="842">
                  <c:v>1099</c:v>
                </c:pt>
                <c:pt idx="843">
                  <c:v>1096</c:v>
                </c:pt>
                <c:pt idx="844">
                  <c:v>1081</c:v>
                </c:pt>
                <c:pt idx="845">
                  <c:v>1103</c:v>
                </c:pt>
                <c:pt idx="846">
                  <c:v>1081</c:v>
                </c:pt>
                <c:pt idx="847">
                  <c:v>1110</c:v>
                </c:pt>
                <c:pt idx="848">
                  <c:v>1091</c:v>
                </c:pt>
                <c:pt idx="849">
                  <c:v>1099</c:v>
                </c:pt>
                <c:pt idx="850">
                  <c:v>1097</c:v>
                </c:pt>
                <c:pt idx="851">
                  <c:v>1096</c:v>
                </c:pt>
                <c:pt idx="852">
                  <c:v>1104</c:v>
                </c:pt>
                <c:pt idx="853">
                  <c:v>1093</c:v>
                </c:pt>
                <c:pt idx="854">
                  <c:v>1104</c:v>
                </c:pt>
                <c:pt idx="855">
                  <c:v>1093</c:v>
                </c:pt>
                <c:pt idx="856">
                  <c:v>1103</c:v>
                </c:pt>
                <c:pt idx="857">
                  <c:v>1088</c:v>
                </c:pt>
                <c:pt idx="858">
                  <c:v>1206</c:v>
                </c:pt>
                <c:pt idx="859">
                  <c:v>1209</c:v>
                </c:pt>
                <c:pt idx="860">
                  <c:v>1201</c:v>
                </c:pt>
                <c:pt idx="861">
                  <c:v>1210</c:v>
                </c:pt>
                <c:pt idx="862">
                  <c:v>1208</c:v>
                </c:pt>
                <c:pt idx="863">
                  <c:v>1217</c:v>
                </c:pt>
                <c:pt idx="864">
                  <c:v>1206</c:v>
                </c:pt>
                <c:pt idx="865">
                  <c:v>1197</c:v>
                </c:pt>
                <c:pt idx="866">
                  <c:v>1200</c:v>
                </c:pt>
                <c:pt idx="867">
                  <c:v>1197</c:v>
                </c:pt>
                <c:pt idx="868">
                  <c:v>1192</c:v>
                </c:pt>
                <c:pt idx="869">
                  <c:v>1195</c:v>
                </c:pt>
                <c:pt idx="870">
                  <c:v>1196</c:v>
                </c:pt>
                <c:pt idx="871">
                  <c:v>1183</c:v>
                </c:pt>
                <c:pt idx="872">
                  <c:v>1180</c:v>
                </c:pt>
                <c:pt idx="873">
                  <c:v>891</c:v>
                </c:pt>
                <c:pt idx="874">
                  <c:v>537</c:v>
                </c:pt>
                <c:pt idx="875">
                  <c:v>548</c:v>
                </c:pt>
                <c:pt idx="876">
                  <c:v>671</c:v>
                </c:pt>
                <c:pt idx="877">
                  <c:v>1186</c:v>
                </c:pt>
                <c:pt idx="878">
                  <c:v>1178</c:v>
                </c:pt>
                <c:pt idx="879">
                  <c:v>1188</c:v>
                </c:pt>
                <c:pt idx="880">
                  <c:v>1188</c:v>
                </c:pt>
                <c:pt idx="881">
                  <c:v>1192</c:v>
                </c:pt>
                <c:pt idx="882">
                  <c:v>1191</c:v>
                </c:pt>
                <c:pt idx="883">
                  <c:v>1195</c:v>
                </c:pt>
                <c:pt idx="884">
                  <c:v>1195</c:v>
                </c:pt>
                <c:pt idx="885">
                  <c:v>1192</c:v>
                </c:pt>
                <c:pt idx="886">
                  <c:v>1196</c:v>
                </c:pt>
                <c:pt idx="887">
                  <c:v>1188</c:v>
                </c:pt>
                <c:pt idx="888">
                  <c:v>1196</c:v>
                </c:pt>
                <c:pt idx="889">
                  <c:v>1198</c:v>
                </c:pt>
                <c:pt idx="890">
                  <c:v>1201</c:v>
                </c:pt>
                <c:pt idx="891">
                  <c:v>1202</c:v>
                </c:pt>
                <c:pt idx="892">
                  <c:v>1221</c:v>
                </c:pt>
                <c:pt idx="893">
                  <c:v>394</c:v>
                </c:pt>
                <c:pt idx="894">
                  <c:v>366</c:v>
                </c:pt>
                <c:pt idx="895">
                  <c:v>536</c:v>
                </c:pt>
                <c:pt idx="896">
                  <c:v>544</c:v>
                </c:pt>
                <c:pt idx="897">
                  <c:v>541</c:v>
                </c:pt>
                <c:pt idx="898">
                  <c:v>527</c:v>
                </c:pt>
                <c:pt idx="899">
                  <c:v>547</c:v>
                </c:pt>
                <c:pt idx="900">
                  <c:v>535</c:v>
                </c:pt>
                <c:pt idx="901">
                  <c:v>538</c:v>
                </c:pt>
                <c:pt idx="902">
                  <c:v>541</c:v>
                </c:pt>
                <c:pt idx="903">
                  <c:v>558</c:v>
                </c:pt>
                <c:pt idx="904">
                  <c:v>580</c:v>
                </c:pt>
                <c:pt idx="905">
                  <c:v>581</c:v>
                </c:pt>
                <c:pt idx="906">
                  <c:v>583</c:v>
                </c:pt>
                <c:pt idx="907">
                  <c:v>556</c:v>
                </c:pt>
                <c:pt idx="908">
                  <c:v>0</c:v>
                </c:pt>
                <c:pt idx="909">
                  <c:v>0</c:v>
                </c:pt>
                <c:pt idx="910">
                  <c:v>0</c:v>
                </c:pt>
                <c:pt idx="911">
                  <c:v>0</c:v>
                </c:pt>
                <c:pt idx="912">
                  <c:v>0</c:v>
                </c:pt>
                <c:pt idx="913">
                  <c:v>0</c:v>
                </c:pt>
              </c:numCache>
            </c:numRef>
          </c:val>
          <c:smooth val="0"/>
          <c:extLst>
            <c:ext xmlns:c16="http://schemas.microsoft.com/office/drawing/2014/chart" uri="{C3380CC4-5D6E-409C-BE32-E72D297353CC}">
              <c16:uniqueId val="{00000000-5B2E-4D87-9DF5-FB3C8B84166E}"/>
            </c:ext>
          </c:extLst>
        </c:ser>
        <c:ser>
          <c:idx val="1"/>
          <c:order val="1"/>
          <c:tx>
            <c:strRef>
              <c:f>带宽占用RocksDB!$G$1</c:f>
              <c:strCache>
                <c:ptCount val="1"/>
                <c:pt idx="0">
                  <c:v>write</c:v>
                </c:pt>
              </c:strCache>
            </c:strRef>
          </c:tx>
          <c:spPr>
            <a:ln w="28575" cap="rnd">
              <a:solidFill>
                <a:schemeClr val="accent2"/>
              </a:solidFill>
              <a:round/>
            </a:ln>
            <a:effectLst/>
          </c:spPr>
          <c:marker>
            <c:symbol val="none"/>
          </c:marker>
          <c:val>
            <c:numRef>
              <c:f>带宽占用RocksDB!$G$2:$G$980</c:f>
              <c:numCache>
                <c:formatCode>General</c:formatCode>
                <c:ptCount val="979"/>
                <c:pt idx="0">
                  <c:v>0</c:v>
                </c:pt>
                <c:pt idx="1">
                  <c:v>384</c:v>
                </c:pt>
                <c:pt idx="2">
                  <c:v>629</c:v>
                </c:pt>
                <c:pt idx="3">
                  <c:v>657</c:v>
                </c:pt>
                <c:pt idx="4">
                  <c:v>697</c:v>
                </c:pt>
                <c:pt idx="5">
                  <c:v>822</c:v>
                </c:pt>
                <c:pt idx="6">
                  <c:v>810</c:v>
                </c:pt>
                <c:pt idx="7">
                  <c:v>867</c:v>
                </c:pt>
                <c:pt idx="8">
                  <c:v>827</c:v>
                </c:pt>
                <c:pt idx="9">
                  <c:v>781</c:v>
                </c:pt>
                <c:pt idx="10">
                  <c:v>773</c:v>
                </c:pt>
                <c:pt idx="11">
                  <c:v>961</c:v>
                </c:pt>
                <c:pt idx="12">
                  <c:v>909</c:v>
                </c:pt>
                <c:pt idx="13">
                  <c:v>863</c:v>
                </c:pt>
                <c:pt idx="14">
                  <c:v>1350</c:v>
                </c:pt>
                <c:pt idx="15">
                  <c:v>1121</c:v>
                </c:pt>
                <c:pt idx="16">
                  <c:v>845</c:v>
                </c:pt>
                <c:pt idx="17">
                  <c:v>1083</c:v>
                </c:pt>
                <c:pt idx="18">
                  <c:v>896</c:v>
                </c:pt>
                <c:pt idx="19">
                  <c:v>810</c:v>
                </c:pt>
                <c:pt idx="20">
                  <c:v>1091</c:v>
                </c:pt>
                <c:pt idx="21">
                  <c:v>1336</c:v>
                </c:pt>
                <c:pt idx="22">
                  <c:v>1084</c:v>
                </c:pt>
                <c:pt idx="23">
                  <c:v>891</c:v>
                </c:pt>
                <c:pt idx="24">
                  <c:v>1033</c:v>
                </c:pt>
                <c:pt idx="25">
                  <c:v>1052</c:v>
                </c:pt>
                <c:pt idx="26">
                  <c:v>875</c:v>
                </c:pt>
                <c:pt idx="27">
                  <c:v>813</c:v>
                </c:pt>
                <c:pt idx="28">
                  <c:v>1172</c:v>
                </c:pt>
                <c:pt idx="29">
                  <c:v>1355</c:v>
                </c:pt>
                <c:pt idx="30">
                  <c:v>1349</c:v>
                </c:pt>
                <c:pt idx="31">
                  <c:v>891</c:v>
                </c:pt>
                <c:pt idx="32">
                  <c:v>1079</c:v>
                </c:pt>
                <c:pt idx="33">
                  <c:v>1007</c:v>
                </c:pt>
                <c:pt idx="34">
                  <c:v>926</c:v>
                </c:pt>
                <c:pt idx="35">
                  <c:v>1075</c:v>
                </c:pt>
                <c:pt idx="36">
                  <c:v>1051</c:v>
                </c:pt>
                <c:pt idx="37">
                  <c:v>1318</c:v>
                </c:pt>
                <c:pt idx="38">
                  <c:v>1329</c:v>
                </c:pt>
                <c:pt idx="39">
                  <c:v>1323</c:v>
                </c:pt>
                <c:pt idx="40">
                  <c:v>1313</c:v>
                </c:pt>
                <c:pt idx="41">
                  <c:v>1207</c:v>
                </c:pt>
                <c:pt idx="42">
                  <c:v>756</c:v>
                </c:pt>
                <c:pt idx="43">
                  <c:v>1040</c:v>
                </c:pt>
                <c:pt idx="44">
                  <c:v>977</c:v>
                </c:pt>
                <c:pt idx="45">
                  <c:v>969</c:v>
                </c:pt>
                <c:pt idx="46">
                  <c:v>1237</c:v>
                </c:pt>
                <c:pt idx="47">
                  <c:v>1150</c:v>
                </c:pt>
                <c:pt idx="48">
                  <c:v>1310</c:v>
                </c:pt>
                <c:pt idx="49">
                  <c:v>1306</c:v>
                </c:pt>
                <c:pt idx="50">
                  <c:v>1319</c:v>
                </c:pt>
                <c:pt idx="51">
                  <c:v>1329</c:v>
                </c:pt>
                <c:pt idx="52">
                  <c:v>1368</c:v>
                </c:pt>
                <c:pt idx="53">
                  <c:v>919</c:v>
                </c:pt>
                <c:pt idx="54">
                  <c:v>860</c:v>
                </c:pt>
                <c:pt idx="55">
                  <c:v>1029</c:v>
                </c:pt>
                <c:pt idx="56">
                  <c:v>1069</c:v>
                </c:pt>
                <c:pt idx="57">
                  <c:v>1175</c:v>
                </c:pt>
                <c:pt idx="58">
                  <c:v>1166</c:v>
                </c:pt>
                <c:pt idx="59">
                  <c:v>1307</c:v>
                </c:pt>
                <c:pt idx="60">
                  <c:v>1309</c:v>
                </c:pt>
                <c:pt idx="61">
                  <c:v>1323</c:v>
                </c:pt>
                <c:pt idx="62">
                  <c:v>1311</c:v>
                </c:pt>
                <c:pt idx="63">
                  <c:v>1310</c:v>
                </c:pt>
                <c:pt idx="64">
                  <c:v>1300</c:v>
                </c:pt>
                <c:pt idx="65">
                  <c:v>1289</c:v>
                </c:pt>
                <c:pt idx="66">
                  <c:v>1317</c:v>
                </c:pt>
                <c:pt idx="67">
                  <c:v>1326</c:v>
                </c:pt>
                <c:pt idx="68">
                  <c:v>1002</c:v>
                </c:pt>
                <c:pt idx="69">
                  <c:v>937</c:v>
                </c:pt>
                <c:pt idx="70">
                  <c:v>998</c:v>
                </c:pt>
                <c:pt idx="71">
                  <c:v>1103</c:v>
                </c:pt>
                <c:pt idx="72">
                  <c:v>1137</c:v>
                </c:pt>
                <c:pt idx="73">
                  <c:v>1234</c:v>
                </c:pt>
                <c:pt idx="74">
                  <c:v>1289</c:v>
                </c:pt>
                <c:pt idx="75">
                  <c:v>1290</c:v>
                </c:pt>
                <c:pt idx="76">
                  <c:v>1293</c:v>
                </c:pt>
                <c:pt idx="77">
                  <c:v>1312</c:v>
                </c:pt>
                <c:pt idx="78">
                  <c:v>1312</c:v>
                </c:pt>
                <c:pt idx="79">
                  <c:v>1294</c:v>
                </c:pt>
                <c:pt idx="80">
                  <c:v>1293</c:v>
                </c:pt>
                <c:pt idx="81">
                  <c:v>1300</c:v>
                </c:pt>
                <c:pt idx="82">
                  <c:v>1291</c:v>
                </c:pt>
                <c:pt idx="83">
                  <c:v>1291</c:v>
                </c:pt>
                <c:pt idx="84">
                  <c:v>1295</c:v>
                </c:pt>
                <c:pt idx="85">
                  <c:v>846</c:v>
                </c:pt>
                <c:pt idx="86">
                  <c:v>1078</c:v>
                </c:pt>
                <c:pt idx="87">
                  <c:v>930</c:v>
                </c:pt>
                <c:pt idx="88">
                  <c:v>946</c:v>
                </c:pt>
                <c:pt idx="89">
                  <c:v>1191</c:v>
                </c:pt>
                <c:pt idx="90">
                  <c:v>1282</c:v>
                </c:pt>
                <c:pt idx="91">
                  <c:v>1050</c:v>
                </c:pt>
                <c:pt idx="92">
                  <c:v>1070</c:v>
                </c:pt>
                <c:pt idx="93">
                  <c:v>1318</c:v>
                </c:pt>
                <c:pt idx="94">
                  <c:v>1323</c:v>
                </c:pt>
                <c:pt idx="95">
                  <c:v>1301</c:v>
                </c:pt>
                <c:pt idx="96">
                  <c:v>1273</c:v>
                </c:pt>
                <c:pt idx="97">
                  <c:v>1281</c:v>
                </c:pt>
                <c:pt idx="98">
                  <c:v>1245</c:v>
                </c:pt>
                <c:pt idx="99">
                  <c:v>1296</c:v>
                </c:pt>
                <c:pt idx="100">
                  <c:v>1306</c:v>
                </c:pt>
                <c:pt idx="101">
                  <c:v>1332</c:v>
                </c:pt>
                <c:pt idx="102">
                  <c:v>804</c:v>
                </c:pt>
                <c:pt idx="103">
                  <c:v>1029</c:v>
                </c:pt>
                <c:pt idx="104">
                  <c:v>989</c:v>
                </c:pt>
                <c:pt idx="105">
                  <c:v>834</c:v>
                </c:pt>
                <c:pt idx="106">
                  <c:v>1218</c:v>
                </c:pt>
                <c:pt idx="107">
                  <c:v>1309</c:v>
                </c:pt>
                <c:pt idx="108">
                  <c:v>1096</c:v>
                </c:pt>
                <c:pt idx="109">
                  <c:v>1036</c:v>
                </c:pt>
                <c:pt idx="110">
                  <c:v>1232</c:v>
                </c:pt>
                <c:pt idx="111">
                  <c:v>1252</c:v>
                </c:pt>
                <c:pt idx="112">
                  <c:v>1272</c:v>
                </c:pt>
                <c:pt idx="113">
                  <c:v>1270</c:v>
                </c:pt>
                <c:pt idx="114">
                  <c:v>1284</c:v>
                </c:pt>
                <c:pt idx="115">
                  <c:v>1252</c:v>
                </c:pt>
                <c:pt idx="116">
                  <c:v>1248</c:v>
                </c:pt>
                <c:pt idx="117">
                  <c:v>1248</c:v>
                </c:pt>
                <c:pt idx="118">
                  <c:v>1256</c:v>
                </c:pt>
                <c:pt idx="119">
                  <c:v>1239</c:v>
                </c:pt>
                <c:pt idx="120">
                  <c:v>1249</c:v>
                </c:pt>
                <c:pt idx="121">
                  <c:v>1270</c:v>
                </c:pt>
                <c:pt idx="122">
                  <c:v>1268</c:v>
                </c:pt>
                <c:pt idx="123">
                  <c:v>1289</c:v>
                </c:pt>
                <c:pt idx="124">
                  <c:v>1321</c:v>
                </c:pt>
                <c:pt idx="125">
                  <c:v>1334</c:v>
                </c:pt>
                <c:pt idx="126">
                  <c:v>968</c:v>
                </c:pt>
                <c:pt idx="127">
                  <c:v>1027</c:v>
                </c:pt>
                <c:pt idx="128">
                  <c:v>965</c:v>
                </c:pt>
                <c:pt idx="129">
                  <c:v>940</c:v>
                </c:pt>
                <c:pt idx="130">
                  <c:v>1155</c:v>
                </c:pt>
                <c:pt idx="131">
                  <c:v>1241</c:v>
                </c:pt>
                <c:pt idx="132">
                  <c:v>1141</c:v>
                </c:pt>
                <c:pt idx="133">
                  <c:v>1082</c:v>
                </c:pt>
                <c:pt idx="134">
                  <c:v>1040</c:v>
                </c:pt>
                <c:pt idx="135">
                  <c:v>1242</c:v>
                </c:pt>
                <c:pt idx="136">
                  <c:v>1296</c:v>
                </c:pt>
                <c:pt idx="137">
                  <c:v>1282</c:v>
                </c:pt>
                <c:pt idx="138">
                  <c:v>1271</c:v>
                </c:pt>
                <c:pt idx="139">
                  <c:v>1287</c:v>
                </c:pt>
                <c:pt idx="140">
                  <c:v>1278</c:v>
                </c:pt>
                <c:pt idx="141">
                  <c:v>1285</c:v>
                </c:pt>
                <c:pt idx="142">
                  <c:v>1283</c:v>
                </c:pt>
                <c:pt idx="143">
                  <c:v>1257</c:v>
                </c:pt>
                <c:pt idx="144">
                  <c:v>1264</c:v>
                </c:pt>
                <c:pt idx="145">
                  <c:v>1280</c:v>
                </c:pt>
                <c:pt idx="146">
                  <c:v>1229</c:v>
                </c:pt>
                <c:pt idx="147">
                  <c:v>1258</c:v>
                </c:pt>
                <c:pt idx="148">
                  <c:v>1270</c:v>
                </c:pt>
                <c:pt idx="149">
                  <c:v>1301</c:v>
                </c:pt>
                <c:pt idx="150">
                  <c:v>1306</c:v>
                </c:pt>
                <c:pt idx="151">
                  <c:v>1319</c:v>
                </c:pt>
                <c:pt idx="152">
                  <c:v>1240</c:v>
                </c:pt>
                <c:pt idx="153">
                  <c:v>817</c:v>
                </c:pt>
                <c:pt idx="154">
                  <c:v>1058</c:v>
                </c:pt>
                <c:pt idx="155">
                  <c:v>1126</c:v>
                </c:pt>
                <c:pt idx="156">
                  <c:v>974</c:v>
                </c:pt>
                <c:pt idx="157">
                  <c:v>1226</c:v>
                </c:pt>
                <c:pt idx="158">
                  <c:v>1205</c:v>
                </c:pt>
                <c:pt idx="159">
                  <c:v>838</c:v>
                </c:pt>
                <c:pt idx="160">
                  <c:v>1051</c:v>
                </c:pt>
                <c:pt idx="161">
                  <c:v>1054</c:v>
                </c:pt>
                <c:pt idx="162">
                  <c:v>1190</c:v>
                </c:pt>
                <c:pt idx="163">
                  <c:v>1302</c:v>
                </c:pt>
                <c:pt idx="164">
                  <c:v>1288</c:v>
                </c:pt>
                <c:pt idx="165">
                  <c:v>1280</c:v>
                </c:pt>
                <c:pt idx="166">
                  <c:v>1310</c:v>
                </c:pt>
                <c:pt idx="167">
                  <c:v>1285</c:v>
                </c:pt>
                <c:pt idx="168">
                  <c:v>1286</c:v>
                </c:pt>
                <c:pt idx="169">
                  <c:v>1277</c:v>
                </c:pt>
                <c:pt idx="170">
                  <c:v>1268</c:v>
                </c:pt>
                <c:pt idx="171">
                  <c:v>1282</c:v>
                </c:pt>
                <c:pt idx="172">
                  <c:v>1261</c:v>
                </c:pt>
                <c:pt idx="173">
                  <c:v>1252</c:v>
                </c:pt>
                <c:pt idx="174">
                  <c:v>1280</c:v>
                </c:pt>
                <c:pt idx="175">
                  <c:v>1289</c:v>
                </c:pt>
                <c:pt idx="176">
                  <c:v>1294</c:v>
                </c:pt>
                <c:pt idx="177">
                  <c:v>1266</c:v>
                </c:pt>
                <c:pt idx="178">
                  <c:v>1288</c:v>
                </c:pt>
                <c:pt idx="179">
                  <c:v>1297</c:v>
                </c:pt>
                <c:pt idx="180">
                  <c:v>1334</c:v>
                </c:pt>
                <c:pt idx="181">
                  <c:v>1363</c:v>
                </c:pt>
                <c:pt idx="182">
                  <c:v>959</c:v>
                </c:pt>
                <c:pt idx="183">
                  <c:v>931</c:v>
                </c:pt>
                <c:pt idx="184">
                  <c:v>1049</c:v>
                </c:pt>
                <c:pt idx="185">
                  <c:v>1101</c:v>
                </c:pt>
                <c:pt idx="186">
                  <c:v>1111</c:v>
                </c:pt>
                <c:pt idx="187">
                  <c:v>1233</c:v>
                </c:pt>
                <c:pt idx="188">
                  <c:v>1120</c:v>
                </c:pt>
                <c:pt idx="189">
                  <c:v>906</c:v>
                </c:pt>
                <c:pt idx="190">
                  <c:v>981</c:v>
                </c:pt>
                <c:pt idx="191">
                  <c:v>1190</c:v>
                </c:pt>
                <c:pt idx="192">
                  <c:v>1135</c:v>
                </c:pt>
                <c:pt idx="193">
                  <c:v>1277</c:v>
                </c:pt>
                <c:pt idx="194">
                  <c:v>1300</c:v>
                </c:pt>
                <c:pt idx="195">
                  <c:v>1297</c:v>
                </c:pt>
                <c:pt idx="196">
                  <c:v>1286</c:v>
                </c:pt>
                <c:pt idx="197">
                  <c:v>1281</c:v>
                </c:pt>
                <c:pt idx="198">
                  <c:v>1293</c:v>
                </c:pt>
                <c:pt idx="199">
                  <c:v>1296</c:v>
                </c:pt>
                <c:pt idx="200">
                  <c:v>1295</c:v>
                </c:pt>
                <c:pt idx="201">
                  <c:v>1265</c:v>
                </c:pt>
                <c:pt idx="202">
                  <c:v>1265</c:v>
                </c:pt>
                <c:pt idx="203">
                  <c:v>1285</c:v>
                </c:pt>
                <c:pt idx="204">
                  <c:v>1282</c:v>
                </c:pt>
                <c:pt idx="205">
                  <c:v>1292</c:v>
                </c:pt>
                <c:pt idx="206">
                  <c:v>1289</c:v>
                </c:pt>
                <c:pt idx="207">
                  <c:v>1274</c:v>
                </c:pt>
                <c:pt idx="208">
                  <c:v>1257</c:v>
                </c:pt>
                <c:pt idx="209">
                  <c:v>1276</c:v>
                </c:pt>
                <c:pt idx="210">
                  <c:v>1281</c:v>
                </c:pt>
                <c:pt idx="211">
                  <c:v>1306</c:v>
                </c:pt>
                <c:pt idx="212">
                  <c:v>1302</c:v>
                </c:pt>
                <c:pt idx="213">
                  <c:v>1316</c:v>
                </c:pt>
                <c:pt idx="214">
                  <c:v>1195</c:v>
                </c:pt>
                <c:pt idx="215">
                  <c:v>916</c:v>
                </c:pt>
                <c:pt idx="216">
                  <c:v>1070</c:v>
                </c:pt>
                <c:pt idx="217">
                  <c:v>1086</c:v>
                </c:pt>
                <c:pt idx="218">
                  <c:v>992</c:v>
                </c:pt>
                <c:pt idx="219">
                  <c:v>1230</c:v>
                </c:pt>
                <c:pt idx="220">
                  <c:v>948</c:v>
                </c:pt>
                <c:pt idx="221">
                  <c:v>1091</c:v>
                </c:pt>
                <c:pt idx="222">
                  <c:v>987</c:v>
                </c:pt>
                <c:pt idx="223">
                  <c:v>917</c:v>
                </c:pt>
                <c:pt idx="224">
                  <c:v>1072</c:v>
                </c:pt>
                <c:pt idx="225">
                  <c:v>1143</c:v>
                </c:pt>
                <c:pt idx="226">
                  <c:v>1279</c:v>
                </c:pt>
                <c:pt idx="227">
                  <c:v>1279</c:v>
                </c:pt>
                <c:pt idx="228">
                  <c:v>1287</c:v>
                </c:pt>
                <c:pt idx="229">
                  <c:v>1291</c:v>
                </c:pt>
                <c:pt idx="230">
                  <c:v>1274</c:v>
                </c:pt>
                <c:pt idx="231">
                  <c:v>1284</c:v>
                </c:pt>
                <c:pt idx="232">
                  <c:v>1255</c:v>
                </c:pt>
                <c:pt idx="233">
                  <c:v>1275</c:v>
                </c:pt>
                <c:pt idx="234">
                  <c:v>1260</c:v>
                </c:pt>
                <c:pt idx="235">
                  <c:v>1273</c:v>
                </c:pt>
                <c:pt idx="236">
                  <c:v>1281</c:v>
                </c:pt>
                <c:pt idx="237">
                  <c:v>1277</c:v>
                </c:pt>
                <c:pt idx="238">
                  <c:v>1276</c:v>
                </c:pt>
                <c:pt idx="239">
                  <c:v>1254</c:v>
                </c:pt>
                <c:pt idx="240">
                  <c:v>1268</c:v>
                </c:pt>
                <c:pt idx="241">
                  <c:v>1278</c:v>
                </c:pt>
                <c:pt idx="242">
                  <c:v>1297</c:v>
                </c:pt>
                <c:pt idx="243">
                  <c:v>1258</c:v>
                </c:pt>
                <c:pt idx="244">
                  <c:v>1276</c:v>
                </c:pt>
                <c:pt idx="245">
                  <c:v>1295</c:v>
                </c:pt>
                <c:pt idx="246">
                  <c:v>1282</c:v>
                </c:pt>
                <c:pt idx="247">
                  <c:v>1290</c:v>
                </c:pt>
                <c:pt idx="248">
                  <c:v>1280</c:v>
                </c:pt>
                <c:pt idx="249">
                  <c:v>1054</c:v>
                </c:pt>
                <c:pt idx="250">
                  <c:v>869</c:v>
                </c:pt>
                <c:pt idx="251">
                  <c:v>1064</c:v>
                </c:pt>
                <c:pt idx="252">
                  <c:v>1077</c:v>
                </c:pt>
                <c:pt idx="253">
                  <c:v>1113</c:v>
                </c:pt>
                <c:pt idx="254">
                  <c:v>1267</c:v>
                </c:pt>
                <c:pt idx="255">
                  <c:v>1170</c:v>
                </c:pt>
                <c:pt idx="256">
                  <c:v>988</c:v>
                </c:pt>
                <c:pt idx="257">
                  <c:v>1030</c:v>
                </c:pt>
                <c:pt idx="258">
                  <c:v>1205</c:v>
                </c:pt>
                <c:pt idx="259">
                  <c:v>1120</c:v>
                </c:pt>
                <c:pt idx="260">
                  <c:v>1156</c:v>
                </c:pt>
                <c:pt idx="261">
                  <c:v>1304</c:v>
                </c:pt>
                <c:pt idx="262">
                  <c:v>1302</c:v>
                </c:pt>
                <c:pt idx="263">
                  <c:v>1302</c:v>
                </c:pt>
                <c:pt idx="264">
                  <c:v>1292</c:v>
                </c:pt>
                <c:pt idx="265">
                  <c:v>1282</c:v>
                </c:pt>
                <c:pt idx="266">
                  <c:v>1286</c:v>
                </c:pt>
                <c:pt idx="267">
                  <c:v>1299</c:v>
                </c:pt>
                <c:pt idx="268">
                  <c:v>1299</c:v>
                </c:pt>
                <c:pt idx="269">
                  <c:v>1278</c:v>
                </c:pt>
                <c:pt idx="270">
                  <c:v>1245</c:v>
                </c:pt>
                <c:pt idx="271">
                  <c:v>1261</c:v>
                </c:pt>
                <c:pt idx="272">
                  <c:v>1261</c:v>
                </c:pt>
                <c:pt idx="273">
                  <c:v>1302</c:v>
                </c:pt>
                <c:pt idx="274">
                  <c:v>1297</c:v>
                </c:pt>
                <c:pt idx="275">
                  <c:v>1327</c:v>
                </c:pt>
                <c:pt idx="276">
                  <c:v>1373</c:v>
                </c:pt>
                <c:pt idx="277">
                  <c:v>1096</c:v>
                </c:pt>
                <c:pt idx="278">
                  <c:v>869</c:v>
                </c:pt>
                <c:pt idx="279">
                  <c:v>1072</c:v>
                </c:pt>
                <c:pt idx="280">
                  <c:v>1085</c:v>
                </c:pt>
                <c:pt idx="281">
                  <c:v>1081</c:v>
                </c:pt>
                <c:pt idx="282">
                  <c:v>1261</c:v>
                </c:pt>
                <c:pt idx="283">
                  <c:v>1174</c:v>
                </c:pt>
                <c:pt idx="284">
                  <c:v>927</c:v>
                </c:pt>
                <c:pt idx="285">
                  <c:v>1075</c:v>
                </c:pt>
                <c:pt idx="286">
                  <c:v>1149</c:v>
                </c:pt>
                <c:pt idx="287">
                  <c:v>1114</c:v>
                </c:pt>
                <c:pt idx="288">
                  <c:v>1028</c:v>
                </c:pt>
                <c:pt idx="289">
                  <c:v>964</c:v>
                </c:pt>
                <c:pt idx="290">
                  <c:v>1284</c:v>
                </c:pt>
                <c:pt idx="291">
                  <c:v>1263</c:v>
                </c:pt>
                <c:pt idx="292">
                  <c:v>1279</c:v>
                </c:pt>
                <c:pt idx="293">
                  <c:v>1274</c:v>
                </c:pt>
                <c:pt idx="294">
                  <c:v>1268</c:v>
                </c:pt>
                <c:pt idx="295">
                  <c:v>1279</c:v>
                </c:pt>
                <c:pt idx="296">
                  <c:v>1274</c:v>
                </c:pt>
                <c:pt idx="297">
                  <c:v>1289</c:v>
                </c:pt>
                <c:pt idx="298">
                  <c:v>1273</c:v>
                </c:pt>
                <c:pt idx="299">
                  <c:v>1288</c:v>
                </c:pt>
                <c:pt idx="300">
                  <c:v>1265</c:v>
                </c:pt>
                <c:pt idx="301">
                  <c:v>1245</c:v>
                </c:pt>
                <c:pt idx="302">
                  <c:v>1279</c:v>
                </c:pt>
                <c:pt idx="303">
                  <c:v>1268</c:v>
                </c:pt>
                <c:pt idx="304">
                  <c:v>1296</c:v>
                </c:pt>
                <c:pt idx="305">
                  <c:v>1341</c:v>
                </c:pt>
                <c:pt idx="306">
                  <c:v>1367</c:v>
                </c:pt>
                <c:pt idx="307">
                  <c:v>1254</c:v>
                </c:pt>
                <c:pt idx="308">
                  <c:v>865</c:v>
                </c:pt>
                <c:pt idx="309">
                  <c:v>1068</c:v>
                </c:pt>
                <c:pt idx="310">
                  <c:v>1063</c:v>
                </c:pt>
                <c:pt idx="311">
                  <c:v>1061</c:v>
                </c:pt>
                <c:pt idx="312">
                  <c:v>1227</c:v>
                </c:pt>
                <c:pt idx="313">
                  <c:v>825</c:v>
                </c:pt>
                <c:pt idx="314">
                  <c:v>1075</c:v>
                </c:pt>
                <c:pt idx="315">
                  <c:v>994</c:v>
                </c:pt>
                <c:pt idx="316">
                  <c:v>912</c:v>
                </c:pt>
                <c:pt idx="317">
                  <c:v>1030</c:v>
                </c:pt>
                <c:pt idx="318">
                  <c:v>1037</c:v>
                </c:pt>
                <c:pt idx="319">
                  <c:v>953</c:v>
                </c:pt>
                <c:pt idx="320">
                  <c:v>967</c:v>
                </c:pt>
                <c:pt idx="321">
                  <c:v>1303</c:v>
                </c:pt>
                <c:pt idx="322">
                  <c:v>1307</c:v>
                </c:pt>
                <c:pt idx="323">
                  <c:v>1317</c:v>
                </c:pt>
                <c:pt idx="324">
                  <c:v>1283</c:v>
                </c:pt>
                <c:pt idx="325">
                  <c:v>1299</c:v>
                </c:pt>
                <c:pt idx="326">
                  <c:v>1301</c:v>
                </c:pt>
                <c:pt idx="327">
                  <c:v>1290</c:v>
                </c:pt>
                <c:pt idx="328">
                  <c:v>1297</c:v>
                </c:pt>
                <c:pt idx="329">
                  <c:v>1298</c:v>
                </c:pt>
                <c:pt idx="330">
                  <c:v>1283</c:v>
                </c:pt>
                <c:pt idx="331">
                  <c:v>1301</c:v>
                </c:pt>
                <c:pt idx="332">
                  <c:v>1245</c:v>
                </c:pt>
                <c:pt idx="333">
                  <c:v>1260</c:v>
                </c:pt>
                <c:pt idx="334">
                  <c:v>1295</c:v>
                </c:pt>
                <c:pt idx="335">
                  <c:v>1262</c:v>
                </c:pt>
                <c:pt idx="336">
                  <c:v>1259</c:v>
                </c:pt>
                <c:pt idx="337">
                  <c:v>1318</c:v>
                </c:pt>
                <c:pt idx="338">
                  <c:v>1362</c:v>
                </c:pt>
                <c:pt idx="339">
                  <c:v>1262</c:v>
                </c:pt>
                <c:pt idx="340">
                  <c:v>772</c:v>
                </c:pt>
                <c:pt idx="341">
                  <c:v>1064</c:v>
                </c:pt>
                <c:pt idx="342">
                  <c:v>1008</c:v>
                </c:pt>
                <c:pt idx="343">
                  <c:v>909</c:v>
                </c:pt>
                <c:pt idx="344">
                  <c:v>972</c:v>
                </c:pt>
                <c:pt idx="345">
                  <c:v>1074</c:v>
                </c:pt>
                <c:pt idx="346">
                  <c:v>892</c:v>
                </c:pt>
                <c:pt idx="347">
                  <c:v>1011</c:v>
                </c:pt>
                <c:pt idx="348">
                  <c:v>936</c:v>
                </c:pt>
                <c:pt idx="349">
                  <c:v>835</c:v>
                </c:pt>
                <c:pt idx="350">
                  <c:v>503</c:v>
                </c:pt>
                <c:pt idx="351">
                  <c:v>504</c:v>
                </c:pt>
                <c:pt idx="352">
                  <c:v>837</c:v>
                </c:pt>
                <c:pt idx="353">
                  <c:v>1284</c:v>
                </c:pt>
                <c:pt idx="354">
                  <c:v>1281</c:v>
                </c:pt>
                <c:pt idx="355">
                  <c:v>1278</c:v>
                </c:pt>
                <c:pt idx="356">
                  <c:v>1289</c:v>
                </c:pt>
                <c:pt idx="357">
                  <c:v>1291</c:v>
                </c:pt>
                <c:pt idx="358">
                  <c:v>1295</c:v>
                </c:pt>
                <c:pt idx="359">
                  <c:v>1282</c:v>
                </c:pt>
                <c:pt idx="360">
                  <c:v>1292</c:v>
                </c:pt>
                <c:pt idx="361">
                  <c:v>1270</c:v>
                </c:pt>
                <c:pt idx="362">
                  <c:v>1244</c:v>
                </c:pt>
                <c:pt idx="363">
                  <c:v>1264</c:v>
                </c:pt>
                <c:pt idx="364">
                  <c:v>1273</c:v>
                </c:pt>
                <c:pt idx="365">
                  <c:v>1255</c:v>
                </c:pt>
                <c:pt idx="366">
                  <c:v>1268</c:v>
                </c:pt>
                <c:pt idx="367">
                  <c:v>1245</c:v>
                </c:pt>
                <c:pt idx="368">
                  <c:v>1271</c:v>
                </c:pt>
                <c:pt idx="369">
                  <c:v>1288</c:v>
                </c:pt>
                <c:pt idx="370">
                  <c:v>1315</c:v>
                </c:pt>
                <c:pt idx="371">
                  <c:v>1320</c:v>
                </c:pt>
                <c:pt idx="372">
                  <c:v>1342</c:v>
                </c:pt>
                <c:pt idx="373">
                  <c:v>1349</c:v>
                </c:pt>
                <c:pt idx="374">
                  <c:v>850</c:v>
                </c:pt>
                <c:pt idx="375">
                  <c:v>1120</c:v>
                </c:pt>
                <c:pt idx="376">
                  <c:v>967</c:v>
                </c:pt>
                <c:pt idx="377">
                  <c:v>918</c:v>
                </c:pt>
                <c:pt idx="378">
                  <c:v>1025</c:v>
                </c:pt>
                <c:pt idx="379">
                  <c:v>973</c:v>
                </c:pt>
                <c:pt idx="380">
                  <c:v>907</c:v>
                </c:pt>
                <c:pt idx="381">
                  <c:v>947</c:v>
                </c:pt>
                <c:pt idx="382">
                  <c:v>880</c:v>
                </c:pt>
                <c:pt idx="383">
                  <c:v>823</c:v>
                </c:pt>
                <c:pt idx="384">
                  <c:v>851</c:v>
                </c:pt>
                <c:pt idx="385">
                  <c:v>1296</c:v>
                </c:pt>
                <c:pt idx="386">
                  <c:v>1298</c:v>
                </c:pt>
                <c:pt idx="387">
                  <c:v>1279</c:v>
                </c:pt>
                <c:pt idx="388">
                  <c:v>1273</c:v>
                </c:pt>
                <c:pt idx="389">
                  <c:v>1272</c:v>
                </c:pt>
                <c:pt idx="390">
                  <c:v>1300</c:v>
                </c:pt>
                <c:pt idx="391">
                  <c:v>1276</c:v>
                </c:pt>
                <c:pt idx="392">
                  <c:v>1298</c:v>
                </c:pt>
                <c:pt idx="393">
                  <c:v>1268</c:v>
                </c:pt>
                <c:pt idx="394">
                  <c:v>1269</c:v>
                </c:pt>
                <c:pt idx="395">
                  <c:v>1306</c:v>
                </c:pt>
                <c:pt idx="396">
                  <c:v>1325</c:v>
                </c:pt>
                <c:pt idx="397">
                  <c:v>1326</c:v>
                </c:pt>
                <c:pt idx="398">
                  <c:v>1320</c:v>
                </c:pt>
                <c:pt idx="399">
                  <c:v>1311</c:v>
                </c:pt>
                <c:pt idx="400">
                  <c:v>1325</c:v>
                </c:pt>
                <c:pt idx="401">
                  <c:v>1233</c:v>
                </c:pt>
                <c:pt idx="402">
                  <c:v>771</c:v>
                </c:pt>
                <c:pt idx="403">
                  <c:v>1062</c:v>
                </c:pt>
                <c:pt idx="404">
                  <c:v>1097</c:v>
                </c:pt>
                <c:pt idx="405">
                  <c:v>1020</c:v>
                </c:pt>
                <c:pt idx="406">
                  <c:v>1200</c:v>
                </c:pt>
                <c:pt idx="407">
                  <c:v>1216</c:v>
                </c:pt>
                <c:pt idx="408">
                  <c:v>827</c:v>
                </c:pt>
                <c:pt idx="409">
                  <c:v>1042</c:v>
                </c:pt>
                <c:pt idx="410">
                  <c:v>972</c:v>
                </c:pt>
                <c:pt idx="411">
                  <c:v>1225</c:v>
                </c:pt>
                <c:pt idx="412">
                  <c:v>903</c:v>
                </c:pt>
                <c:pt idx="413">
                  <c:v>1291</c:v>
                </c:pt>
                <c:pt idx="414">
                  <c:v>1327</c:v>
                </c:pt>
                <c:pt idx="415">
                  <c:v>1305</c:v>
                </c:pt>
                <c:pt idx="416">
                  <c:v>1294</c:v>
                </c:pt>
                <c:pt idx="417">
                  <c:v>1309</c:v>
                </c:pt>
                <c:pt idx="418">
                  <c:v>1284</c:v>
                </c:pt>
                <c:pt idx="419">
                  <c:v>1309</c:v>
                </c:pt>
                <c:pt idx="420">
                  <c:v>1297</c:v>
                </c:pt>
                <c:pt idx="421">
                  <c:v>1302</c:v>
                </c:pt>
                <c:pt idx="422">
                  <c:v>1310</c:v>
                </c:pt>
                <c:pt idx="423">
                  <c:v>1308</c:v>
                </c:pt>
                <c:pt idx="424">
                  <c:v>1325</c:v>
                </c:pt>
                <c:pt idx="425">
                  <c:v>1304</c:v>
                </c:pt>
                <c:pt idx="426">
                  <c:v>1315</c:v>
                </c:pt>
                <c:pt idx="427">
                  <c:v>1331</c:v>
                </c:pt>
                <c:pt idx="428">
                  <c:v>1343</c:v>
                </c:pt>
                <c:pt idx="429">
                  <c:v>1074</c:v>
                </c:pt>
                <c:pt idx="430">
                  <c:v>1063</c:v>
                </c:pt>
                <c:pt idx="431">
                  <c:v>1054</c:v>
                </c:pt>
                <c:pt idx="432">
                  <c:v>1249</c:v>
                </c:pt>
                <c:pt idx="433">
                  <c:v>1233</c:v>
                </c:pt>
                <c:pt idx="434">
                  <c:v>1017</c:v>
                </c:pt>
                <c:pt idx="435">
                  <c:v>1000</c:v>
                </c:pt>
                <c:pt idx="436">
                  <c:v>1289</c:v>
                </c:pt>
                <c:pt idx="437">
                  <c:v>1233</c:v>
                </c:pt>
                <c:pt idx="438">
                  <c:v>979</c:v>
                </c:pt>
                <c:pt idx="439">
                  <c:v>1107</c:v>
                </c:pt>
                <c:pt idx="440">
                  <c:v>1318</c:v>
                </c:pt>
                <c:pt idx="441">
                  <c:v>1317</c:v>
                </c:pt>
                <c:pt idx="442">
                  <c:v>1301</c:v>
                </c:pt>
                <c:pt idx="443">
                  <c:v>1296</c:v>
                </c:pt>
                <c:pt idx="444">
                  <c:v>1283</c:v>
                </c:pt>
                <c:pt idx="445">
                  <c:v>1262</c:v>
                </c:pt>
                <c:pt idx="446">
                  <c:v>1261</c:v>
                </c:pt>
                <c:pt idx="447">
                  <c:v>1267</c:v>
                </c:pt>
                <c:pt idx="448">
                  <c:v>1255</c:v>
                </c:pt>
                <c:pt idx="449">
                  <c:v>1286</c:v>
                </c:pt>
                <c:pt idx="450">
                  <c:v>1282</c:v>
                </c:pt>
                <c:pt idx="451">
                  <c:v>1290</c:v>
                </c:pt>
                <c:pt idx="452">
                  <c:v>1293</c:v>
                </c:pt>
                <c:pt idx="453">
                  <c:v>1312</c:v>
                </c:pt>
                <c:pt idx="454">
                  <c:v>1325</c:v>
                </c:pt>
                <c:pt idx="455">
                  <c:v>962</c:v>
                </c:pt>
                <c:pt idx="456">
                  <c:v>1077</c:v>
                </c:pt>
                <c:pt idx="457">
                  <c:v>940</c:v>
                </c:pt>
                <c:pt idx="458">
                  <c:v>875</c:v>
                </c:pt>
                <c:pt idx="459">
                  <c:v>990</c:v>
                </c:pt>
                <c:pt idx="460">
                  <c:v>1011</c:v>
                </c:pt>
                <c:pt idx="461">
                  <c:v>861</c:v>
                </c:pt>
                <c:pt idx="462">
                  <c:v>968</c:v>
                </c:pt>
                <c:pt idx="463">
                  <c:v>940</c:v>
                </c:pt>
                <c:pt idx="464">
                  <c:v>838</c:v>
                </c:pt>
                <c:pt idx="465">
                  <c:v>526</c:v>
                </c:pt>
                <c:pt idx="466">
                  <c:v>527</c:v>
                </c:pt>
                <c:pt idx="467">
                  <c:v>542</c:v>
                </c:pt>
                <c:pt idx="468">
                  <c:v>1210</c:v>
                </c:pt>
                <c:pt idx="469">
                  <c:v>1275</c:v>
                </c:pt>
                <c:pt idx="470">
                  <c:v>1270</c:v>
                </c:pt>
                <c:pt idx="471">
                  <c:v>1267</c:v>
                </c:pt>
                <c:pt idx="472">
                  <c:v>1271</c:v>
                </c:pt>
                <c:pt idx="473">
                  <c:v>1266</c:v>
                </c:pt>
                <c:pt idx="474">
                  <c:v>1267</c:v>
                </c:pt>
                <c:pt idx="475">
                  <c:v>1264</c:v>
                </c:pt>
                <c:pt idx="476">
                  <c:v>1262</c:v>
                </c:pt>
                <c:pt idx="477">
                  <c:v>1270</c:v>
                </c:pt>
                <c:pt idx="478">
                  <c:v>1268</c:v>
                </c:pt>
                <c:pt idx="479">
                  <c:v>1258</c:v>
                </c:pt>
                <c:pt idx="480">
                  <c:v>1263</c:v>
                </c:pt>
                <c:pt idx="481">
                  <c:v>1274</c:v>
                </c:pt>
                <c:pt idx="482">
                  <c:v>1268</c:v>
                </c:pt>
                <c:pt idx="483">
                  <c:v>1274</c:v>
                </c:pt>
                <c:pt idx="484">
                  <c:v>1272</c:v>
                </c:pt>
                <c:pt idx="485">
                  <c:v>1262</c:v>
                </c:pt>
                <c:pt idx="486">
                  <c:v>1260</c:v>
                </c:pt>
                <c:pt idx="487">
                  <c:v>1296</c:v>
                </c:pt>
                <c:pt idx="488">
                  <c:v>1269</c:v>
                </c:pt>
                <c:pt idx="489">
                  <c:v>1242</c:v>
                </c:pt>
                <c:pt idx="490">
                  <c:v>1293</c:v>
                </c:pt>
                <c:pt idx="491">
                  <c:v>1337</c:v>
                </c:pt>
                <c:pt idx="492">
                  <c:v>1058</c:v>
                </c:pt>
                <c:pt idx="493">
                  <c:v>864</c:v>
                </c:pt>
                <c:pt idx="494">
                  <c:v>909</c:v>
                </c:pt>
                <c:pt idx="495">
                  <c:v>692</c:v>
                </c:pt>
                <c:pt idx="496">
                  <c:v>495</c:v>
                </c:pt>
                <c:pt idx="497">
                  <c:v>493</c:v>
                </c:pt>
                <c:pt idx="498">
                  <c:v>497</c:v>
                </c:pt>
                <c:pt idx="499">
                  <c:v>495</c:v>
                </c:pt>
                <c:pt idx="500">
                  <c:v>501</c:v>
                </c:pt>
                <c:pt idx="501">
                  <c:v>702</c:v>
                </c:pt>
                <c:pt idx="502">
                  <c:v>1116</c:v>
                </c:pt>
                <c:pt idx="503">
                  <c:v>1314</c:v>
                </c:pt>
                <c:pt idx="504">
                  <c:v>1315</c:v>
                </c:pt>
                <c:pt idx="505">
                  <c:v>1302</c:v>
                </c:pt>
                <c:pt idx="506">
                  <c:v>1309</c:v>
                </c:pt>
                <c:pt idx="507">
                  <c:v>1301</c:v>
                </c:pt>
                <c:pt idx="508">
                  <c:v>1306</c:v>
                </c:pt>
                <c:pt idx="509">
                  <c:v>1314</c:v>
                </c:pt>
                <c:pt idx="510">
                  <c:v>1313</c:v>
                </c:pt>
                <c:pt idx="511">
                  <c:v>1284</c:v>
                </c:pt>
                <c:pt idx="512">
                  <c:v>1310</c:v>
                </c:pt>
                <c:pt idx="513">
                  <c:v>1302</c:v>
                </c:pt>
                <c:pt idx="514">
                  <c:v>1290</c:v>
                </c:pt>
                <c:pt idx="515">
                  <c:v>1316</c:v>
                </c:pt>
                <c:pt idx="516">
                  <c:v>1319</c:v>
                </c:pt>
                <c:pt idx="517">
                  <c:v>1305</c:v>
                </c:pt>
                <c:pt idx="518">
                  <c:v>1306</c:v>
                </c:pt>
                <c:pt idx="519">
                  <c:v>1307</c:v>
                </c:pt>
                <c:pt idx="520">
                  <c:v>1276</c:v>
                </c:pt>
                <c:pt idx="521">
                  <c:v>1295</c:v>
                </c:pt>
                <c:pt idx="522">
                  <c:v>1313</c:v>
                </c:pt>
                <c:pt idx="523">
                  <c:v>1355</c:v>
                </c:pt>
                <c:pt idx="524">
                  <c:v>894</c:v>
                </c:pt>
                <c:pt idx="525">
                  <c:v>1016</c:v>
                </c:pt>
                <c:pt idx="526">
                  <c:v>890</c:v>
                </c:pt>
                <c:pt idx="527">
                  <c:v>865</c:v>
                </c:pt>
                <c:pt idx="528">
                  <c:v>491</c:v>
                </c:pt>
                <c:pt idx="529">
                  <c:v>507</c:v>
                </c:pt>
                <c:pt idx="530">
                  <c:v>495</c:v>
                </c:pt>
                <c:pt idx="531">
                  <c:v>522</c:v>
                </c:pt>
                <c:pt idx="532">
                  <c:v>1084</c:v>
                </c:pt>
                <c:pt idx="533">
                  <c:v>1291</c:v>
                </c:pt>
                <c:pt idx="534">
                  <c:v>1299</c:v>
                </c:pt>
                <c:pt idx="535">
                  <c:v>1310</c:v>
                </c:pt>
                <c:pt idx="536">
                  <c:v>1280</c:v>
                </c:pt>
                <c:pt idx="537">
                  <c:v>1296</c:v>
                </c:pt>
                <c:pt idx="538">
                  <c:v>1270</c:v>
                </c:pt>
                <c:pt idx="539">
                  <c:v>1290</c:v>
                </c:pt>
                <c:pt idx="540">
                  <c:v>1285</c:v>
                </c:pt>
                <c:pt idx="541">
                  <c:v>1283</c:v>
                </c:pt>
                <c:pt idx="542">
                  <c:v>1290</c:v>
                </c:pt>
                <c:pt idx="543">
                  <c:v>1277</c:v>
                </c:pt>
                <c:pt idx="544">
                  <c:v>1287</c:v>
                </c:pt>
                <c:pt idx="545">
                  <c:v>1224</c:v>
                </c:pt>
                <c:pt idx="546">
                  <c:v>1206</c:v>
                </c:pt>
                <c:pt idx="547">
                  <c:v>1202</c:v>
                </c:pt>
                <c:pt idx="548">
                  <c:v>1285</c:v>
                </c:pt>
                <c:pt idx="549">
                  <c:v>1290</c:v>
                </c:pt>
                <c:pt idx="550">
                  <c:v>1328</c:v>
                </c:pt>
                <c:pt idx="551">
                  <c:v>1315</c:v>
                </c:pt>
                <c:pt idx="552">
                  <c:v>1267</c:v>
                </c:pt>
                <c:pt idx="553">
                  <c:v>859</c:v>
                </c:pt>
                <c:pt idx="554">
                  <c:v>1118</c:v>
                </c:pt>
                <c:pt idx="555">
                  <c:v>1069</c:v>
                </c:pt>
                <c:pt idx="556">
                  <c:v>1008</c:v>
                </c:pt>
                <c:pt idx="557">
                  <c:v>1196</c:v>
                </c:pt>
                <c:pt idx="558">
                  <c:v>1272</c:v>
                </c:pt>
                <c:pt idx="559">
                  <c:v>1046</c:v>
                </c:pt>
                <c:pt idx="560">
                  <c:v>1219</c:v>
                </c:pt>
                <c:pt idx="561">
                  <c:v>1339</c:v>
                </c:pt>
                <c:pt idx="562">
                  <c:v>1356</c:v>
                </c:pt>
                <c:pt idx="563">
                  <c:v>1316</c:v>
                </c:pt>
                <c:pt idx="564">
                  <c:v>1326</c:v>
                </c:pt>
                <c:pt idx="565">
                  <c:v>1312</c:v>
                </c:pt>
                <c:pt idx="566">
                  <c:v>1309</c:v>
                </c:pt>
                <c:pt idx="567">
                  <c:v>1316</c:v>
                </c:pt>
                <c:pt idx="568">
                  <c:v>1306</c:v>
                </c:pt>
                <c:pt idx="569">
                  <c:v>1316</c:v>
                </c:pt>
                <c:pt idx="570">
                  <c:v>1332</c:v>
                </c:pt>
                <c:pt idx="571">
                  <c:v>1244</c:v>
                </c:pt>
                <c:pt idx="572">
                  <c:v>873</c:v>
                </c:pt>
                <c:pt idx="573">
                  <c:v>1095</c:v>
                </c:pt>
                <c:pt idx="574">
                  <c:v>1069</c:v>
                </c:pt>
                <c:pt idx="575">
                  <c:v>1140</c:v>
                </c:pt>
                <c:pt idx="576">
                  <c:v>1257</c:v>
                </c:pt>
                <c:pt idx="577">
                  <c:v>1198</c:v>
                </c:pt>
                <c:pt idx="578">
                  <c:v>1059</c:v>
                </c:pt>
                <c:pt idx="579">
                  <c:v>998</c:v>
                </c:pt>
                <c:pt idx="580">
                  <c:v>1236</c:v>
                </c:pt>
                <c:pt idx="581">
                  <c:v>1214</c:v>
                </c:pt>
                <c:pt idx="582">
                  <c:v>1305</c:v>
                </c:pt>
                <c:pt idx="583">
                  <c:v>1295</c:v>
                </c:pt>
                <c:pt idx="584">
                  <c:v>1300</c:v>
                </c:pt>
                <c:pt idx="585">
                  <c:v>1308</c:v>
                </c:pt>
                <c:pt idx="586">
                  <c:v>1284</c:v>
                </c:pt>
                <c:pt idx="587">
                  <c:v>1281</c:v>
                </c:pt>
                <c:pt idx="588">
                  <c:v>1300</c:v>
                </c:pt>
                <c:pt idx="589">
                  <c:v>1276</c:v>
                </c:pt>
                <c:pt idx="590">
                  <c:v>1291</c:v>
                </c:pt>
                <c:pt idx="591">
                  <c:v>1288</c:v>
                </c:pt>
                <c:pt idx="592">
                  <c:v>1291</c:v>
                </c:pt>
                <c:pt idx="593">
                  <c:v>1289</c:v>
                </c:pt>
                <c:pt idx="594">
                  <c:v>1305</c:v>
                </c:pt>
                <c:pt idx="595">
                  <c:v>1276</c:v>
                </c:pt>
                <c:pt idx="596">
                  <c:v>1287</c:v>
                </c:pt>
                <c:pt idx="597">
                  <c:v>1303</c:v>
                </c:pt>
                <c:pt idx="598">
                  <c:v>1292</c:v>
                </c:pt>
                <c:pt idx="599">
                  <c:v>1336</c:v>
                </c:pt>
                <c:pt idx="600">
                  <c:v>1351</c:v>
                </c:pt>
                <c:pt idx="601">
                  <c:v>1371</c:v>
                </c:pt>
                <c:pt idx="602">
                  <c:v>1286</c:v>
                </c:pt>
                <c:pt idx="603">
                  <c:v>1290</c:v>
                </c:pt>
                <c:pt idx="604">
                  <c:v>1313</c:v>
                </c:pt>
                <c:pt idx="605">
                  <c:v>1122</c:v>
                </c:pt>
                <c:pt idx="606">
                  <c:v>924</c:v>
                </c:pt>
                <c:pt idx="607">
                  <c:v>1054</c:v>
                </c:pt>
                <c:pt idx="608">
                  <c:v>989</c:v>
                </c:pt>
                <c:pt idx="609">
                  <c:v>908</c:v>
                </c:pt>
                <c:pt idx="610">
                  <c:v>1109</c:v>
                </c:pt>
                <c:pt idx="611">
                  <c:v>949</c:v>
                </c:pt>
                <c:pt idx="612">
                  <c:v>1002</c:v>
                </c:pt>
                <c:pt idx="613">
                  <c:v>855</c:v>
                </c:pt>
                <c:pt idx="614">
                  <c:v>854</c:v>
                </c:pt>
                <c:pt idx="615">
                  <c:v>683</c:v>
                </c:pt>
                <c:pt idx="616">
                  <c:v>488</c:v>
                </c:pt>
                <c:pt idx="617">
                  <c:v>628</c:v>
                </c:pt>
                <c:pt idx="618">
                  <c:v>1305</c:v>
                </c:pt>
                <c:pt idx="619">
                  <c:v>1295</c:v>
                </c:pt>
                <c:pt idx="620">
                  <c:v>1278</c:v>
                </c:pt>
                <c:pt idx="621">
                  <c:v>1309</c:v>
                </c:pt>
                <c:pt idx="622">
                  <c:v>1292</c:v>
                </c:pt>
                <c:pt idx="623">
                  <c:v>1298</c:v>
                </c:pt>
                <c:pt idx="624">
                  <c:v>1320</c:v>
                </c:pt>
                <c:pt idx="625">
                  <c:v>1321</c:v>
                </c:pt>
                <c:pt idx="626">
                  <c:v>1297</c:v>
                </c:pt>
                <c:pt idx="627">
                  <c:v>1285</c:v>
                </c:pt>
                <c:pt idx="628">
                  <c:v>1310</c:v>
                </c:pt>
                <c:pt idx="629">
                  <c:v>1302</c:v>
                </c:pt>
                <c:pt idx="630">
                  <c:v>1307</c:v>
                </c:pt>
                <c:pt idx="631">
                  <c:v>1296</c:v>
                </c:pt>
                <c:pt idx="632">
                  <c:v>1305</c:v>
                </c:pt>
                <c:pt idx="633">
                  <c:v>1306</c:v>
                </c:pt>
                <c:pt idx="634">
                  <c:v>1301</c:v>
                </c:pt>
                <c:pt idx="635">
                  <c:v>1291</c:v>
                </c:pt>
                <c:pt idx="636">
                  <c:v>1298</c:v>
                </c:pt>
                <c:pt idx="637">
                  <c:v>1252</c:v>
                </c:pt>
                <c:pt idx="638">
                  <c:v>1305</c:v>
                </c:pt>
                <c:pt idx="639">
                  <c:v>1269</c:v>
                </c:pt>
                <c:pt idx="640">
                  <c:v>1296</c:v>
                </c:pt>
                <c:pt idx="641">
                  <c:v>1219</c:v>
                </c:pt>
                <c:pt idx="642">
                  <c:v>1284</c:v>
                </c:pt>
                <c:pt idx="643">
                  <c:v>1265</c:v>
                </c:pt>
                <c:pt idx="644">
                  <c:v>1244</c:v>
                </c:pt>
                <c:pt idx="645">
                  <c:v>1306</c:v>
                </c:pt>
                <c:pt idx="646">
                  <c:v>1264</c:v>
                </c:pt>
                <c:pt idx="647">
                  <c:v>1236</c:v>
                </c:pt>
                <c:pt idx="648">
                  <c:v>1257</c:v>
                </c:pt>
                <c:pt idx="649">
                  <c:v>776</c:v>
                </c:pt>
                <c:pt idx="650">
                  <c:v>503</c:v>
                </c:pt>
                <c:pt idx="651">
                  <c:v>524</c:v>
                </c:pt>
                <c:pt idx="652">
                  <c:v>522</c:v>
                </c:pt>
                <c:pt idx="653">
                  <c:v>527</c:v>
                </c:pt>
                <c:pt idx="654">
                  <c:v>636</c:v>
                </c:pt>
                <c:pt idx="655">
                  <c:v>888</c:v>
                </c:pt>
                <c:pt idx="656">
                  <c:v>524</c:v>
                </c:pt>
                <c:pt idx="657">
                  <c:v>498</c:v>
                </c:pt>
                <c:pt idx="658">
                  <c:v>501</c:v>
                </c:pt>
                <c:pt idx="659">
                  <c:v>501</c:v>
                </c:pt>
                <c:pt idx="660">
                  <c:v>992</c:v>
                </c:pt>
                <c:pt idx="661">
                  <c:v>1303</c:v>
                </c:pt>
                <c:pt idx="662">
                  <c:v>1283</c:v>
                </c:pt>
                <c:pt idx="663">
                  <c:v>1291</c:v>
                </c:pt>
                <c:pt idx="664">
                  <c:v>1269</c:v>
                </c:pt>
                <c:pt idx="665">
                  <c:v>1292</c:v>
                </c:pt>
                <c:pt idx="666">
                  <c:v>1287</c:v>
                </c:pt>
                <c:pt idx="667">
                  <c:v>1286</c:v>
                </c:pt>
                <c:pt idx="668">
                  <c:v>1296</c:v>
                </c:pt>
                <c:pt idx="669">
                  <c:v>1282</c:v>
                </c:pt>
                <c:pt idx="670">
                  <c:v>1273</c:v>
                </c:pt>
                <c:pt idx="671">
                  <c:v>1277</c:v>
                </c:pt>
                <c:pt idx="672">
                  <c:v>1279</c:v>
                </c:pt>
                <c:pt idx="673">
                  <c:v>1282</c:v>
                </c:pt>
                <c:pt idx="674">
                  <c:v>1295</c:v>
                </c:pt>
                <c:pt idx="675">
                  <c:v>1294</c:v>
                </c:pt>
                <c:pt idx="676">
                  <c:v>1305</c:v>
                </c:pt>
                <c:pt idx="677">
                  <c:v>1287</c:v>
                </c:pt>
                <c:pt idx="678">
                  <c:v>1320</c:v>
                </c:pt>
                <c:pt idx="679">
                  <c:v>1320</c:v>
                </c:pt>
                <c:pt idx="680">
                  <c:v>1307</c:v>
                </c:pt>
                <c:pt idx="681">
                  <c:v>1307</c:v>
                </c:pt>
                <c:pt idx="682">
                  <c:v>1247</c:v>
                </c:pt>
                <c:pt idx="683">
                  <c:v>1312</c:v>
                </c:pt>
                <c:pt idx="684">
                  <c:v>1329</c:v>
                </c:pt>
                <c:pt idx="685">
                  <c:v>1324</c:v>
                </c:pt>
                <c:pt idx="686">
                  <c:v>1335</c:v>
                </c:pt>
                <c:pt idx="687">
                  <c:v>1315</c:v>
                </c:pt>
                <c:pt idx="688">
                  <c:v>1282</c:v>
                </c:pt>
                <c:pt idx="689">
                  <c:v>1265</c:v>
                </c:pt>
                <c:pt idx="690">
                  <c:v>1302</c:v>
                </c:pt>
                <c:pt idx="691">
                  <c:v>1289</c:v>
                </c:pt>
                <c:pt idx="692">
                  <c:v>1229</c:v>
                </c:pt>
                <c:pt idx="693">
                  <c:v>1252</c:v>
                </c:pt>
                <c:pt idx="694">
                  <c:v>1295</c:v>
                </c:pt>
                <c:pt idx="695">
                  <c:v>1230</c:v>
                </c:pt>
                <c:pt idx="696">
                  <c:v>1282</c:v>
                </c:pt>
                <c:pt idx="697">
                  <c:v>1276</c:v>
                </c:pt>
                <c:pt idx="698">
                  <c:v>1212</c:v>
                </c:pt>
                <c:pt idx="699">
                  <c:v>1247</c:v>
                </c:pt>
                <c:pt idx="700">
                  <c:v>1297</c:v>
                </c:pt>
                <c:pt idx="701">
                  <c:v>484</c:v>
                </c:pt>
                <c:pt idx="702">
                  <c:v>494</c:v>
                </c:pt>
                <c:pt idx="703">
                  <c:v>694</c:v>
                </c:pt>
                <c:pt idx="704">
                  <c:v>851</c:v>
                </c:pt>
                <c:pt idx="705">
                  <c:v>502</c:v>
                </c:pt>
                <c:pt idx="706">
                  <c:v>500</c:v>
                </c:pt>
                <c:pt idx="707">
                  <c:v>520</c:v>
                </c:pt>
                <c:pt idx="708">
                  <c:v>519</c:v>
                </c:pt>
                <c:pt idx="709">
                  <c:v>1020</c:v>
                </c:pt>
                <c:pt idx="710">
                  <c:v>1295</c:v>
                </c:pt>
                <c:pt idx="711">
                  <c:v>1296</c:v>
                </c:pt>
                <c:pt idx="712">
                  <c:v>1309</c:v>
                </c:pt>
                <c:pt idx="713">
                  <c:v>1301</c:v>
                </c:pt>
                <c:pt idx="714">
                  <c:v>1282</c:v>
                </c:pt>
                <c:pt idx="715">
                  <c:v>1282</c:v>
                </c:pt>
                <c:pt idx="716">
                  <c:v>1301</c:v>
                </c:pt>
                <c:pt idx="717">
                  <c:v>1304</c:v>
                </c:pt>
                <c:pt idx="718">
                  <c:v>1297</c:v>
                </c:pt>
                <c:pt idx="719">
                  <c:v>1305</c:v>
                </c:pt>
                <c:pt idx="720">
                  <c:v>1306</c:v>
                </c:pt>
                <c:pt idx="721">
                  <c:v>1289</c:v>
                </c:pt>
                <c:pt idx="722">
                  <c:v>1312</c:v>
                </c:pt>
                <c:pt idx="723">
                  <c:v>1316</c:v>
                </c:pt>
                <c:pt idx="724">
                  <c:v>1312</c:v>
                </c:pt>
                <c:pt idx="725">
                  <c:v>1304</c:v>
                </c:pt>
                <c:pt idx="726">
                  <c:v>1313</c:v>
                </c:pt>
                <c:pt idx="727">
                  <c:v>1311</c:v>
                </c:pt>
                <c:pt idx="728">
                  <c:v>1297</c:v>
                </c:pt>
                <c:pt idx="729">
                  <c:v>1307</c:v>
                </c:pt>
                <c:pt idx="730">
                  <c:v>1301</c:v>
                </c:pt>
                <c:pt idx="731">
                  <c:v>1302</c:v>
                </c:pt>
                <c:pt idx="732">
                  <c:v>1330</c:v>
                </c:pt>
                <c:pt idx="733">
                  <c:v>1299</c:v>
                </c:pt>
                <c:pt idx="734">
                  <c:v>1304</c:v>
                </c:pt>
                <c:pt idx="735">
                  <c:v>1270</c:v>
                </c:pt>
                <c:pt idx="736">
                  <c:v>1267</c:v>
                </c:pt>
                <c:pt idx="737">
                  <c:v>1277</c:v>
                </c:pt>
                <c:pt idx="738">
                  <c:v>1225</c:v>
                </c:pt>
                <c:pt idx="739">
                  <c:v>1197</c:v>
                </c:pt>
                <c:pt idx="740">
                  <c:v>1290</c:v>
                </c:pt>
                <c:pt idx="741">
                  <c:v>1288</c:v>
                </c:pt>
                <c:pt idx="742">
                  <c:v>1276</c:v>
                </c:pt>
                <c:pt idx="743">
                  <c:v>925</c:v>
                </c:pt>
                <c:pt idx="744">
                  <c:v>891</c:v>
                </c:pt>
                <c:pt idx="745">
                  <c:v>768</c:v>
                </c:pt>
                <c:pt idx="746">
                  <c:v>511</c:v>
                </c:pt>
                <c:pt idx="747">
                  <c:v>527</c:v>
                </c:pt>
                <c:pt idx="748">
                  <c:v>525</c:v>
                </c:pt>
                <c:pt idx="749">
                  <c:v>502</c:v>
                </c:pt>
                <c:pt idx="750">
                  <c:v>630</c:v>
                </c:pt>
                <c:pt idx="751">
                  <c:v>993</c:v>
                </c:pt>
                <c:pt idx="752">
                  <c:v>1304</c:v>
                </c:pt>
                <c:pt idx="753">
                  <c:v>1305</c:v>
                </c:pt>
                <c:pt idx="754">
                  <c:v>1297</c:v>
                </c:pt>
                <c:pt idx="755">
                  <c:v>1306</c:v>
                </c:pt>
                <c:pt idx="756">
                  <c:v>1288</c:v>
                </c:pt>
                <c:pt idx="757">
                  <c:v>1300</c:v>
                </c:pt>
                <c:pt idx="758">
                  <c:v>1269</c:v>
                </c:pt>
                <c:pt idx="759">
                  <c:v>1293</c:v>
                </c:pt>
                <c:pt idx="760">
                  <c:v>1311</c:v>
                </c:pt>
                <c:pt idx="761">
                  <c:v>1298</c:v>
                </c:pt>
                <c:pt idx="762">
                  <c:v>1324</c:v>
                </c:pt>
                <c:pt idx="763">
                  <c:v>1309</c:v>
                </c:pt>
                <c:pt idx="764">
                  <c:v>1280</c:v>
                </c:pt>
                <c:pt idx="765">
                  <c:v>1296</c:v>
                </c:pt>
                <c:pt idx="766">
                  <c:v>1290</c:v>
                </c:pt>
                <c:pt idx="767">
                  <c:v>1301</c:v>
                </c:pt>
                <c:pt idx="768">
                  <c:v>1317</c:v>
                </c:pt>
                <c:pt idx="769">
                  <c:v>1326</c:v>
                </c:pt>
                <c:pt idx="770">
                  <c:v>1311</c:v>
                </c:pt>
                <c:pt idx="771">
                  <c:v>1304</c:v>
                </c:pt>
                <c:pt idx="772">
                  <c:v>1314</c:v>
                </c:pt>
                <c:pt idx="773">
                  <c:v>1319</c:v>
                </c:pt>
                <c:pt idx="774">
                  <c:v>1311</c:v>
                </c:pt>
                <c:pt idx="775">
                  <c:v>1296</c:v>
                </c:pt>
                <c:pt idx="776">
                  <c:v>1301</c:v>
                </c:pt>
                <c:pt idx="777">
                  <c:v>1256</c:v>
                </c:pt>
                <c:pt idx="778">
                  <c:v>1207</c:v>
                </c:pt>
                <c:pt idx="779">
                  <c:v>1259</c:v>
                </c:pt>
                <c:pt idx="780">
                  <c:v>1264</c:v>
                </c:pt>
                <c:pt idx="781">
                  <c:v>1232</c:v>
                </c:pt>
                <c:pt idx="782">
                  <c:v>1317</c:v>
                </c:pt>
                <c:pt idx="783">
                  <c:v>1290</c:v>
                </c:pt>
                <c:pt idx="784">
                  <c:v>991</c:v>
                </c:pt>
                <c:pt idx="785">
                  <c:v>863</c:v>
                </c:pt>
                <c:pt idx="786">
                  <c:v>877</c:v>
                </c:pt>
                <c:pt idx="787">
                  <c:v>612</c:v>
                </c:pt>
                <c:pt idx="788">
                  <c:v>498</c:v>
                </c:pt>
                <c:pt idx="789">
                  <c:v>502</c:v>
                </c:pt>
                <c:pt idx="790">
                  <c:v>515</c:v>
                </c:pt>
                <c:pt idx="791">
                  <c:v>523</c:v>
                </c:pt>
                <c:pt idx="792">
                  <c:v>724</c:v>
                </c:pt>
                <c:pt idx="793">
                  <c:v>1110</c:v>
                </c:pt>
                <c:pt idx="794">
                  <c:v>1325</c:v>
                </c:pt>
                <c:pt idx="795">
                  <c:v>1273</c:v>
                </c:pt>
                <c:pt idx="796">
                  <c:v>1288</c:v>
                </c:pt>
                <c:pt idx="797">
                  <c:v>1311</c:v>
                </c:pt>
                <c:pt idx="798">
                  <c:v>1281</c:v>
                </c:pt>
                <c:pt idx="799">
                  <c:v>1299</c:v>
                </c:pt>
                <c:pt idx="800">
                  <c:v>1289</c:v>
                </c:pt>
                <c:pt idx="801">
                  <c:v>1280</c:v>
                </c:pt>
                <c:pt idx="802">
                  <c:v>1295</c:v>
                </c:pt>
                <c:pt idx="803">
                  <c:v>1275</c:v>
                </c:pt>
                <c:pt idx="804">
                  <c:v>1287</c:v>
                </c:pt>
                <c:pt idx="805">
                  <c:v>1287</c:v>
                </c:pt>
                <c:pt idx="806">
                  <c:v>1280</c:v>
                </c:pt>
                <c:pt idx="807">
                  <c:v>1291</c:v>
                </c:pt>
                <c:pt idx="808">
                  <c:v>1249</c:v>
                </c:pt>
                <c:pt idx="809">
                  <c:v>1285</c:v>
                </c:pt>
                <c:pt idx="810">
                  <c:v>1289</c:v>
                </c:pt>
                <c:pt idx="811">
                  <c:v>1305</c:v>
                </c:pt>
                <c:pt idx="812">
                  <c:v>1290</c:v>
                </c:pt>
                <c:pt idx="813">
                  <c:v>1313</c:v>
                </c:pt>
                <c:pt idx="814">
                  <c:v>1319</c:v>
                </c:pt>
                <c:pt idx="815">
                  <c:v>1313</c:v>
                </c:pt>
                <c:pt idx="816">
                  <c:v>1339</c:v>
                </c:pt>
                <c:pt idx="817">
                  <c:v>1324</c:v>
                </c:pt>
                <c:pt idx="818">
                  <c:v>1288</c:v>
                </c:pt>
                <c:pt idx="819">
                  <c:v>1288</c:v>
                </c:pt>
                <c:pt idx="820">
                  <c:v>1278</c:v>
                </c:pt>
                <c:pt idx="821">
                  <c:v>1266</c:v>
                </c:pt>
                <c:pt idx="822">
                  <c:v>1230</c:v>
                </c:pt>
                <c:pt idx="823">
                  <c:v>1197</c:v>
                </c:pt>
                <c:pt idx="824">
                  <c:v>1288</c:v>
                </c:pt>
                <c:pt idx="825">
                  <c:v>1285</c:v>
                </c:pt>
                <c:pt idx="826">
                  <c:v>1288</c:v>
                </c:pt>
                <c:pt idx="827">
                  <c:v>983</c:v>
                </c:pt>
                <c:pt idx="828">
                  <c:v>688</c:v>
                </c:pt>
                <c:pt idx="829">
                  <c:v>504</c:v>
                </c:pt>
                <c:pt idx="830">
                  <c:v>497</c:v>
                </c:pt>
                <c:pt idx="831">
                  <c:v>517</c:v>
                </c:pt>
                <c:pt idx="832">
                  <c:v>511</c:v>
                </c:pt>
                <c:pt idx="833">
                  <c:v>647</c:v>
                </c:pt>
                <c:pt idx="834">
                  <c:v>881</c:v>
                </c:pt>
                <c:pt idx="835">
                  <c:v>510</c:v>
                </c:pt>
                <c:pt idx="836">
                  <c:v>1223</c:v>
                </c:pt>
                <c:pt idx="837">
                  <c:v>1298</c:v>
                </c:pt>
                <c:pt idx="838">
                  <c:v>1264</c:v>
                </c:pt>
                <c:pt idx="839">
                  <c:v>1311</c:v>
                </c:pt>
                <c:pt idx="840">
                  <c:v>1274</c:v>
                </c:pt>
                <c:pt idx="841">
                  <c:v>1298</c:v>
                </c:pt>
                <c:pt idx="842">
                  <c:v>1309</c:v>
                </c:pt>
                <c:pt idx="843">
                  <c:v>1289</c:v>
                </c:pt>
                <c:pt idx="844">
                  <c:v>1279</c:v>
                </c:pt>
                <c:pt idx="845">
                  <c:v>1276</c:v>
                </c:pt>
                <c:pt idx="846">
                  <c:v>1289</c:v>
                </c:pt>
                <c:pt idx="847">
                  <c:v>1276</c:v>
                </c:pt>
                <c:pt idx="848">
                  <c:v>1290</c:v>
                </c:pt>
                <c:pt idx="849">
                  <c:v>1298</c:v>
                </c:pt>
                <c:pt idx="850">
                  <c:v>1284</c:v>
                </c:pt>
                <c:pt idx="851">
                  <c:v>1299</c:v>
                </c:pt>
                <c:pt idx="852">
                  <c:v>1293</c:v>
                </c:pt>
                <c:pt idx="853">
                  <c:v>1295</c:v>
                </c:pt>
                <c:pt idx="854">
                  <c:v>1270</c:v>
                </c:pt>
                <c:pt idx="855">
                  <c:v>1279</c:v>
                </c:pt>
                <c:pt idx="856">
                  <c:v>1291</c:v>
                </c:pt>
                <c:pt idx="857">
                  <c:v>1286</c:v>
                </c:pt>
                <c:pt idx="858">
                  <c:v>1213</c:v>
                </c:pt>
                <c:pt idx="859">
                  <c:v>1218</c:v>
                </c:pt>
                <c:pt idx="860">
                  <c:v>1209</c:v>
                </c:pt>
                <c:pt idx="861">
                  <c:v>1215</c:v>
                </c:pt>
                <c:pt idx="862">
                  <c:v>1218</c:v>
                </c:pt>
                <c:pt idx="863">
                  <c:v>1209</c:v>
                </c:pt>
                <c:pt idx="864">
                  <c:v>1179</c:v>
                </c:pt>
                <c:pt idx="865">
                  <c:v>1207</c:v>
                </c:pt>
                <c:pt idx="866">
                  <c:v>1206</c:v>
                </c:pt>
                <c:pt idx="867">
                  <c:v>1198</c:v>
                </c:pt>
                <c:pt idx="868">
                  <c:v>1201</c:v>
                </c:pt>
                <c:pt idx="869">
                  <c:v>1200</c:v>
                </c:pt>
                <c:pt idx="870">
                  <c:v>1196</c:v>
                </c:pt>
                <c:pt idx="871">
                  <c:v>1194</c:v>
                </c:pt>
                <c:pt idx="872">
                  <c:v>1184</c:v>
                </c:pt>
                <c:pt idx="873">
                  <c:v>894</c:v>
                </c:pt>
                <c:pt idx="874">
                  <c:v>540</c:v>
                </c:pt>
                <c:pt idx="875">
                  <c:v>551</c:v>
                </c:pt>
                <c:pt idx="876">
                  <c:v>648</c:v>
                </c:pt>
                <c:pt idx="877">
                  <c:v>1193</c:v>
                </c:pt>
                <c:pt idx="878">
                  <c:v>1190</c:v>
                </c:pt>
                <c:pt idx="879">
                  <c:v>1178</c:v>
                </c:pt>
                <c:pt idx="880">
                  <c:v>1191</c:v>
                </c:pt>
                <c:pt idx="881">
                  <c:v>1196</c:v>
                </c:pt>
                <c:pt idx="882">
                  <c:v>1195</c:v>
                </c:pt>
                <c:pt idx="883">
                  <c:v>1198</c:v>
                </c:pt>
                <c:pt idx="884">
                  <c:v>1204</c:v>
                </c:pt>
                <c:pt idx="885">
                  <c:v>1198</c:v>
                </c:pt>
                <c:pt idx="886">
                  <c:v>1201</c:v>
                </c:pt>
                <c:pt idx="887">
                  <c:v>1193</c:v>
                </c:pt>
                <c:pt idx="888">
                  <c:v>1189</c:v>
                </c:pt>
                <c:pt idx="889">
                  <c:v>1209</c:v>
                </c:pt>
                <c:pt idx="890">
                  <c:v>1206</c:v>
                </c:pt>
                <c:pt idx="891">
                  <c:v>1207</c:v>
                </c:pt>
                <c:pt idx="892">
                  <c:v>1218</c:v>
                </c:pt>
                <c:pt idx="893">
                  <c:v>388</c:v>
                </c:pt>
                <c:pt idx="894">
                  <c:v>368</c:v>
                </c:pt>
                <c:pt idx="895">
                  <c:v>537</c:v>
                </c:pt>
                <c:pt idx="896">
                  <c:v>545</c:v>
                </c:pt>
                <c:pt idx="897">
                  <c:v>541</c:v>
                </c:pt>
                <c:pt idx="898">
                  <c:v>532</c:v>
                </c:pt>
                <c:pt idx="899">
                  <c:v>548</c:v>
                </c:pt>
                <c:pt idx="900">
                  <c:v>536</c:v>
                </c:pt>
                <c:pt idx="901">
                  <c:v>539</c:v>
                </c:pt>
                <c:pt idx="902">
                  <c:v>542</c:v>
                </c:pt>
                <c:pt idx="903">
                  <c:v>559</c:v>
                </c:pt>
                <c:pt idx="904">
                  <c:v>580</c:v>
                </c:pt>
                <c:pt idx="905">
                  <c:v>582</c:v>
                </c:pt>
                <c:pt idx="906">
                  <c:v>584</c:v>
                </c:pt>
                <c:pt idx="907">
                  <c:v>557</c:v>
                </c:pt>
                <c:pt idx="908">
                  <c:v>0</c:v>
                </c:pt>
                <c:pt idx="909">
                  <c:v>0</c:v>
                </c:pt>
                <c:pt idx="910">
                  <c:v>0</c:v>
                </c:pt>
                <c:pt idx="911">
                  <c:v>0</c:v>
                </c:pt>
                <c:pt idx="912">
                  <c:v>0</c:v>
                </c:pt>
                <c:pt idx="913">
                  <c:v>0</c:v>
                </c:pt>
              </c:numCache>
            </c:numRef>
          </c:val>
          <c:smooth val="0"/>
          <c:extLst>
            <c:ext xmlns:c16="http://schemas.microsoft.com/office/drawing/2014/chart" uri="{C3380CC4-5D6E-409C-BE32-E72D297353CC}">
              <c16:uniqueId val="{00000001-5B2E-4D87-9DF5-FB3C8B84166E}"/>
            </c:ext>
          </c:extLst>
        </c:ser>
        <c:ser>
          <c:idx val="2"/>
          <c:order val="2"/>
          <c:tx>
            <c:strRef>
              <c:f>带宽占用RocksDB!$H$1</c:f>
              <c:strCache>
                <c:ptCount val="1"/>
                <c:pt idx="0">
                  <c:v>total</c:v>
                </c:pt>
              </c:strCache>
            </c:strRef>
          </c:tx>
          <c:spPr>
            <a:ln w="28575" cap="rnd">
              <a:solidFill>
                <a:schemeClr val="accent3"/>
              </a:solidFill>
              <a:round/>
            </a:ln>
            <a:effectLst/>
          </c:spPr>
          <c:marker>
            <c:symbol val="none"/>
          </c:marker>
          <c:val>
            <c:numRef>
              <c:f>带宽占用RocksDB!$H$2:$H$980</c:f>
              <c:numCache>
                <c:formatCode>General</c:formatCode>
                <c:ptCount val="979"/>
                <c:pt idx="0">
                  <c:v>0</c:v>
                </c:pt>
                <c:pt idx="1">
                  <c:v>385</c:v>
                </c:pt>
                <c:pt idx="2">
                  <c:v>875</c:v>
                </c:pt>
                <c:pt idx="3">
                  <c:v>939</c:v>
                </c:pt>
                <c:pt idx="4">
                  <c:v>1027</c:v>
                </c:pt>
                <c:pt idx="5">
                  <c:v>1196</c:v>
                </c:pt>
                <c:pt idx="6">
                  <c:v>1259</c:v>
                </c:pt>
                <c:pt idx="7">
                  <c:v>1368</c:v>
                </c:pt>
                <c:pt idx="8">
                  <c:v>1290</c:v>
                </c:pt>
                <c:pt idx="9">
                  <c:v>1204</c:v>
                </c:pt>
                <c:pt idx="10">
                  <c:v>1209</c:v>
                </c:pt>
                <c:pt idx="11">
                  <c:v>1575</c:v>
                </c:pt>
                <c:pt idx="12">
                  <c:v>1484</c:v>
                </c:pt>
                <c:pt idx="13">
                  <c:v>1365</c:v>
                </c:pt>
                <c:pt idx="14">
                  <c:v>2356</c:v>
                </c:pt>
                <c:pt idx="15">
                  <c:v>1885</c:v>
                </c:pt>
                <c:pt idx="16">
                  <c:v>1324</c:v>
                </c:pt>
                <c:pt idx="17">
                  <c:v>1797</c:v>
                </c:pt>
                <c:pt idx="18">
                  <c:v>1432</c:v>
                </c:pt>
                <c:pt idx="19">
                  <c:v>1261</c:v>
                </c:pt>
                <c:pt idx="20">
                  <c:v>1852</c:v>
                </c:pt>
                <c:pt idx="21">
                  <c:v>2346</c:v>
                </c:pt>
                <c:pt idx="22">
                  <c:v>1748</c:v>
                </c:pt>
                <c:pt idx="23">
                  <c:v>1405</c:v>
                </c:pt>
                <c:pt idx="24">
                  <c:v>1687</c:v>
                </c:pt>
                <c:pt idx="25">
                  <c:v>1739</c:v>
                </c:pt>
                <c:pt idx="26">
                  <c:v>1403</c:v>
                </c:pt>
                <c:pt idx="27">
                  <c:v>1274</c:v>
                </c:pt>
                <c:pt idx="28">
                  <c:v>2078</c:v>
                </c:pt>
                <c:pt idx="29">
                  <c:v>2370</c:v>
                </c:pt>
                <c:pt idx="30">
                  <c:v>2346</c:v>
                </c:pt>
                <c:pt idx="31">
                  <c:v>1402</c:v>
                </c:pt>
                <c:pt idx="32">
                  <c:v>1793</c:v>
                </c:pt>
                <c:pt idx="33">
                  <c:v>1646</c:v>
                </c:pt>
                <c:pt idx="34">
                  <c:v>1495</c:v>
                </c:pt>
                <c:pt idx="35">
                  <c:v>1810</c:v>
                </c:pt>
                <c:pt idx="36">
                  <c:v>1782</c:v>
                </c:pt>
                <c:pt idx="37">
                  <c:v>2357</c:v>
                </c:pt>
                <c:pt idx="38">
                  <c:v>2361</c:v>
                </c:pt>
                <c:pt idx="39">
                  <c:v>2335</c:v>
                </c:pt>
                <c:pt idx="40">
                  <c:v>2319</c:v>
                </c:pt>
                <c:pt idx="41">
                  <c:v>2051</c:v>
                </c:pt>
                <c:pt idx="42">
                  <c:v>1147</c:v>
                </c:pt>
                <c:pt idx="43">
                  <c:v>1720</c:v>
                </c:pt>
                <c:pt idx="44">
                  <c:v>1581</c:v>
                </c:pt>
                <c:pt idx="45">
                  <c:v>1564</c:v>
                </c:pt>
                <c:pt idx="46">
                  <c:v>2079</c:v>
                </c:pt>
                <c:pt idx="47">
                  <c:v>1979</c:v>
                </c:pt>
                <c:pt idx="48">
                  <c:v>2344</c:v>
                </c:pt>
                <c:pt idx="49">
                  <c:v>2331</c:v>
                </c:pt>
                <c:pt idx="50">
                  <c:v>2331</c:v>
                </c:pt>
                <c:pt idx="51">
                  <c:v>2322</c:v>
                </c:pt>
                <c:pt idx="52">
                  <c:v>2369</c:v>
                </c:pt>
                <c:pt idx="53">
                  <c:v>1425</c:v>
                </c:pt>
                <c:pt idx="54">
                  <c:v>1374</c:v>
                </c:pt>
                <c:pt idx="55">
                  <c:v>1627</c:v>
                </c:pt>
                <c:pt idx="56">
                  <c:v>1756</c:v>
                </c:pt>
                <c:pt idx="57">
                  <c:v>1974</c:v>
                </c:pt>
                <c:pt idx="58">
                  <c:v>1998</c:v>
                </c:pt>
                <c:pt idx="59">
                  <c:v>2351</c:v>
                </c:pt>
                <c:pt idx="60">
                  <c:v>2338</c:v>
                </c:pt>
                <c:pt idx="61">
                  <c:v>2344</c:v>
                </c:pt>
                <c:pt idx="62">
                  <c:v>2346</c:v>
                </c:pt>
                <c:pt idx="63">
                  <c:v>2340</c:v>
                </c:pt>
                <c:pt idx="64">
                  <c:v>2334</c:v>
                </c:pt>
                <c:pt idx="65">
                  <c:v>2352</c:v>
                </c:pt>
                <c:pt idx="66">
                  <c:v>2368</c:v>
                </c:pt>
                <c:pt idx="67">
                  <c:v>2349</c:v>
                </c:pt>
                <c:pt idx="68">
                  <c:v>1638</c:v>
                </c:pt>
                <c:pt idx="69">
                  <c:v>1505</c:v>
                </c:pt>
                <c:pt idx="70">
                  <c:v>1629</c:v>
                </c:pt>
                <c:pt idx="71">
                  <c:v>1795</c:v>
                </c:pt>
                <c:pt idx="72">
                  <c:v>1907</c:v>
                </c:pt>
                <c:pt idx="73">
                  <c:v>2089</c:v>
                </c:pt>
                <c:pt idx="74">
                  <c:v>2372</c:v>
                </c:pt>
                <c:pt idx="75">
                  <c:v>2347</c:v>
                </c:pt>
                <c:pt idx="76">
                  <c:v>2345</c:v>
                </c:pt>
                <c:pt idx="77">
                  <c:v>2360</c:v>
                </c:pt>
                <c:pt idx="78">
                  <c:v>2344</c:v>
                </c:pt>
                <c:pt idx="79">
                  <c:v>2330</c:v>
                </c:pt>
                <c:pt idx="80">
                  <c:v>2340</c:v>
                </c:pt>
                <c:pt idx="81">
                  <c:v>2363</c:v>
                </c:pt>
                <c:pt idx="82">
                  <c:v>2375</c:v>
                </c:pt>
                <c:pt idx="83">
                  <c:v>2340</c:v>
                </c:pt>
                <c:pt idx="84">
                  <c:v>2254</c:v>
                </c:pt>
                <c:pt idx="85">
                  <c:v>1289</c:v>
                </c:pt>
                <c:pt idx="86">
                  <c:v>1770</c:v>
                </c:pt>
                <c:pt idx="87">
                  <c:v>1489</c:v>
                </c:pt>
                <c:pt idx="88">
                  <c:v>1512</c:v>
                </c:pt>
                <c:pt idx="89">
                  <c:v>2020</c:v>
                </c:pt>
                <c:pt idx="90">
                  <c:v>2200</c:v>
                </c:pt>
                <c:pt idx="91">
                  <c:v>1733</c:v>
                </c:pt>
                <c:pt idx="92">
                  <c:v>1854</c:v>
                </c:pt>
                <c:pt idx="93">
                  <c:v>2366</c:v>
                </c:pt>
                <c:pt idx="94">
                  <c:v>2369</c:v>
                </c:pt>
                <c:pt idx="95">
                  <c:v>2339</c:v>
                </c:pt>
                <c:pt idx="96">
                  <c:v>2366</c:v>
                </c:pt>
                <c:pt idx="97">
                  <c:v>2360</c:v>
                </c:pt>
                <c:pt idx="98">
                  <c:v>2372</c:v>
                </c:pt>
                <c:pt idx="99">
                  <c:v>2358</c:v>
                </c:pt>
                <c:pt idx="100">
                  <c:v>2356</c:v>
                </c:pt>
                <c:pt idx="101">
                  <c:v>2312</c:v>
                </c:pt>
                <c:pt idx="102">
                  <c:v>1235</c:v>
                </c:pt>
                <c:pt idx="103">
                  <c:v>1689</c:v>
                </c:pt>
                <c:pt idx="104">
                  <c:v>1623</c:v>
                </c:pt>
                <c:pt idx="105">
                  <c:v>1307</c:v>
                </c:pt>
                <c:pt idx="106">
                  <c:v>2061</c:v>
                </c:pt>
                <c:pt idx="107">
                  <c:v>2250</c:v>
                </c:pt>
                <c:pt idx="108">
                  <c:v>1827</c:v>
                </c:pt>
                <c:pt idx="109">
                  <c:v>1688</c:v>
                </c:pt>
                <c:pt idx="110">
                  <c:v>2055</c:v>
                </c:pt>
                <c:pt idx="111">
                  <c:v>2318</c:v>
                </c:pt>
                <c:pt idx="112">
                  <c:v>2367</c:v>
                </c:pt>
                <c:pt idx="113">
                  <c:v>2351</c:v>
                </c:pt>
                <c:pt idx="114">
                  <c:v>2337</c:v>
                </c:pt>
                <c:pt idx="115">
                  <c:v>2322</c:v>
                </c:pt>
                <c:pt idx="116">
                  <c:v>2330</c:v>
                </c:pt>
                <c:pt idx="117">
                  <c:v>2326</c:v>
                </c:pt>
                <c:pt idx="118">
                  <c:v>2337</c:v>
                </c:pt>
                <c:pt idx="119">
                  <c:v>2313</c:v>
                </c:pt>
                <c:pt idx="120">
                  <c:v>2338</c:v>
                </c:pt>
                <c:pt idx="121">
                  <c:v>2341</c:v>
                </c:pt>
                <c:pt idx="122">
                  <c:v>2351</c:v>
                </c:pt>
                <c:pt idx="123">
                  <c:v>2365</c:v>
                </c:pt>
                <c:pt idx="124">
                  <c:v>2385</c:v>
                </c:pt>
                <c:pt idx="125">
                  <c:v>2364</c:v>
                </c:pt>
                <c:pt idx="126">
                  <c:v>1562</c:v>
                </c:pt>
                <c:pt idx="127">
                  <c:v>1678</c:v>
                </c:pt>
                <c:pt idx="128">
                  <c:v>1552</c:v>
                </c:pt>
                <c:pt idx="129">
                  <c:v>1510</c:v>
                </c:pt>
                <c:pt idx="130">
                  <c:v>1947</c:v>
                </c:pt>
                <c:pt idx="131">
                  <c:v>2117</c:v>
                </c:pt>
                <c:pt idx="132">
                  <c:v>1969</c:v>
                </c:pt>
                <c:pt idx="133">
                  <c:v>1776</c:v>
                </c:pt>
                <c:pt idx="134">
                  <c:v>1699</c:v>
                </c:pt>
                <c:pt idx="135">
                  <c:v>2162</c:v>
                </c:pt>
                <c:pt idx="136">
                  <c:v>2381</c:v>
                </c:pt>
                <c:pt idx="137">
                  <c:v>2381</c:v>
                </c:pt>
                <c:pt idx="138">
                  <c:v>2366</c:v>
                </c:pt>
                <c:pt idx="139">
                  <c:v>2377</c:v>
                </c:pt>
                <c:pt idx="140">
                  <c:v>2363</c:v>
                </c:pt>
                <c:pt idx="141">
                  <c:v>2378</c:v>
                </c:pt>
                <c:pt idx="142">
                  <c:v>2368</c:v>
                </c:pt>
                <c:pt idx="143">
                  <c:v>2358</c:v>
                </c:pt>
                <c:pt idx="144">
                  <c:v>2352</c:v>
                </c:pt>
                <c:pt idx="145">
                  <c:v>2370</c:v>
                </c:pt>
                <c:pt idx="146">
                  <c:v>2327</c:v>
                </c:pt>
                <c:pt idx="147">
                  <c:v>2341</c:v>
                </c:pt>
                <c:pt idx="148">
                  <c:v>2336</c:v>
                </c:pt>
                <c:pt idx="149">
                  <c:v>2374</c:v>
                </c:pt>
                <c:pt idx="150">
                  <c:v>2378</c:v>
                </c:pt>
                <c:pt idx="151">
                  <c:v>2363</c:v>
                </c:pt>
                <c:pt idx="152">
                  <c:v>2132</c:v>
                </c:pt>
                <c:pt idx="153">
                  <c:v>1267</c:v>
                </c:pt>
                <c:pt idx="154">
                  <c:v>1742</c:v>
                </c:pt>
                <c:pt idx="155">
                  <c:v>1819</c:v>
                </c:pt>
                <c:pt idx="156">
                  <c:v>1570</c:v>
                </c:pt>
                <c:pt idx="157">
                  <c:v>2080</c:v>
                </c:pt>
                <c:pt idx="158">
                  <c:v>2269</c:v>
                </c:pt>
                <c:pt idx="159">
                  <c:v>1297</c:v>
                </c:pt>
                <c:pt idx="160">
                  <c:v>1719</c:v>
                </c:pt>
                <c:pt idx="161">
                  <c:v>1785</c:v>
                </c:pt>
                <c:pt idx="162">
                  <c:v>2114</c:v>
                </c:pt>
                <c:pt idx="163">
                  <c:v>2378</c:v>
                </c:pt>
                <c:pt idx="164">
                  <c:v>2377</c:v>
                </c:pt>
                <c:pt idx="165">
                  <c:v>2370</c:v>
                </c:pt>
                <c:pt idx="166">
                  <c:v>2383</c:v>
                </c:pt>
                <c:pt idx="167">
                  <c:v>2362</c:v>
                </c:pt>
                <c:pt idx="168">
                  <c:v>2368</c:v>
                </c:pt>
                <c:pt idx="169">
                  <c:v>2380</c:v>
                </c:pt>
                <c:pt idx="170">
                  <c:v>2357</c:v>
                </c:pt>
                <c:pt idx="171">
                  <c:v>2376</c:v>
                </c:pt>
                <c:pt idx="172">
                  <c:v>2368</c:v>
                </c:pt>
                <c:pt idx="173">
                  <c:v>2379</c:v>
                </c:pt>
                <c:pt idx="174">
                  <c:v>2386</c:v>
                </c:pt>
                <c:pt idx="175">
                  <c:v>2376</c:v>
                </c:pt>
                <c:pt idx="176">
                  <c:v>2379</c:v>
                </c:pt>
                <c:pt idx="177">
                  <c:v>2383</c:v>
                </c:pt>
                <c:pt idx="178">
                  <c:v>2358</c:v>
                </c:pt>
                <c:pt idx="179">
                  <c:v>2379</c:v>
                </c:pt>
                <c:pt idx="180">
                  <c:v>2398</c:v>
                </c:pt>
                <c:pt idx="181">
                  <c:v>2403</c:v>
                </c:pt>
                <c:pt idx="182">
                  <c:v>1525</c:v>
                </c:pt>
                <c:pt idx="183">
                  <c:v>1474</c:v>
                </c:pt>
                <c:pt idx="184">
                  <c:v>1705</c:v>
                </c:pt>
                <c:pt idx="185">
                  <c:v>1797</c:v>
                </c:pt>
                <c:pt idx="186">
                  <c:v>1825</c:v>
                </c:pt>
                <c:pt idx="187">
                  <c:v>2106</c:v>
                </c:pt>
                <c:pt idx="188">
                  <c:v>2086</c:v>
                </c:pt>
                <c:pt idx="189">
                  <c:v>1447</c:v>
                </c:pt>
                <c:pt idx="190">
                  <c:v>1588</c:v>
                </c:pt>
                <c:pt idx="191">
                  <c:v>2043</c:v>
                </c:pt>
                <c:pt idx="192">
                  <c:v>2057</c:v>
                </c:pt>
                <c:pt idx="193">
                  <c:v>2350</c:v>
                </c:pt>
                <c:pt idx="194">
                  <c:v>2387</c:v>
                </c:pt>
                <c:pt idx="195">
                  <c:v>2381</c:v>
                </c:pt>
                <c:pt idx="196">
                  <c:v>2372</c:v>
                </c:pt>
                <c:pt idx="197">
                  <c:v>2389</c:v>
                </c:pt>
                <c:pt idx="198">
                  <c:v>2395</c:v>
                </c:pt>
                <c:pt idx="199">
                  <c:v>2399</c:v>
                </c:pt>
                <c:pt idx="200">
                  <c:v>2387</c:v>
                </c:pt>
                <c:pt idx="201">
                  <c:v>2364</c:v>
                </c:pt>
                <c:pt idx="202">
                  <c:v>2379</c:v>
                </c:pt>
                <c:pt idx="203">
                  <c:v>2362</c:v>
                </c:pt>
                <c:pt idx="204">
                  <c:v>2376</c:v>
                </c:pt>
                <c:pt idx="205">
                  <c:v>2392</c:v>
                </c:pt>
                <c:pt idx="206">
                  <c:v>2382</c:v>
                </c:pt>
                <c:pt idx="207">
                  <c:v>2366</c:v>
                </c:pt>
                <c:pt idx="208">
                  <c:v>2365</c:v>
                </c:pt>
                <c:pt idx="209">
                  <c:v>2359</c:v>
                </c:pt>
                <c:pt idx="210">
                  <c:v>2368</c:v>
                </c:pt>
                <c:pt idx="211">
                  <c:v>2372</c:v>
                </c:pt>
                <c:pt idx="212">
                  <c:v>2380</c:v>
                </c:pt>
                <c:pt idx="213">
                  <c:v>2370</c:v>
                </c:pt>
                <c:pt idx="214">
                  <c:v>2052</c:v>
                </c:pt>
                <c:pt idx="215">
                  <c:v>1400</c:v>
                </c:pt>
                <c:pt idx="216">
                  <c:v>1757</c:v>
                </c:pt>
                <c:pt idx="217">
                  <c:v>1781</c:v>
                </c:pt>
                <c:pt idx="218">
                  <c:v>1668</c:v>
                </c:pt>
                <c:pt idx="219">
                  <c:v>2087</c:v>
                </c:pt>
                <c:pt idx="220">
                  <c:v>1806</c:v>
                </c:pt>
                <c:pt idx="221">
                  <c:v>1773</c:v>
                </c:pt>
                <c:pt idx="222">
                  <c:v>1685</c:v>
                </c:pt>
                <c:pt idx="223">
                  <c:v>1517</c:v>
                </c:pt>
                <c:pt idx="224">
                  <c:v>1849</c:v>
                </c:pt>
                <c:pt idx="225">
                  <c:v>2180</c:v>
                </c:pt>
                <c:pt idx="226">
                  <c:v>2377</c:v>
                </c:pt>
                <c:pt idx="227">
                  <c:v>2373</c:v>
                </c:pt>
                <c:pt idx="228">
                  <c:v>2358</c:v>
                </c:pt>
                <c:pt idx="229">
                  <c:v>2378</c:v>
                </c:pt>
                <c:pt idx="230">
                  <c:v>2371</c:v>
                </c:pt>
                <c:pt idx="231">
                  <c:v>2369</c:v>
                </c:pt>
                <c:pt idx="232">
                  <c:v>2379</c:v>
                </c:pt>
                <c:pt idx="233">
                  <c:v>2378</c:v>
                </c:pt>
                <c:pt idx="234">
                  <c:v>2354</c:v>
                </c:pt>
                <c:pt idx="235">
                  <c:v>2342</c:v>
                </c:pt>
                <c:pt idx="236">
                  <c:v>2375</c:v>
                </c:pt>
                <c:pt idx="237">
                  <c:v>2381</c:v>
                </c:pt>
                <c:pt idx="238">
                  <c:v>2383</c:v>
                </c:pt>
                <c:pt idx="239">
                  <c:v>2368</c:v>
                </c:pt>
                <c:pt idx="240">
                  <c:v>2365</c:v>
                </c:pt>
                <c:pt idx="241">
                  <c:v>2376</c:v>
                </c:pt>
                <c:pt idx="242">
                  <c:v>2376</c:v>
                </c:pt>
                <c:pt idx="243">
                  <c:v>2359</c:v>
                </c:pt>
                <c:pt idx="244">
                  <c:v>2378</c:v>
                </c:pt>
                <c:pt idx="245">
                  <c:v>2383</c:v>
                </c:pt>
                <c:pt idx="246">
                  <c:v>2365</c:v>
                </c:pt>
                <c:pt idx="247">
                  <c:v>2345</c:v>
                </c:pt>
                <c:pt idx="248">
                  <c:v>2382</c:v>
                </c:pt>
                <c:pt idx="249">
                  <c:v>1912</c:v>
                </c:pt>
                <c:pt idx="250">
                  <c:v>1309</c:v>
                </c:pt>
                <c:pt idx="251">
                  <c:v>1742</c:v>
                </c:pt>
                <c:pt idx="252">
                  <c:v>1777</c:v>
                </c:pt>
                <c:pt idx="253">
                  <c:v>1827</c:v>
                </c:pt>
                <c:pt idx="254">
                  <c:v>2129</c:v>
                </c:pt>
                <c:pt idx="255">
                  <c:v>2177</c:v>
                </c:pt>
                <c:pt idx="256">
                  <c:v>1564</c:v>
                </c:pt>
                <c:pt idx="257">
                  <c:v>1630</c:v>
                </c:pt>
                <c:pt idx="258">
                  <c:v>2090</c:v>
                </c:pt>
                <c:pt idx="259">
                  <c:v>2074</c:v>
                </c:pt>
                <c:pt idx="260">
                  <c:v>2138</c:v>
                </c:pt>
                <c:pt idx="261">
                  <c:v>2364</c:v>
                </c:pt>
                <c:pt idx="262">
                  <c:v>2372</c:v>
                </c:pt>
                <c:pt idx="263">
                  <c:v>2384</c:v>
                </c:pt>
                <c:pt idx="264">
                  <c:v>2383</c:v>
                </c:pt>
                <c:pt idx="265">
                  <c:v>2389</c:v>
                </c:pt>
                <c:pt idx="266">
                  <c:v>2384</c:v>
                </c:pt>
                <c:pt idx="267">
                  <c:v>2380</c:v>
                </c:pt>
                <c:pt idx="268">
                  <c:v>2390</c:v>
                </c:pt>
                <c:pt idx="269">
                  <c:v>2374</c:v>
                </c:pt>
                <c:pt idx="270">
                  <c:v>2377</c:v>
                </c:pt>
                <c:pt idx="271">
                  <c:v>2369</c:v>
                </c:pt>
                <c:pt idx="272">
                  <c:v>2359</c:v>
                </c:pt>
                <c:pt idx="273">
                  <c:v>2376</c:v>
                </c:pt>
                <c:pt idx="274">
                  <c:v>2355</c:v>
                </c:pt>
                <c:pt idx="275">
                  <c:v>2371</c:v>
                </c:pt>
                <c:pt idx="276">
                  <c:v>2406</c:v>
                </c:pt>
                <c:pt idx="277">
                  <c:v>1835</c:v>
                </c:pt>
                <c:pt idx="278">
                  <c:v>1307</c:v>
                </c:pt>
                <c:pt idx="279">
                  <c:v>1739</c:v>
                </c:pt>
                <c:pt idx="280">
                  <c:v>1785</c:v>
                </c:pt>
                <c:pt idx="281">
                  <c:v>1779</c:v>
                </c:pt>
                <c:pt idx="282">
                  <c:v>2109</c:v>
                </c:pt>
                <c:pt idx="283">
                  <c:v>2186</c:v>
                </c:pt>
                <c:pt idx="284">
                  <c:v>1474</c:v>
                </c:pt>
                <c:pt idx="285">
                  <c:v>1707</c:v>
                </c:pt>
                <c:pt idx="286">
                  <c:v>2013</c:v>
                </c:pt>
                <c:pt idx="287">
                  <c:v>2008</c:v>
                </c:pt>
                <c:pt idx="288">
                  <c:v>1796</c:v>
                </c:pt>
                <c:pt idx="289">
                  <c:v>1597</c:v>
                </c:pt>
                <c:pt idx="290">
                  <c:v>2373</c:v>
                </c:pt>
                <c:pt idx="291">
                  <c:v>2346</c:v>
                </c:pt>
                <c:pt idx="292">
                  <c:v>2374</c:v>
                </c:pt>
                <c:pt idx="293">
                  <c:v>2368</c:v>
                </c:pt>
                <c:pt idx="294">
                  <c:v>2367</c:v>
                </c:pt>
                <c:pt idx="295">
                  <c:v>2368</c:v>
                </c:pt>
                <c:pt idx="296">
                  <c:v>2370</c:v>
                </c:pt>
                <c:pt idx="297">
                  <c:v>2373</c:v>
                </c:pt>
                <c:pt idx="298">
                  <c:v>2375</c:v>
                </c:pt>
                <c:pt idx="299">
                  <c:v>2368</c:v>
                </c:pt>
                <c:pt idx="300">
                  <c:v>2364</c:v>
                </c:pt>
                <c:pt idx="301">
                  <c:v>2374</c:v>
                </c:pt>
                <c:pt idx="302">
                  <c:v>2357</c:v>
                </c:pt>
                <c:pt idx="303">
                  <c:v>2348</c:v>
                </c:pt>
                <c:pt idx="304">
                  <c:v>2365</c:v>
                </c:pt>
                <c:pt idx="305">
                  <c:v>2386</c:v>
                </c:pt>
                <c:pt idx="306">
                  <c:v>2386</c:v>
                </c:pt>
                <c:pt idx="307">
                  <c:v>2171</c:v>
                </c:pt>
                <c:pt idx="308">
                  <c:v>1313</c:v>
                </c:pt>
                <c:pt idx="309">
                  <c:v>1753</c:v>
                </c:pt>
                <c:pt idx="310">
                  <c:v>1752</c:v>
                </c:pt>
                <c:pt idx="311">
                  <c:v>1782</c:v>
                </c:pt>
                <c:pt idx="312">
                  <c:v>2094</c:v>
                </c:pt>
                <c:pt idx="313">
                  <c:v>1569</c:v>
                </c:pt>
                <c:pt idx="314">
                  <c:v>1752</c:v>
                </c:pt>
                <c:pt idx="315">
                  <c:v>1696</c:v>
                </c:pt>
                <c:pt idx="316">
                  <c:v>1496</c:v>
                </c:pt>
                <c:pt idx="317">
                  <c:v>1784</c:v>
                </c:pt>
                <c:pt idx="318">
                  <c:v>1970</c:v>
                </c:pt>
                <c:pt idx="319">
                  <c:v>1629</c:v>
                </c:pt>
                <c:pt idx="320">
                  <c:v>1696</c:v>
                </c:pt>
                <c:pt idx="321">
                  <c:v>2372</c:v>
                </c:pt>
                <c:pt idx="322">
                  <c:v>2388</c:v>
                </c:pt>
                <c:pt idx="323">
                  <c:v>2406</c:v>
                </c:pt>
                <c:pt idx="324">
                  <c:v>2394</c:v>
                </c:pt>
                <c:pt idx="325">
                  <c:v>2389</c:v>
                </c:pt>
                <c:pt idx="326">
                  <c:v>2399</c:v>
                </c:pt>
                <c:pt idx="327">
                  <c:v>2381</c:v>
                </c:pt>
                <c:pt idx="328">
                  <c:v>2378</c:v>
                </c:pt>
                <c:pt idx="329">
                  <c:v>2391</c:v>
                </c:pt>
                <c:pt idx="330">
                  <c:v>2368</c:v>
                </c:pt>
                <c:pt idx="331">
                  <c:v>2374</c:v>
                </c:pt>
                <c:pt idx="332">
                  <c:v>2368</c:v>
                </c:pt>
                <c:pt idx="333">
                  <c:v>2363</c:v>
                </c:pt>
                <c:pt idx="334">
                  <c:v>2372</c:v>
                </c:pt>
                <c:pt idx="335">
                  <c:v>2367</c:v>
                </c:pt>
                <c:pt idx="336">
                  <c:v>2321</c:v>
                </c:pt>
                <c:pt idx="337">
                  <c:v>2374</c:v>
                </c:pt>
                <c:pt idx="338">
                  <c:v>2405</c:v>
                </c:pt>
                <c:pt idx="339">
                  <c:v>2169</c:v>
                </c:pt>
                <c:pt idx="340">
                  <c:v>1185</c:v>
                </c:pt>
                <c:pt idx="341">
                  <c:v>1749</c:v>
                </c:pt>
                <c:pt idx="342">
                  <c:v>1659</c:v>
                </c:pt>
                <c:pt idx="343">
                  <c:v>1457</c:v>
                </c:pt>
                <c:pt idx="344">
                  <c:v>1757</c:v>
                </c:pt>
                <c:pt idx="345">
                  <c:v>1958</c:v>
                </c:pt>
                <c:pt idx="346">
                  <c:v>1593</c:v>
                </c:pt>
                <c:pt idx="347">
                  <c:v>1708</c:v>
                </c:pt>
                <c:pt idx="348">
                  <c:v>1648</c:v>
                </c:pt>
                <c:pt idx="349">
                  <c:v>1307</c:v>
                </c:pt>
                <c:pt idx="350">
                  <c:v>995</c:v>
                </c:pt>
                <c:pt idx="351">
                  <c:v>998</c:v>
                </c:pt>
                <c:pt idx="352">
                  <c:v>1618</c:v>
                </c:pt>
                <c:pt idx="353">
                  <c:v>2371</c:v>
                </c:pt>
                <c:pt idx="354">
                  <c:v>2375</c:v>
                </c:pt>
                <c:pt idx="355">
                  <c:v>2376</c:v>
                </c:pt>
                <c:pt idx="356">
                  <c:v>2384</c:v>
                </c:pt>
                <c:pt idx="357">
                  <c:v>2388</c:v>
                </c:pt>
                <c:pt idx="358">
                  <c:v>2394</c:v>
                </c:pt>
                <c:pt idx="359">
                  <c:v>2393</c:v>
                </c:pt>
                <c:pt idx="360">
                  <c:v>2382</c:v>
                </c:pt>
                <c:pt idx="361">
                  <c:v>2390</c:v>
                </c:pt>
                <c:pt idx="362">
                  <c:v>2375</c:v>
                </c:pt>
                <c:pt idx="363">
                  <c:v>2355</c:v>
                </c:pt>
                <c:pt idx="364">
                  <c:v>2371</c:v>
                </c:pt>
                <c:pt idx="365">
                  <c:v>2354</c:v>
                </c:pt>
                <c:pt idx="366">
                  <c:v>2351</c:v>
                </c:pt>
                <c:pt idx="367">
                  <c:v>2350</c:v>
                </c:pt>
                <c:pt idx="368">
                  <c:v>2349</c:v>
                </c:pt>
                <c:pt idx="369">
                  <c:v>2360</c:v>
                </c:pt>
                <c:pt idx="370">
                  <c:v>2394</c:v>
                </c:pt>
                <c:pt idx="371">
                  <c:v>2397</c:v>
                </c:pt>
                <c:pt idx="372">
                  <c:v>2403</c:v>
                </c:pt>
                <c:pt idx="373">
                  <c:v>2369</c:v>
                </c:pt>
                <c:pt idx="374">
                  <c:v>1326</c:v>
                </c:pt>
                <c:pt idx="375">
                  <c:v>1799</c:v>
                </c:pt>
                <c:pt idx="376">
                  <c:v>1657</c:v>
                </c:pt>
                <c:pt idx="377">
                  <c:v>1505</c:v>
                </c:pt>
                <c:pt idx="378">
                  <c:v>1777</c:v>
                </c:pt>
                <c:pt idx="379">
                  <c:v>1851</c:v>
                </c:pt>
                <c:pt idx="380">
                  <c:v>1541</c:v>
                </c:pt>
                <c:pt idx="381">
                  <c:v>1560</c:v>
                </c:pt>
                <c:pt idx="382">
                  <c:v>1596</c:v>
                </c:pt>
                <c:pt idx="383">
                  <c:v>1317</c:v>
                </c:pt>
                <c:pt idx="384">
                  <c:v>1652</c:v>
                </c:pt>
                <c:pt idx="385">
                  <c:v>2364</c:v>
                </c:pt>
                <c:pt idx="386">
                  <c:v>2376</c:v>
                </c:pt>
                <c:pt idx="387">
                  <c:v>2351</c:v>
                </c:pt>
                <c:pt idx="388">
                  <c:v>2356</c:v>
                </c:pt>
                <c:pt idx="389">
                  <c:v>2383</c:v>
                </c:pt>
                <c:pt idx="390">
                  <c:v>2390</c:v>
                </c:pt>
                <c:pt idx="391">
                  <c:v>2391</c:v>
                </c:pt>
                <c:pt idx="392">
                  <c:v>2378</c:v>
                </c:pt>
                <c:pt idx="393">
                  <c:v>2382</c:v>
                </c:pt>
                <c:pt idx="394">
                  <c:v>2394</c:v>
                </c:pt>
                <c:pt idx="395">
                  <c:v>2401</c:v>
                </c:pt>
                <c:pt idx="396">
                  <c:v>2408</c:v>
                </c:pt>
                <c:pt idx="397">
                  <c:v>2405</c:v>
                </c:pt>
                <c:pt idx="398">
                  <c:v>2399</c:v>
                </c:pt>
                <c:pt idx="399">
                  <c:v>2375</c:v>
                </c:pt>
                <c:pt idx="400">
                  <c:v>2381</c:v>
                </c:pt>
                <c:pt idx="401">
                  <c:v>2142</c:v>
                </c:pt>
                <c:pt idx="402">
                  <c:v>1181</c:v>
                </c:pt>
                <c:pt idx="403">
                  <c:v>1727</c:v>
                </c:pt>
                <c:pt idx="404">
                  <c:v>1765</c:v>
                </c:pt>
                <c:pt idx="405">
                  <c:v>1656</c:v>
                </c:pt>
                <c:pt idx="406">
                  <c:v>2027</c:v>
                </c:pt>
                <c:pt idx="407">
                  <c:v>2259</c:v>
                </c:pt>
                <c:pt idx="408">
                  <c:v>1275</c:v>
                </c:pt>
                <c:pt idx="409">
                  <c:v>1700</c:v>
                </c:pt>
                <c:pt idx="410">
                  <c:v>1678</c:v>
                </c:pt>
                <c:pt idx="411">
                  <c:v>2102</c:v>
                </c:pt>
                <c:pt idx="412">
                  <c:v>1687</c:v>
                </c:pt>
                <c:pt idx="413">
                  <c:v>2370</c:v>
                </c:pt>
                <c:pt idx="414">
                  <c:v>2400</c:v>
                </c:pt>
                <c:pt idx="415">
                  <c:v>2396</c:v>
                </c:pt>
                <c:pt idx="416">
                  <c:v>2379</c:v>
                </c:pt>
                <c:pt idx="417">
                  <c:v>2398</c:v>
                </c:pt>
                <c:pt idx="418">
                  <c:v>2380</c:v>
                </c:pt>
                <c:pt idx="419">
                  <c:v>2404</c:v>
                </c:pt>
                <c:pt idx="420">
                  <c:v>2391</c:v>
                </c:pt>
                <c:pt idx="421">
                  <c:v>2394</c:v>
                </c:pt>
                <c:pt idx="422">
                  <c:v>2410</c:v>
                </c:pt>
                <c:pt idx="423">
                  <c:v>2404</c:v>
                </c:pt>
                <c:pt idx="424">
                  <c:v>2406</c:v>
                </c:pt>
                <c:pt idx="425">
                  <c:v>2396</c:v>
                </c:pt>
                <c:pt idx="426">
                  <c:v>2400</c:v>
                </c:pt>
                <c:pt idx="427">
                  <c:v>2399</c:v>
                </c:pt>
                <c:pt idx="428">
                  <c:v>2343</c:v>
                </c:pt>
                <c:pt idx="429">
                  <c:v>1754</c:v>
                </c:pt>
                <c:pt idx="430">
                  <c:v>1736</c:v>
                </c:pt>
                <c:pt idx="431">
                  <c:v>1719</c:v>
                </c:pt>
                <c:pt idx="432">
                  <c:v>2087</c:v>
                </c:pt>
                <c:pt idx="433">
                  <c:v>2250</c:v>
                </c:pt>
                <c:pt idx="434">
                  <c:v>1612</c:v>
                </c:pt>
                <c:pt idx="435">
                  <c:v>1608</c:v>
                </c:pt>
                <c:pt idx="436">
                  <c:v>2156</c:v>
                </c:pt>
                <c:pt idx="437">
                  <c:v>2294</c:v>
                </c:pt>
                <c:pt idx="438">
                  <c:v>1566</c:v>
                </c:pt>
                <c:pt idx="439">
                  <c:v>1825</c:v>
                </c:pt>
                <c:pt idx="440">
                  <c:v>2391</c:v>
                </c:pt>
                <c:pt idx="441">
                  <c:v>2400</c:v>
                </c:pt>
                <c:pt idx="442">
                  <c:v>2370</c:v>
                </c:pt>
                <c:pt idx="443">
                  <c:v>2357</c:v>
                </c:pt>
                <c:pt idx="444">
                  <c:v>2344</c:v>
                </c:pt>
                <c:pt idx="445">
                  <c:v>2333</c:v>
                </c:pt>
                <c:pt idx="446">
                  <c:v>2337</c:v>
                </c:pt>
                <c:pt idx="447">
                  <c:v>2316</c:v>
                </c:pt>
                <c:pt idx="448">
                  <c:v>2319</c:v>
                </c:pt>
                <c:pt idx="449">
                  <c:v>2341</c:v>
                </c:pt>
                <c:pt idx="450">
                  <c:v>2333</c:v>
                </c:pt>
                <c:pt idx="451">
                  <c:v>2349</c:v>
                </c:pt>
                <c:pt idx="452">
                  <c:v>2343</c:v>
                </c:pt>
                <c:pt idx="453">
                  <c:v>2350</c:v>
                </c:pt>
                <c:pt idx="454">
                  <c:v>2326</c:v>
                </c:pt>
                <c:pt idx="455">
                  <c:v>1520</c:v>
                </c:pt>
                <c:pt idx="456">
                  <c:v>1731</c:v>
                </c:pt>
                <c:pt idx="457">
                  <c:v>1603</c:v>
                </c:pt>
                <c:pt idx="458">
                  <c:v>1418</c:v>
                </c:pt>
                <c:pt idx="459">
                  <c:v>1731</c:v>
                </c:pt>
                <c:pt idx="460">
                  <c:v>1894</c:v>
                </c:pt>
                <c:pt idx="461">
                  <c:v>1506</c:v>
                </c:pt>
                <c:pt idx="462">
                  <c:v>1646</c:v>
                </c:pt>
                <c:pt idx="463">
                  <c:v>1654</c:v>
                </c:pt>
                <c:pt idx="464">
                  <c:v>1312</c:v>
                </c:pt>
                <c:pt idx="465">
                  <c:v>1041</c:v>
                </c:pt>
                <c:pt idx="466">
                  <c:v>1043</c:v>
                </c:pt>
                <c:pt idx="467">
                  <c:v>1072</c:v>
                </c:pt>
                <c:pt idx="468">
                  <c:v>2243</c:v>
                </c:pt>
                <c:pt idx="469">
                  <c:v>2355</c:v>
                </c:pt>
                <c:pt idx="470">
                  <c:v>2334</c:v>
                </c:pt>
                <c:pt idx="471">
                  <c:v>2351</c:v>
                </c:pt>
                <c:pt idx="472">
                  <c:v>2341</c:v>
                </c:pt>
                <c:pt idx="473">
                  <c:v>2339</c:v>
                </c:pt>
                <c:pt idx="474">
                  <c:v>2329</c:v>
                </c:pt>
                <c:pt idx="475">
                  <c:v>2343</c:v>
                </c:pt>
                <c:pt idx="476">
                  <c:v>2340</c:v>
                </c:pt>
                <c:pt idx="477">
                  <c:v>2325</c:v>
                </c:pt>
                <c:pt idx="478">
                  <c:v>2343</c:v>
                </c:pt>
                <c:pt idx="479">
                  <c:v>2340</c:v>
                </c:pt>
                <c:pt idx="480">
                  <c:v>2352</c:v>
                </c:pt>
                <c:pt idx="481">
                  <c:v>2338</c:v>
                </c:pt>
                <c:pt idx="482">
                  <c:v>2346</c:v>
                </c:pt>
                <c:pt idx="483">
                  <c:v>2367</c:v>
                </c:pt>
                <c:pt idx="484">
                  <c:v>2345</c:v>
                </c:pt>
                <c:pt idx="485">
                  <c:v>2354</c:v>
                </c:pt>
                <c:pt idx="486">
                  <c:v>2361</c:v>
                </c:pt>
                <c:pt idx="487">
                  <c:v>2370</c:v>
                </c:pt>
                <c:pt idx="488">
                  <c:v>2394</c:v>
                </c:pt>
                <c:pt idx="489">
                  <c:v>2384</c:v>
                </c:pt>
                <c:pt idx="490">
                  <c:v>2377</c:v>
                </c:pt>
                <c:pt idx="491">
                  <c:v>2364</c:v>
                </c:pt>
                <c:pt idx="492">
                  <c:v>1722</c:v>
                </c:pt>
                <c:pt idx="493">
                  <c:v>1418</c:v>
                </c:pt>
                <c:pt idx="494">
                  <c:v>1613</c:v>
                </c:pt>
                <c:pt idx="495">
                  <c:v>1164</c:v>
                </c:pt>
                <c:pt idx="496">
                  <c:v>982</c:v>
                </c:pt>
                <c:pt idx="497">
                  <c:v>976</c:v>
                </c:pt>
                <c:pt idx="498">
                  <c:v>984</c:v>
                </c:pt>
                <c:pt idx="499">
                  <c:v>980</c:v>
                </c:pt>
                <c:pt idx="500">
                  <c:v>991</c:v>
                </c:pt>
                <c:pt idx="501">
                  <c:v>1338</c:v>
                </c:pt>
                <c:pt idx="502">
                  <c:v>2073</c:v>
                </c:pt>
                <c:pt idx="503">
                  <c:v>2377</c:v>
                </c:pt>
                <c:pt idx="504">
                  <c:v>2374</c:v>
                </c:pt>
                <c:pt idx="505">
                  <c:v>2382</c:v>
                </c:pt>
                <c:pt idx="506">
                  <c:v>2397</c:v>
                </c:pt>
                <c:pt idx="507">
                  <c:v>2399</c:v>
                </c:pt>
                <c:pt idx="508">
                  <c:v>2398</c:v>
                </c:pt>
                <c:pt idx="509">
                  <c:v>2404</c:v>
                </c:pt>
                <c:pt idx="510">
                  <c:v>2410</c:v>
                </c:pt>
                <c:pt idx="511">
                  <c:v>2392</c:v>
                </c:pt>
                <c:pt idx="512">
                  <c:v>2393</c:v>
                </c:pt>
                <c:pt idx="513">
                  <c:v>2409</c:v>
                </c:pt>
                <c:pt idx="514">
                  <c:v>2394</c:v>
                </c:pt>
                <c:pt idx="515">
                  <c:v>2412</c:v>
                </c:pt>
                <c:pt idx="516">
                  <c:v>2412</c:v>
                </c:pt>
                <c:pt idx="517">
                  <c:v>2415</c:v>
                </c:pt>
                <c:pt idx="518">
                  <c:v>2399</c:v>
                </c:pt>
                <c:pt idx="519">
                  <c:v>2373</c:v>
                </c:pt>
                <c:pt idx="520">
                  <c:v>2378</c:v>
                </c:pt>
                <c:pt idx="521">
                  <c:v>2380</c:v>
                </c:pt>
                <c:pt idx="522">
                  <c:v>2387</c:v>
                </c:pt>
                <c:pt idx="523">
                  <c:v>2375</c:v>
                </c:pt>
                <c:pt idx="524">
                  <c:v>1418</c:v>
                </c:pt>
                <c:pt idx="525">
                  <c:v>1694</c:v>
                </c:pt>
                <c:pt idx="526">
                  <c:v>1537</c:v>
                </c:pt>
                <c:pt idx="527">
                  <c:v>1367</c:v>
                </c:pt>
                <c:pt idx="528">
                  <c:v>973</c:v>
                </c:pt>
                <c:pt idx="529">
                  <c:v>1003</c:v>
                </c:pt>
                <c:pt idx="530">
                  <c:v>979</c:v>
                </c:pt>
                <c:pt idx="531">
                  <c:v>1033</c:v>
                </c:pt>
                <c:pt idx="532">
                  <c:v>2038</c:v>
                </c:pt>
                <c:pt idx="533">
                  <c:v>2370</c:v>
                </c:pt>
                <c:pt idx="534">
                  <c:v>2391</c:v>
                </c:pt>
                <c:pt idx="535">
                  <c:v>2374</c:v>
                </c:pt>
                <c:pt idx="536">
                  <c:v>2373</c:v>
                </c:pt>
                <c:pt idx="537">
                  <c:v>2389</c:v>
                </c:pt>
                <c:pt idx="538">
                  <c:v>2366</c:v>
                </c:pt>
                <c:pt idx="539">
                  <c:v>2374</c:v>
                </c:pt>
                <c:pt idx="540">
                  <c:v>2376</c:v>
                </c:pt>
                <c:pt idx="541">
                  <c:v>2370</c:v>
                </c:pt>
                <c:pt idx="542">
                  <c:v>2371</c:v>
                </c:pt>
                <c:pt idx="543">
                  <c:v>2362</c:v>
                </c:pt>
                <c:pt idx="544">
                  <c:v>2366</c:v>
                </c:pt>
                <c:pt idx="545">
                  <c:v>2376</c:v>
                </c:pt>
                <c:pt idx="546">
                  <c:v>2409</c:v>
                </c:pt>
                <c:pt idx="547">
                  <c:v>2370</c:v>
                </c:pt>
                <c:pt idx="548">
                  <c:v>2364</c:v>
                </c:pt>
                <c:pt idx="549">
                  <c:v>2361</c:v>
                </c:pt>
                <c:pt idx="550">
                  <c:v>2382</c:v>
                </c:pt>
                <c:pt idx="551">
                  <c:v>2332</c:v>
                </c:pt>
                <c:pt idx="552">
                  <c:v>2179</c:v>
                </c:pt>
                <c:pt idx="553">
                  <c:v>1336</c:v>
                </c:pt>
                <c:pt idx="554">
                  <c:v>1797</c:v>
                </c:pt>
                <c:pt idx="555">
                  <c:v>1755</c:v>
                </c:pt>
                <c:pt idx="556">
                  <c:v>1640</c:v>
                </c:pt>
                <c:pt idx="557">
                  <c:v>2018</c:v>
                </c:pt>
                <c:pt idx="558">
                  <c:v>2291</c:v>
                </c:pt>
                <c:pt idx="559">
                  <c:v>1658</c:v>
                </c:pt>
                <c:pt idx="560">
                  <c:v>2152</c:v>
                </c:pt>
                <c:pt idx="561">
                  <c:v>2399</c:v>
                </c:pt>
                <c:pt idx="562">
                  <c:v>2399</c:v>
                </c:pt>
                <c:pt idx="563">
                  <c:v>2403</c:v>
                </c:pt>
                <c:pt idx="564">
                  <c:v>2402</c:v>
                </c:pt>
                <c:pt idx="565">
                  <c:v>2391</c:v>
                </c:pt>
                <c:pt idx="566">
                  <c:v>2399</c:v>
                </c:pt>
                <c:pt idx="567">
                  <c:v>2392</c:v>
                </c:pt>
                <c:pt idx="568">
                  <c:v>2390</c:v>
                </c:pt>
                <c:pt idx="569">
                  <c:v>2403</c:v>
                </c:pt>
                <c:pt idx="570">
                  <c:v>2405</c:v>
                </c:pt>
                <c:pt idx="571">
                  <c:v>2155</c:v>
                </c:pt>
                <c:pt idx="572">
                  <c:v>1326</c:v>
                </c:pt>
                <c:pt idx="573">
                  <c:v>1780</c:v>
                </c:pt>
                <c:pt idx="574">
                  <c:v>1750</c:v>
                </c:pt>
                <c:pt idx="575">
                  <c:v>1834</c:v>
                </c:pt>
                <c:pt idx="576">
                  <c:v>2129</c:v>
                </c:pt>
                <c:pt idx="577">
                  <c:v>2134</c:v>
                </c:pt>
                <c:pt idx="578">
                  <c:v>1739</c:v>
                </c:pt>
                <c:pt idx="579">
                  <c:v>1560</c:v>
                </c:pt>
                <c:pt idx="580">
                  <c:v>2087</c:v>
                </c:pt>
                <c:pt idx="581">
                  <c:v>2318</c:v>
                </c:pt>
                <c:pt idx="582">
                  <c:v>2371</c:v>
                </c:pt>
                <c:pt idx="583">
                  <c:v>2380</c:v>
                </c:pt>
                <c:pt idx="584">
                  <c:v>2385</c:v>
                </c:pt>
                <c:pt idx="585">
                  <c:v>2392</c:v>
                </c:pt>
                <c:pt idx="586">
                  <c:v>2390</c:v>
                </c:pt>
                <c:pt idx="587">
                  <c:v>2379</c:v>
                </c:pt>
                <c:pt idx="588">
                  <c:v>2392</c:v>
                </c:pt>
                <c:pt idx="589">
                  <c:v>2377</c:v>
                </c:pt>
                <c:pt idx="590">
                  <c:v>2392</c:v>
                </c:pt>
                <c:pt idx="591">
                  <c:v>2387</c:v>
                </c:pt>
                <c:pt idx="592">
                  <c:v>2384</c:v>
                </c:pt>
                <c:pt idx="593">
                  <c:v>2389</c:v>
                </c:pt>
                <c:pt idx="594">
                  <c:v>2388</c:v>
                </c:pt>
                <c:pt idx="595">
                  <c:v>2375</c:v>
                </c:pt>
                <c:pt idx="596">
                  <c:v>2380</c:v>
                </c:pt>
                <c:pt idx="597">
                  <c:v>2386</c:v>
                </c:pt>
                <c:pt idx="598">
                  <c:v>2415</c:v>
                </c:pt>
                <c:pt idx="599">
                  <c:v>2404</c:v>
                </c:pt>
                <c:pt idx="600">
                  <c:v>2398</c:v>
                </c:pt>
                <c:pt idx="601">
                  <c:v>2401</c:v>
                </c:pt>
                <c:pt idx="602">
                  <c:v>2391</c:v>
                </c:pt>
                <c:pt idx="603">
                  <c:v>2374</c:v>
                </c:pt>
                <c:pt idx="604">
                  <c:v>2399</c:v>
                </c:pt>
                <c:pt idx="605">
                  <c:v>1885</c:v>
                </c:pt>
                <c:pt idx="606">
                  <c:v>1466</c:v>
                </c:pt>
                <c:pt idx="607">
                  <c:v>1662</c:v>
                </c:pt>
                <c:pt idx="608">
                  <c:v>1694</c:v>
                </c:pt>
                <c:pt idx="609">
                  <c:v>1600</c:v>
                </c:pt>
                <c:pt idx="610">
                  <c:v>1860</c:v>
                </c:pt>
                <c:pt idx="611">
                  <c:v>1884</c:v>
                </c:pt>
                <c:pt idx="612">
                  <c:v>1645</c:v>
                </c:pt>
                <c:pt idx="613">
                  <c:v>1348</c:v>
                </c:pt>
                <c:pt idx="614">
                  <c:v>1536</c:v>
                </c:pt>
                <c:pt idx="615">
                  <c:v>1166</c:v>
                </c:pt>
                <c:pt idx="616">
                  <c:v>964</c:v>
                </c:pt>
                <c:pt idx="617">
                  <c:v>1263</c:v>
                </c:pt>
                <c:pt idx="618">
                  <c:v>2383</c:v>
                </c:pt>
                <c:pt idx="619">
                  <c:v>2368</c:v>
                </c:pt>
                <c:pt idx="620">
                  <c:v>2367</c:v>
                </c:pt>
                <c:pt idx="621">
                  <c:v>2393</c:v>
                </c:pt>
                <c:pt idx="622">
                  <c:v>2386</c:v>
                </c:pt>
                <c:pt idx="623">
                  <c:v>2400</c:v>
                </c:pt>
                <c:pt idx="624">
                  <c:v>2414</c:v>
                </c:pt>
                <c:pt idx="625">
                  <c:v>2414</c:v>
                </c:pt>
                <c:pt idx="626">
                  <c:v>2388</c:v>
                </c:pt>
                <c:pt idx="627">
                  <c:v>2395</c:v>
                </c:pt>
                <c:pt idx="628">
                  <c:v>2409</c:v>
                </c:pt>
                <c:pt idx="629">
                  <c:v>2401</c:v>
                </c:pt>
                <c:pt idx="630">
                  <c:v>2399</c:v>
                </c:pt>
                <c:pt idx="631">
                  <c:v>2391</c:v>
                </c:pt>
                <c:pt idx="632">
                  <c:v>2403</c:v>
                </c:pt>
                <c:pt idx="633">
                  <c:v>2406</c:v>
                </c:pt>
                <c:pt idx="634">
                  <c:v>2398</c:v>
                </c:pt>
                <c:pt idx="635">
                  <c:v>2395</c:v>
                </c:pt>
                <c:pt idx="636">
                  <c:v>2390</c:v>
                </c:pt>
                <c:pt idx="637">
                  <c:v>2388</c:v>
                </c:pt>
                <c:pt idx="638">
                  <c:v>2382</c:v>
                </c:pt>
                <c:pt idx="639">
                  <c:v>2364</c:v>
                </c:pt>
                <c:pt idx="640">
                  <c:v>2357</c:v>
                </c:pt>
                <c:pt idx="641">
                  <c:v>2372</c:v>
                </c:pt>
                <c:pt idx="642">
                  <c:v>2374</c:v>
                </c:pt>
                <c:pt idx="643">
                  <c:v>2397</c:v>
                </c:pt>
                <c:pt idx="644">
                  <c:v>2416</c:v>
                </c:pt>
                <c:pt idx="645">
                  <c:v>2406</c:v>
                </c:pt>
                <c:pt idx="646">
                  <c:v>2419</c:v>
                </c:pt>
                <c:pt idx="647">
                  <c:v>2423</c:v>
                </c:pt>
                <c:pt idx="648">
                  <c:v>2243</c:v>
                </c:pt>
                <c:pt idx="649">
                  <c:v>1217</c:v>
                </c:pt>
                <c:pt idx="650">
                  <c:v>995</c:v>
                </c:pt>
                <c:pt idx="651">
                  <c:v>1038</c:v>
                </c:pt>
                <c:pt idx="652">
                  <c:v>1033</c:v>
                </c:pt>
                <c:pt idx="653">
                  <c:v>1043</c:v>
                </c:pt>
                <c:pt idx="654">
                  <c:v>1203</c:v>
                </c:pt>
                <c:pt idx="655">
                  <c:v>1529</c:v>
                </c:pt>
                <c:pt idx="656">
                  <c:v>1024</c:v>
                </c:pt>
                <c:pt idx="657">
                  <c:v>988</c:v>
                </c:pt>
                <c:pt idx="658">
                  <c:v>991</c:v>
                </c:pt>
                <c:pt idx="659">
                  <c:v>991</c:v>
                </c:pt>
                <c:pt idx="660">
                  <c:v>1884</c:v>
                </c:pt>
                <c:pt idx="661">
                  <c:v>2379</c:v>
                </c:pt>
                <c:pt idx="662">
                  <c:v>2392</c:v>
                </c:pt>
                <c:pt idx="663">
                  <c:v>2379</c:v>
                </c:pt>
                <c:pt idx="664">
                  <c:v>2367</c:v>
                </c:pt>
                <c:pt idx="665">
                  <c:v>2388</c:v>
                </c:pt>
                <c:pt idx="666">
                  <c:v>2373</c:v>
                </c:pt>
                <c:pt idx="667">
                  <c:v>2387</c:v>
                </c:pt>
                <c:pt idx="668">
                  <c:v>2372</c:v>
                </c:pt>
                <c:pt idx="669">
                  <c:v>2387</c:v>
                </c:pt>
                <c:pt idx="670">
                  <c:v>2378</c:v>
                </c:pt>
                <c:pt idx="671">
                  <c:v>2389</c:v>
                </c:pt>
                <c:pt idx="672">
                  <c:v>2381</c:v>
                </c:pt>
                <c:pt idx="673">
                  <c:v>2389</c:v>
                </c:pt>
                <c:pt idx="674">
                  <c:v>2395</c:v>
                </c:pt>
                <c:pt idx="675">
                  <c:v>2380</c:v>
                </c:pt>
                <c:pt idx="676">
                  <c:v>2404</c:v>
                </c:pt>
                <c:pt idx="677">
                  <c:v>2393</c:v>
                </c:pt>
                <c:pt idx="678">
                  <c:v>2412</c:v>
                </c:pt>
                <c:pt idx="679">
                  <c:v>2413</c:v>
                </c:pt>
                <c:pt idx="680">
                  <c:v>2416</c:v>
                </c:pt>
                <c:pt idx="681">
                  <c:v>2419</c:v>
                </c:pt>
                <c:pt idx="682">
                  <c:v>2422</c:v>
                </c:pt>
                <c:pt idx="683">
                  <c:v>2401</c:v>
                </c:pt>
                <c:pt idx="684">
                  <c:v>2404</c:v>
                </c:pt>
                <c:pt idx="685">
                  <c:v>2408</c:v>
                </c:pt>
                <c:pt idx="686">
                  <c:v>2406</c:v>
                </c:pt>
                <c:pt idx="687">
                  <c:v>2405</c:v>
                </c:pt>
                <c:pt idx="688">
                  <c:v>2393</c:v>
                </c:pt>
                <c:pt idx="689">
                  <c:v>2382</c:v>
                </c:pt>
                <c:pt idx="690">
                  <c:v>2402</c:v>
                </c:pt>
                <c:pt idx="691">
                  <c:v>2405</c:v>
                </c:pt>
                <c:pt idx="692">
                  <c:v>2415</c:v>
                </c:pt>
                <c:pt idx="693">
                  <c:v>2412</c:v>
                </c:pt>
                <c:pt idx="694">
                  <c:v>2395</c:v>
                </c:pt>
                <c:pt idx="695">
                  <c:v>2412</c:v>
                </c:pt>
                <c:pt idx="696">
                  <c:v>2396</c:v>
                </c:pt>
                <c:pt idx="697">
                  <c:v>2389</c:v>
                </c:pt>
                <c:pt idx="698">
                  <c:v>2405</c:v>
                </c:pt>
                <c:pt idx="699">
                  <c:v>2412</c:v>
                </c:pt>
                <c:pt idx="700">
                  <c:v>2315</c:v>
                </c:pt>
                <c:pt idx="701">
                  <c:v>957</c:v>
                </c:pt>
                <c:pt idx="702">
                  <c:v>977</c:v>
                </c:pt>
                <c:pt idx="703">
                  <c:v>1312</c:v>
                </c:pt>
                <c:pt idx="704">
                  <c:v>1439</c:v>
                </c:pt>
                <c:pt idx="705">
                  <c:v>994</c:v>
                </c:pt>
                <c:pt idx="706">
                  <c:v>989</c:v>
                </c:pt>
                <c:pt idx="707">
                  <c:v>1033</c:v>
                </c:pt>
                <c:pt idx="708">
                  <c:v>1028</c:v>
                </c:pt>
                <c:pt idx="709">
                  <c:v>1927</c:v>
                </c:pt>
                <c:pt idx="710">
                  <c:v>2376</c:v>
                </c:pt>
                <c:pt idx="711">
                  <c:v>2387</c:v>
                </c:pt>
                <c:pt idx="712">
                  <c:v>2385</c:v>
                </c:pt>
                <c:pt idx="713">
                  <c:v>2385</c:v>
                </c:pt>
                <c:pt idx="714">
                  <c:v>2378</c:v>
                </c:pt>
                <c:pt idx="715">
                  <c:v>2383</c:v>
                </c:pt>
                <c:pt idx="716">
                  <c:v>2396</c:v>
                </c:pt>
                <c:pt idx="717">
                  <c:v>2413</c:v>
                </c:pt>
                <c:pt idx="718">
                  <c:v>2415</c:v>
                </c:pt>
                <c:pt idx="719">
                  <c:v>2406</c:v>
                </c:pt>
                <c:pt idx="720">
                  <c:v>2404</c:v>
                </c:pt>
                <c:pt idx="721">
                  <c:v>2409</c:v>
                </c:pt>
                <c:pt idx="722">
                  <c:v>2413</c:v>
                </c:pt>
                <c:pt idx="723">
                  <c:v>2406</c:v>
                </c:pt>
                <c:pt idx="724">
                  <c:v>2406</c:v>
                </c:pt>
                <c:pt idx="725">
                  <c:v>2405</c:v>
                </c:pt>
                <c:pt idx="726">
                  <c:v>2406</c:v>
                </c:pt>
                <c:pt idx="727">
                  <c:v>2403</c:v>
                </c:pt>
                <c:pt idx="728">
                  <c:v>2366</c:v>
                </c:pt>
                <c:pt idx="729">
                  <c:v>2395</c:v>
                </c:pt>
                <c:pt idx="730">
                  <c:v>2376</c:v>
                </c:pt>
                <c:pt idx="731">
                  <c:v>2385</c:v>
                </c:pt>
                <c:pt idx="732">
                  <c:v>2402</c:v>
                </c:pt>
                <c:pt idx="733">
                  <c:v>2386</c:v>
                </c:pt>
                <c:pt idx="734">
                  <c:v>2379</c:v>
                </c:pt>
                <c:pt idx="735">
                  <c:v>2385</c:v>
                </c:pt>
                <c:pt idx="736">
                  <c:v>2370</c:v>
                </c:pt>
                <c:pt idx="737">
                  <c:v>2386</c:v>
                </c:pt>
                <c:pt idx="738">
                  <c:v>2384</c:v>
                </c:pt>
                <c:pt idx="739">
                  <c:v>2386</c:v>
                </c:pt>
                <c:pt idx="740">
                  <c:v>2409</c:v>
                </c:pt>
                <c:pt idx="741">
                  <c:v>2409</c:v>
                </c:pt>
                <c:pt idx="742">
                  <c:v>2416</c:v>
                </c:pt>
                <c:pt idx="743">
                  <c:v>1428</c:v>
                </c:pt>
                <c:pt idx="744">
                  <c:v>1588</c:v>
                </c:pt>
                <c:pt idx="745">
                  <c:v>1249</c:v>
                </c:pt>
                <c:pt idx="746">
                  <c:v>1012</c:v>
                </c:pt>
                <c:pt idx="747">
                  <c:v>1043</c:v>
                </c:pt>
                <c:pt idx="748">
                  <c:v>1039</c:v>
                </c:pt>
                <c:pt idx="749">
                  <c:v>994</c:v>
                </c:pt>
                <c:pt idx="750">
                  <c:v>1189</c:v>
                </c:pt>
                <c:pt idx="751">
                  <c:v>1853</c:v>
                </c:pt>
                <c:pt idx="752">
                  <c:v>2400</c:v>
                </c:pt>
                <c:pt idx="753">
                  <c:v>2397</c:v>
                </c:pt>
                <c:pt idx="754">
                  <c:v>2384</c:v>
                </c:pt>
                <c:pt idx="755">
                  <c:v>2387</c:v>
                </c:pt>
                <c:pt idx="756">
                  <c:v>2385</c:v>
                </c:pt>
                <c:pt idx="757">
                  <c:v>2390</c:v>
                </c:pt>
                <c:pt idx="758">
                  <c:v>2385</c:v>
                </c:pt>
                <c:pt idx="759">
                  <c:v>2382</c:v>
                </c:pt>
                <c:pt idx="760">
                  <c:v>2398</c:v>
                </c:pt>
                <c:pt idx="761">
                  <c:v>2411</c:v>
                </c:pt>
                <c:pt idx="762">
                  <c:v>2424</c:v>
                </c:pt>
                <c:pt idx="763">
                  <c:v>2415</c:v>
                </c:pt>
                <c:pt idx="764">
                  <c:v>2367</c:v>
                </c:pt>
                <c:pt idx="765">
                  <c:v>2391</c:v>
                </c:pt>
                <c:pt idx="766">
                  <c:v>2390</c:v>
                </c:pt>
                <c:pt idx="767">
                  <c:v>2409</c:v>
                </c:pt>
                <c:pt idx="768">
                  <c:v>2410</c:v>
                </c:pt>
                <c:pt idx="769">
                  <c:v>2400</c:v>
                </c:pt>
                <c:pt idx="770">
                  <c:v>2390</c:v>
                </c:pt>
                <c:pt idx="771">
                  <c:v>2389</c:v>
                </c:pt>
                <c:pt idx="772">
                  <c:v>2401</c:v>
                </c:pt>
                <c:pt idx="773">
                  <c:v>2404</c:v>
                </c:pt>
                <c:pt idx="774">
                  <c:v>2383</c:v>
                </c:pt>
                <c:pt idx="775">
                  <c:v>2364</c:v>
                </c:pt>
                <c:pt idx="776">
                  <c:v>2366</c:v>
                </c:pt>
                <c:pt idx="777">
                  <c:v>2378</c:v>
                </c:pt>
                <c:pt idx="778">
                  <c:v>2382</c:v>
                </c:pt>
                <c:pt idx="779">
                  <c:v>2367</c:v>
                </c:pt>
                <c:pt idx="780">
                  <c:v>2387</c:v>
                </c:pt>
                <c:pt idx="781">
                  <c:v>2406</c:v>
                </c:pt>
                <c:pt idx="782">
                  <c:v>2406</c:v>
                </c:pt>
                <c:pt idx="783">
                  <c:v>2403</c:v>
                </c:pt>
                <c:pt idx="784">
                  <c:v>1708</c:v>
                </c:pt>
                <c:pt idx="785">
                  <c:v>1374</c:v>
                </c:pt>
                <c:pt idx="786">
                  <c:v>1500</c:v>
                </c:pt>
                <c:pt idx="787">
                  <c:v>1105</c:v>
                </c:pt>
                <c:pt idx="788">
                  <c:v>985</c:v>
                </c:pt>
                <c:pt idx="789">
                  <c:v>993</c:v>
                </c:pt>
                <c:pt idx="790">
                  <c:v>1016</c:v>
                </c:pt>
                <c:pt idx="791">
                  <c:v>1035</c:v>
                </c:pt>
                <c:pt idx="792">
                  <c:v>1382</c:v>
                </c:pt>
                <c:pt idx="793">
                  <c:v>2060</c:v>
                </c:pt>
                <c:pt idx="794">
                  <c:v>2405</c:v>
                </c:pt>
                <c:pt idx="795">
                  <c:v>2369</c:v>
                </c:pt>
                <c:pt idx="796">
                  <c:v>2377</c:v>
                </c:pt>
                <c:pt idx="797">
                  <c:v>2390</c:v>
                </c:pt>
                <c:pt idx="798">
                  <c:v>2380</c:v>
                </c:pt>
                <c:pt idx="799">
                  <c:v>2392</c:v>
                </c:pt>
                <c:pt idx="800">
                  <c:v>2379</c:v>
                </c:pt>
                <c:pt idx="801">
                  <c:v>2381</c:v>
                </c:pt>
                <c:pt idx="802">
                  <c:v>2380</c:v>
                </c:pt>
                <c:pt idx="803">
                  <c:v>2371</c:v>
                </c:pt>
                <c:pt idx="804">
                  <c:v>2369</c:v>
                </c:pt>
                <c:pt idx="805">
                  <c:v>2390</c:v>
                </c:pt>
                <c:pt idx="806">
                  <c:v>2375</c:v>
                </c:pt>
                <c:pt idx="807">
                  <c:v>2374</c:v>
                </c:pt>
                <c:pt idx="808">
                  <c:v>2398</c:v>
                </c:pt>
                <c:pt idx="809">
                  <c:v>2391</c:v>
                </c:pt>
                <c:pt idx="810">
                  <c:v>2391</c:v>
                </c:pt>
                <c:pt idx="811">
                  <c:v>2401</c:v>
                </c:pt>
                <c:pt idx="812">
                  <c:v>2382</c:v>
                </c:pt>
                <c:pt idx="813">
                  <c:v>2414</c:v>
                </c:pt>
                <c:pt idx="814">
                  <c:v>2410</c:v>
                </c:pt>
                <c:pt idx="815">
                  <c:v>2368</c:v>
                </c:pt>
                <c:pt idx="816">
                  <c:v>2396</c:v>
                </c:pt>
                <c:pt idx="817">
                  <c:v>2413</c:v>
                </c:pt>
                <c:pt idx="818">
                  <c:v>2415</c:v>
                </c:pt>
                <c:pt idx="819">
                  <c:v>2402</c:v>
                </c:pt>
                <c:pt idx="820">
                  <c:v>2383</c:v>
                </c:pt>
                <c:pt idx="821">
                  <c:v>2389</c:v>
                </c:pt>
                <c:pt idx="822">
                  <c:v>2394</c:v>
                </c:pt>
                <c:pt idx="823">
                  <c:v>2382</c:v>
                </c:pt>
                <c:pt idx="824">
                  <c:v>2383</c:v>
                </c:pt>
                <c:pt idx="825">
                  <c:v>2397</c:v>
                </c:pt>
                <c:pt idx="826">
                  <c:v>2389</c:v>
                </c:pt>
                <c:pt idx="827">
                  <c:v>1731</c:v>
                </c:pt>
                <c:pt idx="828">
                  <c:v>1157</c:v>
                </c:pt>
                <c:pt idx="829">
                  <c:v>997</c:v>
                </c:pt>
                <c:pt idx="830">
                  <c:v>983</c:v>
                </c:pt>
                <c:pt idx="831">
                  <c:v>1023</c:v>
                </c:pt>
                <c:pt idx="832">
                  <c:v>1011</c:v>
                </c:pt>
                <c:pt idx="833">
                  <c:v>1225</c:v>
                </c:pt>
                <c:pt idx="834">
                  <c:v>1500</c:v>
                </c:pt>
                <c:pt idx="835">
                  <c:v>1009</c:v>
                </c:pt>
                <c:pt idx="836">
                  <c:v>2313</c:v>
                </c:pt>
                <c:pt idx="837">
                  <c:v>2386</c:v>
                </c:pt>
                <c:pt idx="838">
                  <c:v>2370</c:v>
                </c:pt>
                <c:pt idx="839">
                  <c:v>2394</c:v>
                </c:pt>
                <c:pt idx="840">
                  <c:v>2378</c:v>
                </c:pt>
                <c:pt idx="841">
                  <c:v>2385</c:v>
                </c:pt>
                <c:pt idx="842">
                  <c:v>2408</c:v>
                </c:pt>
                <c:pt idx="843">
                  <c:v>2385</c:v>
                </c:pt>
                <c:pt idx="844">
                  <c:v>2360</c:v>
                </c:pt>
                <c:pt idx="845">
                  <c:v>2379</c:v>
                </c:pt>
                <c:pt idx="846">
                  <c:v>2370</c:v>
                </c:pt>
                <c:pt idx="847">
                  <c:v>2386</c:v>
                </c:pt>
                <c:pt idx="848">
                  <c:v>2381</c:v>
                </c:pt>
                <c:pt idx="849">
                  <c:v>2397</c:v>
                </c:pt>
                <c:pt idx="850">
                  <c:v>2381</c:v>
                </c:pt>
                <c:pt idx="851">
                  <c:v>2395</c:v>
                </c:pt>
                <c:pt idx="852">
                  <c:v>2397</c:v>
                </c:pt>
                <c:pt idx="853">
                  <c:v>2388</c:v>
                </c:pt>
                <c:pt idx="854">
                  <c:v>2374</c:v>
                </c:pt>
                <c:pt idx="855">
                  <c:v>2372</c:v>
                </c:pt>
                <c:pt idx="856">
                  <c:v>2394</c:v>
                </c:pt>
                <c:pt idx="857">
                  <c:v>2374</c:v>
                </c:pt>
                <c:pt idx="858">
                  <c:v>2419</c:v>
                </c:pt>
                <c:pt idx="859">
                  <c:v>2427</c:v>
                </c:pt>
                <c:pt idx="860">
                  <c:v>2410</c:v>
                </c:pt>
                <c:pt idx="861">
                  <c:v>2425</c:v>
                </c:pt>
                <c:pt idx="862">
                  <c:v>2426</c:v>
                </c:pt>
                <c:pt idx="863">
                  <c:v>2426</c:v>
                </c:pt>
                <c:pt idx="864">
                  <c:v>2385</c:v>
                </c:pt>
                <c:pt idx="865">
                  <c:v>2404</c:v>
                </c:pt>
                <c:pt idx="866">
                  <c:v>2406</c:v>
                </c:pt>
                <c:pt idx="867">
                  <c:v>2395</c:v>
                </c:pt>
                <c:pt idx="868">
                  <c:v>2393</c:v>
                </c:pt>
                <c:pt idx="869">
                  <c:v>2395</c:v>
                </c:pt>
                <c:pt idx="870">
                  <c:v>2392</c:v>
                </c:pt>
                <c:pt idx="871">
                  <c:v>2377</c:v>
                </c:pt>
                <c:pt idx="872">
                  <c:v>2364</c:v>
                </c:pt>
                <c:pt idx="873">
                  <c:v>1785</c:v>
                </c:pt>
                <c:pt idx="874">
                  <c:v>1077</c:v>
                </c:pt>
                <c:pt idx="875">
                  <c:v>1099</c:v>
                </c:pt>
                <c:pt idx="876">
                  <c:v>1319</c:v>
                </c:pt>
                <c:pt idx="877">
                  <c:v>2379</c:v>
                </c:pt>
                <c:pt idx="878">
                  <c:v>2368</c:v>
                </c:pt>
                <c:pt idx="879">
                  <c:v>2366</c:v>
                </c:pt>
                <c:pt idx="880">
                  <c:v>2379</c:v>
                </c:pt>
                <c:pt idx="881">
                  <c:v>2388</c:v>
                </c:pt>
                <c:pt idx="882">
                  <c:v>2386</c:v>
                </c:pt>
                <c:pt idx="883">
                  <c:v>2393</c:v>
                </c:pt>
                <c:pt idx="884">
                  <c:v>2399</c:v>
                </c:pt>
                <c:pt idx="885">
                  <c:v>2390</c:v>
                </c:pt>
                <c:pt idx="886">
                  <c:v>2397</c:v>
                </c:pt>
                <c:pt idx="887">
                  <c:v>2381</c:v>
                </c:pt>
                <c:pt idx="888">
                  <c:v>2385</c:v>
                </c:pt>
                <c:pt idx="889">
                  <c:v>2407</c:v>
                </c:pt>
                <c:pt idx="890">
                  <c:v>2407</c:v>
                </c:pt>
                <c:pt idx="891">
                  <c:v>2409</c:v>
                </c:pt>
                <c:pt idx="892">
                  <c:v>2439</c:v>
                </c:pt>
                <c:pt idx="893">
                  <c:v>782</c:v>
                </c:pt>
                <c:pt idx="894">
                  <c:v>734</c:v>
                </c:pt>
                <c:pt idx="895">
                  <c:v>1073</c:v>
                </c:pt>
                <c:pt idx="896">
                  <c:v>1089</c:v>
                </c:pt>
                <c:pt idx="897">
                  <c:v>1082</c:v>
                </c:pt>
                <c:pt idx="898">
                  <c:v>1059</c:v>
                </c:pt>
                <c:pt idx="899">
                  <c:v>1095</c:v>
                </c:pt>
                <c:pt idx="900">
                  <c:v>1071</c:v>
                </c:pt>
                <c:pt idx="901">
                  <c:v>1077</c:v>
                </c:pt>
                <c:pt idx="902">
                  <c:v>1083</c:v>
                </c:pt>
                <c:pt idx="903">
                  <c:v>1117</c:v>
                </c:pt>
                <c:pt idx="904">
                  <c:v>1160</c:v>
                </c:pt>
                <c:pt idx="905">
                  <c:v>1163</c:v>
                </c:pt>
                <c:pt idx="906">
                  <c:v>1167</c:v>
                </c:pt>
                <c:pt idx="907">
                  <c:v>1113</c:v>
                </c:pt>
                <c:pt idx="908">
                  <c:v>0</c:v>
                </c:pt>
                <c:pt idx="909">
                  <c:v>0</c:v>
                </c:pt>
                <c:pt idx="910">
                  <c:v>0</c:v>
                </c:pt>
                <c:pt idx="911">
                  <c:v>0</c:v>
                </c:pt>
                <c:pt idx="912">
                  <c:v>0</c:v>
                </c:pt>
                <c:pt idx="913">
                  <c:v>0</c:v>
                </c:pt>
              </c:numCache>
            </c:numRef>
          </c:val>
          <c:smooth val="0"/>
          <c:extLst>
            <c:ext xmlns:c16="http://schemas.microsoft.com/office/drawing/2014/chart" uri="{C3380CC4-5D6E-409C-BE32-E72D297353CC}">
              <c16:uniqueId val="{00000002-5B2E-4D87-9DF5-FB3C8B84166E}"/>
            </c:ext>
          </c:extLst>
        </c:ser>
        <c:dLbls>
          <c:showLegendKey val="0"/>
          <c:showVal val="0"/>
          <c:showCatName val="0"/>
          <c:showSerName val="0"/>
          <c:showPercent val="0"/>
          <c:showBubbleSize val="0"/>
        </c:dLbls>
        <c:smooth val="0"/>
        <c:axId val="771485695"/>
        <c:axId val="837394431"/>
      </c:lineChart>
      <c:catAx>
        <c:axId val="7714856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7394431"/>
        <c:crosses val="autoZero"/>
        <c:auto val="1"/>
        <c:lblAlgn val="ctr"/>
        <c:lblOffset val="100"/>
        <c:noMultiLvlLbl val="0"/>
      </c:catAx>
      <c:valAx>
        <c:axId val="83739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1485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带宽占用情况</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带宽占用RocksDB!$R$1</c:f>
              <c:strCache>
                <c:ptCount val="1"/>
                <c:pt idx="0">
                  <c:v>128BKV</c:v>
                </c:pt>
              </c:strCache>
            </c:strRef>
          </c:tx>
          <c:spPr>
            <a:ln w="28575" cap="rnd">
              <a:solidFill>
                <a:schemeClr val="accent1"/>
              </a:solidFill>
              <a:round/>
            </a:ln>
            <a:effectLst/>
          </c:spPr>
          <c:marker>
            <c:symbol val="none"/>
          </c:marker>
          <c:val>
            <c:numRef>
              <c:f>带宽占用RocksDB!$R$2:$R$200</c:f>
              <c:numCache>
                <c:formatCode>General</c:formatCode>
                <c:ptCount val="199"/>
                <c:pt idx="0">
                  <c:v>0</c:v>
                </c:pt>
                <c:pt idx="1">
                  <c:v>28</c:v>
                </c:pt>
                <c:pt idx="2">
                  <c:v>92</c:v>
                </c:pt>
                <c:pt idx="3">
                  <c:v>44</c:v>
                </c:pt>
                <c:pt idx="4">
                  <c:v>88</c:v>
                </c:pt>
                <c:pt idx="5">
                  <c:v>92</c:v>
                </c:pt>
                <c:pt idx="6">
                  <c:v>76</c:v>
                </c:pt>
                <c:pt idx="7">
                  <c:v>469</c:v>
                </c:pt>
                <c:pt idx="8">
                  <c:v>88</c:v>
                </c:pt>
                <c:pt idx="9">
                  <c:v>92</c:v>
                </c:pt>
                <c:pt idx="10">
                  <c:v>40</c:v>
                </c:pt>
                <c:pt idx="11">
                  <c:v>96</c:v>
                </c:pt>
                <c:pt idx="12">
                  <c:v>242</c:v>
                </c:pt>
                <c:pt idx="13">
                  <c:v>608</c:v>
                </c:pt>
                <c:pt idx="14">
                  <c:v>199</c:v>
                </c:pt>
                <c:pt idx="15">
                  <c:v>88</c:v>
                </c:pt>
                <c:pt idx="16">
                  <c:v>92</c:v>
                </c:pt>
                <c:pt idx="17">
                  <c:v>40</c:v>
                </c:pt>
                <c:pt idx="18">
                  <c:v>438</c:v>
                </c:pt>
                <c:pt idx="19">
                  <c:v>593</c:v>
                </c:pt>
                <c:pt idx="20">
                  <c:v>40</c:v>
                </c:pt>
                <c:pt idx="21">
                  <c:v>88</c:v>
                </c:pt>
                <c:pt idx="22">
                  <c:v>92</c:v>
                </c:pt>
                <c:pt idx="23">
                  <c:v>44</c:v>
                </c:pt>
                <c:pt idx="24">
                  <c:v>536</c:v>
                </c:pt>
                <c:pt idx="25">
                  <c:v>644</c:v>
                </c:pt>
                <c:pt idx="26">
                  <c:v>444</c:v>
                </c:pt>
                <c:pt idx="27">
                  <c:v>73</c:v>
                </c:pt>
                <c:pt idx="28">
                  <c:v>92</c:v>
                </c:pt>
                <c:pt idx="29">
                  <c:v>73</c:v>
                </c:pt>
                <c:pt idx="30">
                  <c:v>594</c:v>
                </c:pt>
                <c:pt idx="31">
                  <c:v>653</c:v>
                </c:pt>
                <c:pt idx="32">
                  <c:v>644</c:v>
                </c:pt>
                <c:pt idx="33">
                  <c:v>200</c:v>
                </c:pt>
                <c:pt idx="34">
                  <c:v>88</c:v>
                </c:pt>
                <c:pt idx="35">
                  <c:v>36</c:v>
                </c:pt>
                <c:pt idx="36">
                  <c:v>518</c:v>
                </c:pt>
                <c:pt idx="37">
                  <c:v>662</c:v>
                </c:pt>
                <c:pt idx="38">
                  <c:v>632</c:v>
                </c:pt>
                <c:pt idx="39">
                  <c:v>376</c:v>
                </c:pt>
                <c:pt idx="40">
                  <c:v>88</c:v>
                </c:pt>
                <c:pt idx="41">
                  <c:v>36</c:v>
                </c:pt>
                <c:pt idx="42">
                  <c:v>441</c:v>
                </c:pt>
                <c:pt idx="43">
                  <c:v>670</c:v>
                </c:pt>
                <c:pt idx="44">
                  <c:v>660</c:v>
                </c:pt>
                <c:pt idx="45">
                  <c:v>620</c:v>
                </c:pt>
                <c:pt idx="46">
                  <c:v>88</c:v>
                </c:pt>
                <c:pt idx="47">
                  <c:v>40</c:v>
                </c:pt>
                <c:pt idx="48">
                  <c:v>390</c:v>
                </c:pt>
                <c:pt idx="49">
                  <c:v>617</c:v>
                </c:pt>
                <c:pt idx="50">
                  <c:v>629</c:v>
                </c:pt>
                <c:pt idx="51">
                  <c:v>713</c:v>
                </c:pt>
                <c:pt idx="52">
                  <c:v>540</c:v>
                </c:pt>
                <c:pt idx="53">
                  <c:v>40</c:v>
                </c:pt>
                <c:pt idx="54">
                  <c:v>439</c:v>
                </c:pt>
                <c:pt idx="55">
                  <c:v>619</c:v>
                </c:pt>
                <c:pt idx="56">
                  <c:v>671</c:v>
                </c:pt>
                <c:pt idx="57">
                  <c:v>679</c:v>
                </c:pt>
                <c:pt idx="58">
                  <c:v>715</c:v>
                </c:pt>
                <c:pt idx="59">
                  <c:v>371</c:v>
                </c:pt>
                <c:pt idx="60">
                  <c:v>586</c:v>
                </c:pt>
                <c:pt idx="61">
                  <c:v>652</c:v>
                </c:pt>
                <c:pt idx="62">
                  <c:v>692</c:v>
                </c:pt>
                <c:pt idx="63">
                  <c:v>634</c:v>
                </c:pt>
                <c:pt idx="64">
                  <c:v>275</c:v>
                </c:pt>
                <c:pt idx="65">
                  <c:v>159</c:v>
                </c:pt>
                <c:pt idx="66">
                  <c:v>580</c:v>
                </c:pt>
                <c:pt idx="67">
                  <c:v>623</c:v>
                </c:pt>
                <c:pt idx="68">
                  <c:v>708</c:v>
                </c:pt>
                <c:pt idx="69">
                  <c:v>586</c:v>
                </c:pt>
                <c:pt idx="70">
                  <c:v>88</c:v>
                </c:pt>
                <c:pt idx="71">
                  <c:v>159</c:v>
                </c:pt>
                <c:pt idx="72">
                  <c:v>559</c:v>
                </c:pt>
                <c:pt idx="73">
                  <c:v>616</c:v>
                </c:pt>
                <c:pt idx="74">
                  <c:v>641</c:v>
                </c:pt>
                <c:pt idx="75">
                  <c:v>591</c:v>
                </c:pt>
                <c:pt idx="76">
                  <c:v>664</c:v>
                </c:pt>
                <c:pt idx="77">
                  <c:v>468</c:v>
                </c:pt>
                <c:pt idx="78">
                  <c:v>559</c:v>
                </c:pt>
                <c:pt idx="79">
                  <c:v>637</c:v>
                </c:pt>
                <c:pt idx="80">
                  <c:v>658</c:v>
                </c:pt>
                <c:pt idx="81">
                  <c:v>634</c:v>
                </c:pt>
                <c:pt idx="82">
                  <c:v>565</c:v>
                </c:pt>
                <c:pt idx="83">
                  <c:v>216</c:v>
                </c:pt>
                <c:pt idx="84">
                  <c:v>568</c:v>
                </c:pt>
                <c:pt idx="85">
                  <c:v>644</c:v>
                </c:pt>
                <c:pt idx="86">
                  <c:v>699</c:v>
                </c:pt>
                <c:pt idx="87">
                  <c:v>648</c:v>
                </c:pt>
                <c:pt idx="88">
                  <c:v>620</c:v>
                </c:pt>
                <c:pt idx="89">
                  <c:v>347</c:v>
                </c:pt>
                <c:pt idx="90">
                  <c:v>630</c:v>
                </c:pt>
                <c:pt idx="91">
                  <c:v>644</c:v>
                </c:pt>
                <c:pt idx="92">
                  <c:v>709</c:v>
                </c:pt>
                <c:pt idx="93">
                  <c:v>700</c:v>
                </c:pt>
                <c:pt idx="94">
                  <c:v>672</c:v>
                </c:pt>
                <c:pt idx="95">
                  <c:v>657</c:v>
                </c:pt>
                <c:pt idx="96">
                  <c:v>638</c:v>
                </c:pt>
                <c:pt idx="97">
                  <c:v>589</c:v>
                </c:pt>
                <c:pt idx="98">
                  <c:v>721</c:v>
                </c:pt>
                <c:pt idx="99">
                  <c:v>690</c:v>
                </c:pt>
                <c:pt idx="100">
                  <c:v>629</c:v>
                </c:pt>
                <c:pt idx="101">
                  <c:v>681</c:v>
                </c:pt>
                <c:pt idx="102">
                  <c:v>629</c:v>
                </c:pt>
                <c:pt idx="103">
                  <c:v>632</c:v>
                </c:pt>
                <c:pt idx="104">
                  <c:v>665</c:v>
                </c:pt>
                <c:pt idx="105">
                  <c:v>673</c:v>
                </c:pt>
                <c:pt idx="106">
                  <c:v>205</c:v>
                </c:pt>
                <c:pt idx="107">
                  <c:v>460</c:v>
                </c:pt>
                <c:pt idx="108">
                  <c:v>562</c:v>
                </c:pt>
                <c:pt idx="109">
                  <c:v>604</c:v>
                </c:pt>
                <c:pt idx="110">
                  <c:v>666</c:v>
                </c:pt>
                <c:pt idx="111">
                  <c:v>677</c:v>
                </c:pt>
                <c:pt idx="112">
                  <c:v>639</c:v>
                </c:pt>
                <c:pt idx="113">
                  <c:v>630</c:v>
                </c:pt>
                <c:pt idx="114">
                  <c:v>606</c:v>
                </c:pt>
                <c:pt idx="115">
                  <c:v>593</c:v>
                </c:pt>
                <c:pt idx="116">
                  <c:v>533</c:v>
                </c:pt>
                <c:pt idx="117">
                  <c:v>626</c:v>
                </c:pt>
                <c:pt idx="118">
                  <c:v>647</c:v>
                </c:pt>
                <c:pt idx="119">
                  <c:v>433</c:v>
                </c:pt>
                <c:pt idx="120">
                  <c:v>588</c:v>
                </c:pt>
                <c:pt idx="121">
                  <c:v>675</c:v>
                </c:pt>
                <c:pt idx="122">
                  <c:v>650</c:v>
                </c:pt>
                <c:pt idx="123">
                  <c:v>698</c:v>
                </c:pt>
                <c:pt idx="124">
                  <c:v>234</c:v>
                </c:pt>
                <c:pt idx="125">
                  <c:v>36</c:v>
                </c:pt>
                <c:pt idx="126">
                  <c:v>503</c:v>
                </c:pt>
                <c:pt idx="127">
                  <c:v>649</c:v>
                </c:pt>
                <c:pt idx="128">
                  <c:v>653</c:v>
                </c:pt>
                <c:pt idx="129">
                  <c:v>688</c:v>
                </c:pt>
                <c:pt idx="130">
                  <c:v>700</c:v>
                </c:pt>
                <c:pt idx="131">
                  <c:v>144</c:v>
                </c:pt>
                <c:pt idx="132">
                  <c:v>403</c:v>
                </c:pt>
                <c:pt idx="133">
                  <c:v>649</c:v>
                </c:pt>
                <c:pt idx="134">
                  <c:v>622</c:v>
                </c:pt>
                <c:pt idx="135">
                  <c:v>667</c:v>
                </c:pt>
                <c:pt idx="136">
                  <c:v>609</c:v>
                </c:pt>
                <c:pt idx="137">
                  <c:v>654</c:v>
                </c:pt>
                <c:pt idx="138">
                  <c:v>656</c:v>
                </c:pt>
                <c:pt idx="139">
                  <c:v>564</c:v>
                </c:pt>
                <c:pt idx="140">
                  <c:v>633</c:v>
                </c:pt>
                <c:pt idx="141">
                  <c:v>695</c:v>
                </c:pt>
                <c:pt idx="142">
                  <c:v>642</c:v>
                </c:pt>
                <c:pt idx="143">
                  <c:v>682</c:v>
                </c:pt>
                <c:pt idx="144">
                  <c:v>639</c:v>
                </c:pt>
                <c:pt idx="145">
                  <c:v>547</c:v>
                </c:pt>
                <c:pt idx="146">
                  <c:v>633</c:v>
                </c:pt>
                <c:pt idx="147">
                  <c:v>660</c:v>
                </c:pt>
                <c:pt idx="148">
                  <c:v>643</c:v>
                </c:pt>
                <c:pt idx="149">
                  <c:v>668</c:v>
                </c:pt>
                <c:pt idx="150">
                  <c:v>335</c:v>
                </c:pt>
                <c:pt idx="151">
                  <c:v>559</c:v>
                </c:pt>
                <c:pt idx="152">
                  <c:v>611</c:v>
                </c:pt>
                <c:pt idx="153">
                  <c:v>676</c:v>
                </c:pt>
                <c:pt idx="154">
                  <c:v>625</c:v>
                </c:pt>
                <c:pt idx="155">
                  <c:v>290</c:v>
                </c:pt>
                <c:pt idx="156">
                  <c:v>375</c:v>
                </c:pt>
                <c:pt idx="157">
                  <c:v>614</c:v>
                </c:pt>
                <c:pt idx="158">
                  <c:v>588</c:v>
                </c:pt>
                <c:pt idx="159">
                  <c:v>672</c:v>
                </c:pt>
                <c:pt idx="160">
                  <c:v>665</c:v>
                </c:pt>
                <c:pt idx="161">
                  <c:v>621</c:v>
                </c:pt>
                <c:pt idx="162">
                  <c:v>585</c:v>
                </c:pt>
                <c:pt idx="163">
                  <c:v>598</c:v>
                </c:pt>
                <c:pt idx="164">
                  <c:v>566</c:v>
                </c:pt>
                <c:pt idx="165">
                  <c:v>685</c:v>
                </c:pt>
                <c:pt idx="166">
                  <c:v>668</c:v>
                </c:pt>
                <c:pt idx="167">
                  <c:v>630</c:v>
                </c:pt>
                <c:pt idx="168">
                  <c:v>648</c:v>
                </c:pt>
                <c:pt idx="169">
                  <c:v>621</c:v>
                </c:pt>
                <c:pt idx="170">
                  <c:v>548</c:v>
                </c:pt>
                <c:pt idx="171">
                  <c:v>648</c:v>
                </c:pt>
                <c:pt idx="172">
                  <c:v>636</c:v>
                </c:pt>
                <c:pt idx="173">
                  <c:v>628</c:v>
                </c:pt>
                <c:pt idx="174">
                  <c:v>631</c:v>
                </c:pt>
                <c:pt idx="175">
                  <c:v>619</c:v>
                </c:pt>
                <c:pt idx="176">
                  <c:v>544</c:v>
                </c:pt>
                <c:pt idx="177">
                  <c:v>604</c:v>
                </c:pt>
                <c:pt idx="178">
                  <c:v>677</c:v>
                </c:pt>
                <c:pt idx="179">
                  <c:v>601</c:v>
                </c:pt>
                <c:pt idx="180">
                  <c:v>691</c:v>
                </c:pt>
                <c:pt idx="181">
                  <c:v>644</c:v>
                </c:pt>
                <c:pt idx="182">
                  <c:v>571</c:v>
                </c:pt>
                <c:pt idx="183">
                  <c:v>616</c:v>
                </c:pt>
                <c:pt idx="184">
                  <c:v>653</c:v>
                </c:pt>
                <c:pt idx="185">
                  <c:v>627</c:v>
                </c:pt>
                <c:pt idx="186">
                  <c:v>567</c:v>
                </c:pt>
                <c:pt idx="187">
                  <c:v>596</c:v>
                </c:pt>
                <c:pt idx="188">
                  <c:v>639</c:v>
                </c:pt>
                <c:pt idx="189">
                  <c:v>627</c:v>
                </c:pt>
                <c:pt idx="190">
                  <c:v>662</c:v>
                </c:pt>
                <c:pt idx="191">
                  <c:v>649</c:v>
                </c:pt>
                <c:pt idx="192">
                  <c:v>576</c:v>
                </c:pt>
                <c:pt idx="193">
                  <c:v>644</c:v>
                </c:pt>
                <c:pt idx="194">
                  <c:v>637</c:v>
                </c:pt>
                <c:pt idx="195">
                  <c:v>597</c:v>
                </c:pt>
                <c:pt idx="196">
                  <c:v>657</c:v>
                </c:pt>
                <c:pt idx="197">
                  <c:v>615</c:v>
                </c:pt>
                <c:pt idx="198">
                  <c:v>658</c:v>
                </c:pt>
              </c:numCache>
            </c:numRef>
          </c:val>
          <c:smooth val="0"/>
          <c:extLst>
            <c:ext xmlns:c16="http://schemas.microsoft.com/office/drawing/2014/chart" uri="{C3380CC4-5D6E-409C-BE32-E72D297353CC}">
              <c16:uniqueId val="{00000000-C545-43A4-BD20-86E5CAD1806A}"/>
            </c:ext>
          </c:extLst>
        </c:ser>
        <c:ser>
          <c:idx val="1"/>
          <c:order val="1"/>
          <c:tx>
            <c:strRef>
              <c:f>带宽占用RocksDB!$S$1</c:f>
              <c:strCache>
                <c:ptCount val="1"/>
                <c:pt idx="0">
                  <c:v>1KBKV</c:v>
                </c:pt>
              </c:strCache>
            </c:strRef>
          </c:tx>
          <c:spPr>
            <a:ln w="28575" cap="rnd">
              <a:solidFill>
                <a:schemeClr val="accent2"/>
              </a:solidFill>
              <a:round/>
            </a:ln>
            <a:effectLst/>
          </c:spPr>
          <c:marker>
            <c:symbol val="none"/>
          </c:marker>
          <c:val>
            <c:numRef>
              <c:f>带宽占用RocksDB!$S$2:$S$200</c:f>
              <c:numCache>
                <c:formatCode>General</c:formatCode>
                <c:ptCount val="199"/>
                <c:pt idx="0">
                  <c:v>0</c:v>
                </c:pt>
                <c:pt idx="1">
                  <c:v>385</c:v>
                </c:pt>
                <c:pt idx="2">
                  <c:v>875</c:v>
                </c:pt>
                <c:pt idx="3">
                  <c:v>939</c:v>
                </c:pt>
                <c:pt idx="4">
                  <c:v>1027</c:v>
                </c:pt>
                <c:pt idx="5">
                  <c:v>1196</c:v>
                </c:pt>
                <c:pt idx="6">
                  <c:v>1259</c:v>
                </c:pt>
                <c:pt idx="7">
                  <c:v>1368</c:v>
                </c:pt>
                <c:pt idx="8">
                  <c:v>1290</c:v>
                </c:pt>
                <c:pt idx="9">
                  <c:v>1204</c:v>
                </c:pt>
                <c:pt idx="10">
                  <c:v>1209</c:v>
                </c:pt>
                <c:pt idx="11">
                  <c:v>1575</c:v>
                </c:pt>
                <c:pt idx="12">
                  <c:v>1484</c:v>
                </c:pt>
                <c:pt idx="13">
                  <c:v>1365</c:v>
                </c:pt>
                <c:pt idx="14">
                  <c:v>2356</c:v>
                </c:pt>
                <c:pt idx="15">
                  <c:v>1885</c:v>
                </c:pt>
                <c:pt idx="16">
                  <c:v>1324</c:v>
                </c:pt>
                <c:pt idx="17">
                  <c:v>1797</c:v>
                </c:pt>
                <c:pt idx="18">
                  <c:v>1432</c:v>
                </c:pt>
                <c:pt idx="19">
                  <c:v>1261</c:v>
                </c:pt>
                <c:pt idx="20">
                  <c:v>1852</c:v>
                </c:pt>
                <c:pt idx="21">
                  <c:v>2346</c:v>
                </c:pt>
                <c:pt idx="22">
                  <c:v>1748</c:v>
                </c:pt>
                <c:pt idx="23">
                  <c:v>1405</c:v>
                </c:pt>
                <c:pt idx="24">
                  <c:v>1687</c:v>
                </c:pt>
                <c:pt idx="25">
                  <c:v>1739</c:v>
                </c:pt>
                <c:pt idx="26">
                  <c:v>1403</c:v>
                </c:pt>
                <c:pt idx="27">
                  <c:v>1274</c:v>
                </c:pt>
                <c:pt idx="28">
                  <c:v>2078</c:v>
                </c:pt>
                <c:pt idx="29">
                  <c:v>2370</c:v>
                </c:pt>
                <c:pt idx="30">
                  <c:v>2346</c:v>
                </c:pt>
                <c:pt idx="31">
                  <c:v>1402</c:v>
                </c:pt>
                <c:pt idx="32">
                  <c:v>1793</c:v>
                </c:pt>
                <c:pt idx="33">
                  <c:v>1646</c:v>
                </c:pt>
                <c:pt idx="34">
                  <c:v>1495</c:v>
                </c:pt>
                <c:pt idx="35">
                  <c:v>1810</c:v>
                </c:pt>
                <c:pt idx="36">
                  <c:v>1782</c:v>
                </c:pt>
                <c:pt idx="37">
                  <c:v>2357</c:v>
                </c:pt>
                <c:pt idx="38">
                  <c:v>2361</c:v>
                </c:pt>
                <c:pt idx="39">
                  <c:v>2335</c:v>
                </c:pt>
                <c:pt idx="40">
                  <c:v>2319</c:v>
                </c:pt>
                <c:pt idx="41">
                  <c:v>2051</c:v>
                </c:pt>
                <c:pt idx="42">
                  <c:v>1147</c:v>
                </c:pt>
                <c:pt idx="43">
                  <c:v>1720</c:v>
                </c:pt>
                <c:pt idx="44">
                  <c:v>1581</c:v>
                </c:pt>
                <c:pt idx="45">
                  <c:v>1564</c:v>
                </c:pt>
                <c:pt idx="46">
                  <c:v>2079</c:v>
                </c:pt>
                <c:pt idx="47">
                  <c:v>1979</c:v>
                </c:pt>
                <c:pt idx="48">
                  <c:v>2344</c:v>
                </c:pt>
                <c:pt idx="49">
                  <c:v>2331</c:v>
                </c:pt>
                <c:pt idx="50">
                  <c:v>2331</c:v>
                </c:pt>
                <c:pt idx="51">
                  <c:v>2322</c:v>
                </c:pt>
                <c:pt idx="52">
                  <c:v>2369</c:v>
                </c:pt>
                <c:pt idx="53">
                  <c:v>1425</c:v>
                </c:pt>
                <c:pt idx="54">
                  <c:v>1374</c:v>
                </c:pt>
                <c:pt idx="55">
                  <c:v>1627</c:v>
                </c:pt>
                <c:pt idx="56">
                  <c:v>1756</c:v>
                </c:pt>
                <c:pt idx="57">
                  <c:v>1974</c:v>
                </c:pt>
                <c:pt idx="58">
                  <c:v>1998</c:v>
                </c:pt>
                <c:pt idx="59">
                  <c:v>2351</c:v>
                </c:pt>
                <c:pt idx="60">
                  <c:v>2338</c:v>
                </c:pt>
                <c:pt idx="61">
                  <c:v>2344</c:v>
                </c:pt>
                <c:pt idx="62">
                  <c:v>2346</c:v>
                </c:pt>
                <c:pt idx="63">
                  <c:v>2340</c:v>
                </c:pt>
                <c:pt idx="64">
                  <c:v>2334</c:v>
                </c:pt>
                <c:pt idx="65">
                  <c:v>2352</c:v>
                </c:pt>
                <c:pt idx="66">
                  <c:v>2368</c:v>
                </c:pt>
                <c:pt idx="67">
                  <c:v>2349</c:v>
                </c:pt>
                <c:pt idx="68">
                  <c:v>1638</c:v>
                </c:pt>
                <c:pt idx="69">
                  <c:v>1505</c:v>
                </c:pt>
                <c:pt idx="70">
                  <c:v>1629</c:v>
                </c:pt>
                <c:pt idx="71">
                  <c:v>1795</c:v>
                </c:pt>
                <c:pt idx="72">
                  <c:v>1907</c:v>
                </c:pt>
                <c:pt idx="73">
                  <c:v>2089</c:v>
                </c:pt>
                <c:pt idx="74">
                  <c:v>2372</c:v>
                </c:pt>
                <c:pt idx="75">
                  <c:v>2347</c:v>
                </c:pt>
                <c:pt idx="76">
                  <c:v>2345</c:v>
                </c:pt>
                <c:pt idx="77">
                  <c:v>2360</c:v>
                </c:pt>
                <c:pt idx="78">
                  <c:v>2344</c:v>
                </c:pt>
                <c:pt idx="79">
                  <c:v>2330</c:v>
                </c:pt>
                <c:pt idx="80">
                  <c:v>2340</c:v>
                </c:pt>
                <c:pt idx="81">
                  <c:v>2363</c:v>
                </c:pt>
                <c:pt idx="82">
                  <c:v>2375</c:v>
                </c:pt>
                <c:pt idx="83">
                  <c:v>2340</c:v>
                </c:pt>
                <c:pt idx="84">
                  <c:v>2254</c:v>
                </c:pt>
                <c:pt idx="85">
                  <c:v>1289</c:v>
                </c:pt>
                <c:pt idx="86">
                  <c:v>1770</c:v>
                </c:pt>
                <c:pt idx="87">
                  <c:v>1489</c:v>
                </c:pt>
                <c:pt idx="88">
                  <c:v>1512</c:v>
                </c:pt>
                <c:pt idx="89">
                  <c:v>2020</c:v>
                </c:pt>
                <c:pt idx="90">
                  <c:v>2200</c:v>
                </c:pt>
                <c:pt idx="91">
                  <c:v>1733</c:v>
                </c:pt>
                <c:pt idx="92">
                  <c:v>1854</c:v>
                </c:pt>
                <c:pt idx="93">
                  <c:v>2366</c:v>
                </c:pt>
                <c:pt idx="94">
                  <c:v>2369</c:v>
                </c:pt>
                <c:pt idx="95">
                  <c:v>2339</c:v>
                </c:pt>
                <c:pt idx="96">
                  <c:v>2366</c:v>
                </c:pt>
                <c:pt idx="97">
                  <c:v>2360</c:v>
                </c:pt>
                <c:pt idx="98">
                  <c:v>2372</c:v>
                </c:pt>
                <c:pt idx="99">
                  <c:v>2358</c:v>
                </c:pt>
                <c:pt idx="100">
                  <c:v>2356</c:v>
                </c:pt>
                <c:pt idx="101">
                  <c:v>2312</c:v>
                </c:pt>
                <c:pt idx="102">
                  <c:v>1235</c:v>
                </c:pt>
                <c:pt idx="103">
                  <c:v>1689</c:v>
                </c:pt>
                <c:pt idx="104">
                  <c:v>1623</c:v>
                </c:pt>
                <c:pt idx="105">
                  <c:v>1307</c:v>
                </c:pt>
                <c:pt idx="106">
                  <c:v>2061</c:v>
                </c:pt>
                <c:pt idx="107">
                  <c:v>2250</c:v>
                </c:pt>
                <c:pt idx="108">
                  <c:v>1827</c:v>
                </c:pt>
                <c:pt idx="109">
                  <c:v>1688</c:v>
                </c:pt>
                <c:pt idx="110">
                  <c:v>2055</c:v>
                </c:pt>
                <c:pt idx="111">
                  <c:v>2318</c:v>
                </c:pt>
                <c:pt idx="112">
                  <c:v>2367</c:v>
                </c:pt>
                <c:pt idx="113">
                  <c:v>2351</c:v>
                </c:pt>
                <c:pt idx="114">
                  <c:v>2337</c:v>
                </c:pt>
                <c:pt idx="115">
                  <c:v>2322</c:v>
                </c:pt>
                <c:pt idx="116">
                  <c:v>2330</c:v>
                </c:pt>
                <c:pt idx="117">
                  <c:v>2326</c:v>
                </c:pt>
                <c:pt idx="118">
                  <c:v>2337</c:v>
                </c:pt>
                <c:pt idx="119">
                  <c:v>2313</c:v>
                </c:pt>
                <c:pt idx="120">
                  <c:v>2338</c:v>
                </c:pt>
                <c:pt idx="121">
                  <c:v>2341</c:v>
                </c:pt>
                <c:pt idx="122">
                  <c:v>2351</c:v>
                </c:pt>
                <c:pt idx="123">
                  <c:v>2365</c:v>
                </c:pt>
                <c:pt idx="124">
                  <c:v>2385</c:v>
                </c:pt>
                <c:pt idx="125">
                  <c:v>2364</c:v>
                </c:pt>
                <c:pt idx="126">
                  <c:v>1562</c:v>
                </c:pt>
                <c:pt idx="127">
                  <c:v>1678</c:v>
                </c:pt>
                <c:pt idx="128">
                  <c:v>1552</c:v>
                </c:pt>
                <c:pt idx="129">
                  <c:v>1510</c:v>
                </c:pt>
                <c:pt idx="130">
                  <c:v>1947</c:v>
                </c:pt>
                <c:pt idx="131">
                  <c:v>2117</c:v>
                </c:pt>
                <c:pt idx="132">
                  <c:v>1969</c:v>
                </c:pt>
                <c:pt idx="133">
                  <c:v>1776</c:v>
                </c:pt>
                <c:pt idx="134">
                  <c:v>1699</c:v>
                </c:pt>
                <c:pt idx="135">
                  <c:v>2162</c:v>
                </c:pt>
                <c:pt idx="136">
                  <c:v>2381</c:v>
                </c:pt>
                <c:pt idx="137">
                  <c:v>2381</c:v>
                </c:pt>
                <c:pt idx="138">
                  <c:v>2366</c:v>
                </c:pt>
                <c:pt idx="139">
                  <c:v>2377</c:v>
                </c:pt>
                <c:pt idx="140">
                  <c:v>2363</c:v>
                </c:pt>
                <c:pt idx="141">
                  <c:v>2378</c:v>
                </c:pt>
                <c:pt idx="142">
                  <c:v>2368</c:v>
                </c:pt>
                <c:pt idx="143">
                  <c:v>2358</c:v>
                </c:pt>
                <c:pt idx="144">
                  <c:v>2352</c:v>
                </c:pt>
                <c:pt idx="145">
                  <c:v>2370</c:v>
                </c:pt>
                <c:pt idx="146">
                  <c:v>2327</c:v>
                </c:pt>
                <c:pt idx="147">
                  <c:v>2341</c:v>
                </c:pt>
                <c:pt idx="148">
                  <c:v>2336</c:v>
                </c:pt>
                <c:pt idx="149">
                  <c:v>2374</c:v>
                </c:pt>
                <c:pt idx="150">
                  <c:v>2378</c:v>
                </c:pt>
                <c:pt idx="151">
                  <c:v>2363</c:v>
                </c:pt>
                <c:pt idx="152">
                  <c:v>2132</c:v>
                </c:pt>
                <c:pt idx="153">
                  <c:v>1267</c:v>
                </c:pt>
                <c:pt idx="154">
                  <c:v>1742</c:v>
                </c:pt>
                <c:pt idx="155">
                  <c:v>1819</c:v>
                </c:pt>
                <c:pt idx="156">
                  <c:v>1570</c:v>
                </c:pt>
                <c:pt idx="157">
                  <c:v>2080</c:v>
                </c:pt>
                <c:pt idx="158">
                  <c:v>2269</c:v>
                </c:pt>
                <c:pt idx="159">
                  <c:v>1297</c:v>
                </c:pt>
                <c:pt idx="160">
                  <c:v>1719</c:v>
                </c:pt>
                <c:pt idx="161">
                  <c:v>1785</c:v>
                </c:pt>
                <c:pt idx="162">
                  <c:v>2114</c:v>
                </c:pt>
                <c:pt idx="163">
                  <c:v>2378</c:v>
                </c:pt>
                <c:pt idx="164">
                  <c:v>2377</c:v>
                </c:pt>
                <c:pt idx="165">
                  <c:v>2370</c:v>
                </c:pt>
                <c:pt idx="166">
                  <c:v>2383</c:v>
                </c:pt>
                <c:pt idx="167">
                  <c:v>2362</c:v>
                </c:pt>
                <c:pt idx="168">
                  <c:v>2368</c:v>
                </c:pt>
                <c:pt idx="169">
                  <c:v>2380</c:v>
                </c:pt>
                <c:pt idx="170">
                  <c:v>2357</c:v>
                </c:pt>
                <c:pt idx="171">
                  <c:v>2376</c:v>
                </c:pt>
                <c:pt idx="172">
                  <c:v>2368</c:v>
                </c:pt>
                <c:pt idx="173">
                  <c:v>2379</c:v>
                </c:pt>
                <c:pt idx="174">
                  <c:v>2386</c:v>
                </c:pt>
                <c:pt idx="175">
                  <c:v>2376</c:v>
                </c:pt>
                <c:pt idx="176">
                  <c:v>2379</c:v>
                </c:pt>
                <c:pt idx="177">
                  <c:v>2383</c:v>
                </c:pt>
                <c:pt idx="178">
                  <c:v>2358</c:v>
                </c:pt>
                <c:pt idx="179">
                  <c:v>2379</c:v>
                </c:pt>
                <c:pt idx="180">
                  <c:v>2398</c:v>
                </c:pt>
                <c:pt idx="181">
                  <c:v>2403</c:v>
                </c:pt>
                <c:pt idx="182">
                  <c:v>1525</c:v>
                </c:pt>
                <c:pt idx="183">
                  <c:v>1474</c:v>
                </c:pt>
                <c:pt idx="184">
                  <c:v>1705</c:v>
                </c:pt>
                <c:pt idx="185">
                  <c:v>1797</c:v>
                </c:pt>
                <c:pt idx="186">
                  <c:v>1825</c:v>
                </c:pt>
                <c:pt idx="187">
                  <c:v>2106</c:v>
                </c:pt>
                <c:pt idx="188">
                  <c:v>2086</c:v>
                </c:pt>
                <c:pt idx="189">
                  <c:v>1447</c:v>
                </c:pt>
                <c:pt idx="190">
                  <c:v>1588</c:v>
                </c:pt>
                <c:pt idx="191">
                  <c:v>2043</c:v>
                </c:pt>
                <c:pt idx="192">
                  <c:v>2057</c:v>
                </c:pt>
                <c:pt idx="193">
                  <c:v>2350</c:v>
                </c:pt>
                <c:pt idx="194">
                  <c:v>2387</c:v>
                </c:pt>
                <c:pt idx="195">
                  <c:v>2381</c:v>
                </c:pt>
                <c:pt idx="196">
                  <c:v>2372</c:v>
                </c:pt>
                <c:pt idx="197">
                  <c:v>2389</c:v>
                </c:pt>
                <c:pt idx="198">
                  <c:v>2395</c:v>
                </c:pt>
              </c:numCache>
            </c:numRef>
          </c:val>
          <c:smooth val="0"/>
          <c:extLst>
            <c:ext xmlns:c16="http://schemas.microsoft.com/office/drawing/2014/chart" uri="{C3380CC4-5D6E-409C-BE32-E72D297353CC}">
              <c16:uniqueId val="{00000001-C545-43A4-BD20-86E5CAD1806A}"/>
            </c:ext>
          </c:extLst>
        </c:ser>
        <c:dLbls>
          <c:showLegendKey val="0"/>
          <c:showVal val="0"/>
          <c:showCatName val="0"/>
          <c:showSerName val="0"/>
          <c:showPercent val="0"/>
          <c:showBubbleSize val="0"/>
        </c:dLbls>
        <c:smooth val="0"/>
        <c:axId val="430039327"/>
        <c:axId val="837403583"/>
      </c:lineChart>
      <c:catAx>
        <c:axId val="43003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7403583"/>
        <c:crosses val="autoZero"/>
        <c:auto val="1"/>
        <c:lblAlgn val="ctr"/>
        <c:lblOffset val="100"/>
        <c:noMultiLvlLbl val="0"/>
      </c:catAx>
      <c:valAx>
        <c:axId val="83740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30039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128</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带宽占用RocksDB!$A$1</c:f>
              <c:strCache>
                <c:ptCount val="1"/>
                <c:pt idx="0">
                  <c:v>read</c:v>
                </c:pt>
              </c:strCache>
            </c:strRef>
          </c:tx>
          <c:spPr>
            <a:ln w="28575" cap="rnd">
              <a:solidFill>
                <a:schemeClr val="accent1"/>
              </a:solidFill>
              <a:round/>
            </a:ln>
            <a:effectLst/>
          </c:spPr>
          <c:marker>
            <c:symbol val="none"/>
          </c:marker>
          <c:val>
            <c:numRef>
              <c:f>带宽占用RocksDB!$A$2:$A$201</c:f>
              <c:numCache>
                <c:formatCode>General</c:formatCode>
                <c:ptCount val="200"/>
                <c:pt idx="0">
                  <c:v>0</c:v>
                </c:pt>
                <c:pt idx="1">
                  <c:v>0</c:v>
                </c:pt>
                <c:pt idx="2">
                  <c:v>0</c:v>
                </c:pt>
                <c:pt idx="3">
                  <c:v>0</c:v>
                </c:pt>
                <c:pt idx="4">
                  <c:v>0</c:v>
                </c:pt>
                <c:pt idx="5">
                  <c:v>0</c:v>
                </c:pt>
                <c:pt idx="6">
                  <c:v>0</c:v>
                </c:pt>
                <c:pt idx="7">
                  <c:v>207</c:v>
                </c:pt>
                <c:pt idx="8">
                  <c:v>0</c:v>
                </c:pt>
                <c:pt idx="9">
                  <c:v>0</c:v>
                </c:pt>
                <c:pt idx="10">
                  <c:v>0</c:v>
                </c:pt>
                <c:pt idx="11">
                  <c:v>0</c:v>
                </c:pt>
                <c:pt idx="12">
                  <c:v>78</c:v>
                </c:pt>
                <c:pt idx="13">
                  <c:v>276</c:v>
                </c:pt>
                <c:pt idx="14">
                  <c:v>60</c:v>
                </c:pt>
                <c:pt idx="15">
                  <c:v>0</c:v>
                </c:pt>
                <c:pt idx="16">
                  <c:v>0</c:v>
                </c:pt>
                <c:pt idx="17">
                  <c:v>0</c:v>
                </c:pt>
                <c:pt idx="18">
                  <c:v>174</c:v>
                </c:pt>
                <c:pt idx="19">
                  <c:v>252</c:v>
                </c:pt>
                <c:pt idx="20">
                  <c:v>0</c:v>
                </c:pt>
                <c:pt idx="21">
                  <c:v>0</c:v>
                </c:pt>
                <c:pt idx="22">
                  <c:v>0</c:v>
                </c:pt>
                <c:pt idx="23">
                  <c:v>0</c:v>
                </c:pt>
                <c:pt idx="24">
                  <c:v>224</c:v>
                </c:pt>
                <c:pt idx="25">
                  <c:v>279</c:v>
                </c:pt>
                <c:pt idx="26">
                  <c:v>194</c:v>
                </c:pt>
                <c:pt idx="27">
                  <c:v>0</c:v>
                </c:pt>
                <c:pt idx="28">
                  <c:v>0</c:v>
                </c:pt>
                <c:pt idx="29">
                  <c:v>0</c:v>
                </c:pt>
                <c:pt idx="30">
                  <c:v>272</c:v>
                </c:pt>
                <c:pt idx="31">
                  <c:v>283</c:v>
                </c:pt>
                <c:pt idx="32">
                  <c:v>303</c:v>
                </c:pt>
                <c:pt idx="33">
                  <c:v>57</c:v>
                </c:pt>
                <c:pt idx="34">
                  <c:v>0</c:v>
                </c:pt>
                <c:pt idx="35">
                  <c:v>0</c:v>
                </c:pt>
                <c:pt idx="36">
                  <c:v>216</c:v>
                </c:pt>
                <c:pt idx="37">
                  <c:v>287</c:v>
                </c:pt>
                <c:pt idx="38">
                  <c:v>296</c:v>
                </c:pt>
                <c:pt idx="39">
                  <c:v>144</c:v>
                </c:pt>
                <c:pt idx="40">
                  <c:v>0</c:v>
                </c:pt>
                <c:pt idx="41">
                  <c:v>0</c:v>
                </c:pt>
                <c:pt idx="42">
                  <c:v>177</c:v>
                </c:pt>
                <c:pt idx="43">
                  <c:v>291</c:v>
                </c:pt>
                <c:pt idx="44">
                  <c:v>312</c:v>
                </c:pt>
                <c:pt idx="45">
                  <c:v>264</c:v>
                </c:pt>
                <c:pt idx="46">
                  <c:v>0</c:v>
                </c:pt>
                <c:pt idx="47">
                  <c:v>0</c:v>
                </c:pt>
                <c:pt idx="48">
                  <c:v>151</c:v>
                </c:pt>
                <c:pt idx="49">
                  <c:v>265</c:v>
                </c:pt>
                <c:pt idx="50">
                  <c:v>295</c:v>
                </c:pt>
                <c:pt idx="51">
                  <c:v>312</c:v>
                </c:pt>
                <c:pt idx="52">
                  <c:v>226</c:v>
                </c:pt>
                <c:pt idx="53">
                  <c:v>0</c:v>
                </c:pt>
                <c:pt idx="54">
                  <c:v>174</c:v>
                </c:pt>
                <c:pt idx="55">
                  <c:v>264</c:v>
                </c:pt>
                <c:pt idx="56">
                  <c:v>313</c:v>
                </c:pt>
                <c:pt idx="57">
                  <c:v>296</c:v>
                </c:pt>
                <c:pt idx="58">
                  <c:v>314</c:v>
                </c:pt>
                <c:pt idx="59">
                  <c:v>149</c:v>
                </c:pt>
                <c:pt idx="60">
                  <c:v>264</c:v>
                </c:pt>
                <c:pt idx="61">
                  <c:v>282</c:v>
                </c:pt>
                <c:pt idx="62">
                  <c:v>302</c:v>
                </c:pt>
                <c:pt idx="63">
                  <c:v>298</c:v>
                </c:pt>
                <c:pt idx="64">
                  <c:v>91</c:v>
                </c:pt>
                <c:pt idx="65">
                  <c:v>34</c:v>
                </c:pt>
                <c:pt idx="66">
                  <c:v>272</c:v>
                </c:pt>
                <c:pt idx="67">
                  <c:v>267</c:v>
                </c:pt>
                <c:pt idx="68">
                  <c:v>311</c:v>
                </c:pt>
                <c:pt idx="69">
                  <c:v>272</c:v>
                </c:pt>
                <c:pt idx="70">
                  <c:v>0</c:v>
                </c:pt>
                <c:pt idx="71">
                  <c:v>35</c:v>
                </c:pt>
                <c:pt idx="72">
                  <c:v>261</c:v>
                </c:pt>
                <c:pt idx="73">
                  <c:v>264</c:v>
                </c:pt>
                <c:pt idx="74">
                  <c:v>276</c:v>
                </c:pt>
                <c:pt idx="75">
                  <c:v>278</c:v>
                </c:pt>
                <c:pt idx="76">
                  <c:v>286</c:v>
                </c:pt>
                <c:pt idx="77">
                  <c:v>191</c:v>
                </c:pt>
                <c:pt idx="78">
                  <c:v>259</c:v>
                </c:pt>
                <c:pt idx="79">
                  <c:v>273</c:v>
                </c:pt>
                <c:pt idx="80">
                  <c:v>285</c:v>
                </c:pt>
                <c:pt idx="81">
                  <c:v>297</c:v>
                </c:pt>
                <c:pt idx="82">
                  <c:v>236</c:v>
                </c:pt>
                <c:pt idx="83">
                  <c:v>65</c:v>
                </c:pt>
                <c:pt idx="84">
                  <c:v>258</c:v>
                </c:pt>
                <c:pt idx="85">
                  <c:v>281</c:v>
                </c:pt>
                <c:pt idx="86">
                  <c:v>304</c:v>
                </c:pt>
                <c:pt idx="87">
                  <c:v>289</c:v>
                </c:pt>
                <c:pt idx="88">
                  <c:v>281</c:v>
                </c:pt>
                <c:pt idx="89">
                  <c:v>130</c:v>
                </c:pt>
                <c:pt idx="90">
                  <c:v>271</c:v>
                </c:pt>
                <c:pt idx="91">
                  <c:v>300</c:v>
                </c:pt>
                <c:pt idx="92">
                  <c:v>311</c:v>
                </c:pt>
                <c:pt idx="93">
                  <c:v>304</c:v>
                </c:pt>
                <c:pt idx="94">
                  <c:v>315</c:v>
                </c:pt>
                <c:pt idx="95">
                  <c:v>283</c:v>
                </c:pt>
                <c:pt idx="96">
                  <c:v>276</c:v>
                </c:pt>
                <c:pt idx="97">
                  <c:v>276</c:v>
                </c:pt>
                <c:pt idx="98">
                  <c:v>314</c:v>
                </c:pt>
                <c:pt idx="99">
                  <c:v>302</c:v>
                </c:pt>
                <c:pt idx="100">
                  <c:v>297</c:v>
                </c:pt>
                <c:pt idx="101">
                  <c:v>295</c:v>
                </c:pt>
                <c:pt idx="102">
                  <c:v>270</c:v>
                </c:pt>
                <c:pt idx="103">
                  <c:v>295</c:v>
                </c:pt>
                <c:pt idx="104">
                  <c:v>290</c:v>
                </c:pt>
                <c:pt idx="105">
                  <c:v>290</c:v>
                </c:pt>
                <c:pt idx="106">
                  <c:v>84</c:v>
                </c:pt>
                <c:pt idx="107">
                  <c:v>189</c:v>
                </c:pt>
                <c:pt idx="108">
                  <c:v>237</c:v>
                </c:pt>
                <c:pt idx="109">
                  <c:v>284</c:v>
                </c:pt>
                <c:pt idx="110">
                  <c:v>289</c:v>
                </c:pt>
                <c:pt idx="111">
                  <c:v>294</c:v>
                </c:pt>
                <c:pt idx="112">
                  <c:v>300</c:v>
                </c:pt>
                <c:pt idx="113">
                  <c:v>274</c:v>
                </c:pt>
                <c:pt idx="114">
                  <c:v>265</c:v>
                </c:pt>
                <c:pt idx="115">
                  <c:v>272</c:v>
                </c:pt>
                <c:pt idx="116">
                  <c:v>226</c:v>
                </c:pt>
                <c:pt idx="117">
                  <c:v>294</c:v>
                </c:pt>
                <c:pt idx="118">
                  <c:v>280</c:v>
                </c:pt>
                <c:pt idx="119">
                  <c:v>180</c:v>
                </c:pt>
                <c:pt idx="120">
                  <c:v>271</c:v>
                </c:pt>
                <c:pt idx="121">
                  <c:v>294</c:v>
                </c:pt>
                <c:pt idx="122">
                  <c:v>301</c:v>
                </c:pt>
                <c:pt idx="123">
                  <c:v>311</c:v>
                </c:pt>
                <c:pt idx="124">
                  <c:v>73</c:v>
                </c:pt>
                <c:pt idx="125">
                  <c:v>0</c:v>
                </c:pt>
                <c:pt idx="126">
                  <c:v>206</c:v>
                </c:pt>
                <c:pt idx="127">
                  <c:v>281</c:v>
                </c:pt>
                <c:pt idx="128">
                  <c:v>308</c:v>
                </c:pt>
                <c:pt idx="129">
                  <c:v>300</c:v>
                </c:pt>
                <c:pt idx="130">
                  <c:v>306</c:v>
                </c:pt>
                <c:pt idx="131">
                  <c:v>54</c:v>
                </c:pt>
                <c:pt idx="132">
                  <c:v>158</c:v>
                </c:pt>
                <c:pt idx="133">
                  <c:v>285</c:v>
                </c:pt>
                <c:pt idx="134">
                  <c:v>290</c:v>
                </c:pt>
                <c:pt idx="135">
                  <c:v>290</c:v>
                </c:pt>
                <c:pt idx="136">
                  <c:v>283</c:v>
                </c:pt>
                <c:pt idx="137">
                  <c:v>286</c:v>
                </c:pt>
                <c:pt idx="138">
                  <c:v>285</c:v>
                </c:pt>
                <c:pt idx="139">
                  <c:v>263</c:v>
                </c:pt>
                <c:pt idx="140">
                  <c:v>271</c:v>
                </c:pt>
                <c:pt idx="141">
                  <c:v>304</c:v>
                </c:pt>
                <c:pt idx="142">
                  <c:v>300</c:v>
                </c:pt>
                <c:pt idx="143">
                  <c:v>298</c:v>
                </c:pt>
                <c:pt idx="144">
                  <c:v>274</c:v>
                </c:pt>
                <c:pt idx="145">
                  <c:v>246</c:v>
                </c:pt>
                <c:pt idx="146">
                  <c:v>279</c:v>
                </c:pt>
                <c:pt idx="147">
                  <c:v>284</c:v>
                </c:pt>
                <c:pt idx="148">
                  <c:v>288</c:v>
                </c:pt>
                <c:pt idx="149">
                  <c:v>305</c:v>
                </c:pt>
                <c:pt idx="150">
                  <c:v>124</c:v>
                </c:pt>
                <c:pt idx="151">
                  <c:v>261</c:v>
                </c:pt>
                <c:pt idx="152">
                  <c:v>262</c:v>
                </c:pt>
                <c:pt idx="153">
                  <c:v>291</c:v>
                </c:pt>
                <c:pt idx="154">
                  <c:v>279</c:v>
                </c:pt>
                <c:pt idx="155">
                  <c:v>113</c:v>
                </c:pt>
                <c:pt idx="156">
                  <c:v>142</c:v>
                </c:pt>
                <c:pt idx="157">
                  <c:v>265</c:v>
                </c:pt>
                <c:pt idx="158">
                  <c:v>274</c:v>
                </c:pt>
                <c:pt idx="159">
                  <c:v>292</c:v>
                </c:pt>
                <c:pt idx="160">
                  <c:v>287</c:v>
                </c:pt>
                <c:pt idx="161">
                  <c:v>292</c:v>
                </c:pt>
                <c:pt idx="162">
                  <c:v>247</c:v>
                </c:pt>
                <c:pt idx="163">
                  <c:v>257</c:v>
                </c:pt>
                <c:pt idx="164">
                  <c:v>263</c:v>
                </c:pt>
                <c:pt idx="165">
                  <c:v>296</c:v>
                </c:pt>
                <c:pt idx="166">
                  <c:v>290</c:v>
                </c:pt>
                <c:pt idx="167">
                  <c:v>295</c:v>
                </c:pt>
                <c:pt idx="168">
                  <c:v>280</c:v>
                </c:pt>
                <c:pt idx="169">
                  <c:v>267</c:v>
                </c:pt>
                <c:pt idx="170">
                  <c:v>254</c:v>
                </c:pt>
                <c:pt idx="171">
                  <c:v>280</c:v>
                </c:pt>
                <c:pt idx="172">
                  <c:v>274</c:v>
                </c:pt>
                <c:pt idx="173">
                  <c:v>294</c:v>
                </c:pt>
                <c:pt idx="174">
                  <c:v>269</c:v>
                </c:pt>
                <c:pt idx="175">
                  <c:v>266</c:v>
                </c:pt>
                <c:pt idx="176">
                  <c:v>251</c:v>
                </c:pt>
                <c:pt idx="177">
                  <c:v>258</c:v>
                </c:pt>
                <c:pt idx="178">
                  <c:v>294</c:v>
                </c:pt>
                <c:pt idx="179">
                  <c:v>281</c:v>
                </c:pt>
                <c:pt idx="180">
                  <c:v>299</c:v>
                </c:pt>
                <c:pt idx="181">
                  <c:v>277</c:v>
                </c:pt>
                <c:pt idx="182">
                  <c:v>255</c:v>
                </c:pt>
                <c:pt idx="183">
                  <c:v>274</c:v>
                </c:pt>
                <c:pt idx="184">
                  <c:v>280</c:v>
                </c:pt>
                <c:pt idx="185">
                  <c:v>272</c:v>
                </c:pt>
                <c:pt idx="186">
                  <c:v>262</c:v>
                </c:pt>
                <c:pt idx="187">
                  <c:v>252</c:v>
                </c:pt>
                <c:pt idx="188">
                  <c:v>274</c:v>
                </c:pt>
                <c:pt idx="189">
                  <c:v>295</c:v>
                </c:pt>
                <c:pt idx="190">
                  <c:v>286</c:v>
                </c:pt>
                <c:pt idx="191">
                  <c:v>278</c:v>
                </c:pt>
                <c:pt idx="192">
                  <c:v>269</c:v>
                </c:pt>
                <c:pt idx="193">
                  <c:v>276</c:v>
                </c:pt>
                <c:pt idx="194">
                  <c:v>275</c:v>
                </c:pt>
                <c:pt idx="195">
                  <c:v>271</c:v>
                </c:pt>
                <c:pt idx="196">
                  <c:v>292</c:v>
                </c:pt>
                <c:pt idx="197">
                  <c:v>264</c:v>
                </c:pt>
                <c:pt idx="198">
                  <c:v>298</c:v>
                </c:pt>
                <c:pt idx="199">
                  <c:v>259</c:v>
                </c:pt>
              </c:numCache>
            </c:numRef>
          </c:val>
          <c:smooth val="0"/>
          <c:extLst>
            <c:ext xmlns:c16="http://schemas.microsoft.com/office/drawing/2014/chart" uri="{C3380CC4-5D6E-409C-BE32-E72D297353CC}">
              <c16:uniqueId val="{00000000-1116-435F-B9D4-2DFA24291087}"/>
            </c:ext>
          </c:extLst>
        </c:ser>
        <c:ser>
          <c:idx val="1"/>
          <c:order val="1"/>
          <c:tx>
            <c:strRef>
              <c:f>带宽占用RocksDB!$B$1</c:f>
              <c:strCache>
                <c:ptCount val="1"/>
                <c:pt idx="0">
                  <c:v>write</c:v>
                </c:pt>
              </c:strCache>
            </c:strRef>
          </c:tx>
          <c:spPr>
            <a:ln w="28575" cap="rnd">
              <a:solidFill>
                <a:schemeClr val="accent2"/>
              </a:solidFill>
              <a:round/>
            </a:ln>
            <a:effectLst/>
          </c:spPr>
          <c:marker>
            <c:symbol val="none"/>
          </c:marker>
          <c:val>
            <c:numRef>
              <c:f>带宽占用RocksDB!$B$2:$B$201</c:f>
              <c:numCache>
                <c:formatCode>General</c:formatCode>
                <c:ptCount val="200"/>
                <c:pt idx="0">
                  <c:v>0</c:v>
                </c:pt>
                <c:pt idx="1">
                  <c:v>28</c:v>
                </c:pt>
                <c:pt idx="2">
                  <c:v>92</c:v>
                </c:pt>
                <c:pt idx="3">
                  <c:v>44</c:v>
                </c:pt>
                <c:pt idx="4">
                  <c:v>88</c:v>
                </c:pt>
                <c:pt idx="5">
                  <c:v>92</c:v>
                </c:pt>
                <c:pt idx="6">
                  <c:v>76</c:v>
                </c:pt>
                <c:pt idx="7">
                  <c:v>262</c:v>
                </c:pt>
                <c:pt idx="8">
                  <c:v>88</c:v>
                </c:pt>
                <c:pt idx="9">
                  <c:v>92</c:v>
                </c:pt>
                <c:pt idx="10">
                  <c:v>40</c:v>
                </c:pt>
                <c:pt idx="11">
                  <c:v>96</c:v>
                </c:pt>
                <c:pt idx="12">
                  <c:v>164</c:v>
                </c:pt>
                <c:pt idx="13">
                  <c:v>332</c:v>
                </c:pt>
                <c:pt idx="14">
                  <c:v>139</c:v>
                </c:pt>
                <c:pt idx="15">
                  <c:v>88</c:v>
                </c:pt>
                <c:pt idx="16">
                  <c:v>92</c:v>
                </c:pt>
                <c:pt idx="17">
                  <c:v>40</c:v>
                </c:pt>
                <c:pt idx="18">
                  <c:v>264</c:v>
                </c:pt>
                <c:pt idx="19">
                  <c:v>341</c:v>
                </c:pt>
                <c:pt idx="20">
                  <c:v>40</c:v>
                </c:pt>
                <c:pt idx="21">
                  <c:v>88</c:v>
                </c:pt>
                <c:pt idx="22">
                  <c:v>92</c:v>
                </c:pt>
                <c:pt idx="23">
                  <c:v>44</c:v>
                </c:pt>
                <c:pt idx="24">
                  <c:v>312</c:v>
                </c:pt>
                <c:pt idx="25">
                  <c:v>365</c:v>
                </c:pt>
                <c:pt idx="26">
                  <c:v>250</c:v>
                </c:pt>
                <c:pt idx="27">
                  <c:v>73</c:v>
                </c:pt>
                <c:pt idx="28">
                  <c:v>92</c:v>
                </c:pt>
                <c:pt idx="29">
                  <c:v>73</c:v>
                </c:pt>
                <c:pt idx="30">
                  <c:v>322</c:v>
                </c:pt>
                <c:pt idx="31">
                  <c:v>370</c:v>
                </c:pt>
                <c:pt idx="32">
                  <c:v>341</c:v>
                </c:pt>
                <c:pt idx="33">
                  <c:v>143</c:v>
                </c:pt>
                <c:pt idx="34">
                  <c:v>88</c:v>
                </c:pt>
                <c:pt idx="35">
                  <c:v>36</c:v>
                </c:pt>
                <c:pt idx="36">
                  <c:v>302</c:v>
                </c:pt>
                <c:pt idx="37">
                  <c:v>375</c:v>
                </c:pt>
                <c:pt idx="38">
                  <c:v>336</c:v>
                </c:pt>
                <c:pt idx="39">
                  <c:v>232</c:v>
                </c:pt>
                <c:pt idx="40">
                  <c:v>88</c:v>
                </c:pt>
                <c:pt idx="41">
                  <c:v>36</c:v>
                </c:pt>
                <c:pt idx="42">
                  <c:v>264</c:v>
                </c:pt>
                <c:pt idx="43">
                  <c:v>379</c:v>
                </c:pt>
                <c:pt idx="44">
                  <c:v>348</c:v>
                </c:pt>
                <c:pt idx="45">
                  <c:v>356</c:v>
                </c:pt>
                <c:pt idx="46">
                  <c:v>88</c:v>
                </c:pt>
                <c:pt idx="47">
                  <c:v>40</c:v>
                </c:pt>
                <c:pt idx="48">
                  <c:v>239</c:v>
                </c:pt>
                <c:pt idx="49">
                  <c:v>352</c:v>
                </c:pt>
                <c:pt idx="50">
                  <c:v>334</c:v>
                </c:pt>
                <c:pt idx="51">
                  <c:v>401</c:v>
                </c:pt>
                <c:pt idx="52">
                  <c:v>314</c:v>
                </c:pt>
                <c:pt idx="53">
                  <c:v>40</c:v>
                </c:pt>
                <c:pt idx="54">
                  <c:v>265</c:v>
                </c:pt>
                <c:pt idx="55">
                  <c:v>355</c:v>
                </c:pt>
                <c:pt idx="56">
                  <c:v>358</c:v>
                </c:pt>
                <c:pt idx="57">
                  <c:v>383</c:v>
                </c:pt>
                <c:pt idx="58">
                  <c:v>401</c:v>
                </c:pt>
                <c:pt idx="59">
                  <c:v>222</c:v>
                </c:pt>
                <c:pt idx="60">
                  <c:v>322</c:v>
                </c:pt>
                <c:pt idx="61">
                  <c:v>370</c:v>
                </c:pt>
                <c:pt idx="62">
                  <c:v>390</c:v>
                </c:pt>
                <c:pt idx="63">
                  <c:v>336</c:v>
                </c:pt>
                <c:pt idx="64">
                  <c:v>184</c:v>
                </c:pt>
                <c:pt idx="65">
                  <c:v>125</c:v>
                </c:pt>
                <c:pt idx="66">
                  <c:v>308</c:v>
                </c:pt>
                <c:pt idx="67">
                  <c:v>356</c:v>
                </c:pt>
                <c:pt idx="68">
                  <c:v>397</c:v>
                </c:pt>
                <c:pt idx="69">
                  <c:v>314</c:v>
                </c:pt>
                <c:pt idx="70">
                  <c:v>88</c:v>
                </c:pt>
                <c:pt idx="71">
                  <c:v>124</c:v>
                </c:pt>
                <c:pt idx="72">
                  <c:v>298</c:v>
                </c:pt>
                <c:pt idx="73">
                  <c:v>352</c:v>
                </c:pt>
                <c:pt idx="74">
                  <c:v>365</c:v>
                </c:pt>
                <c:pt idx="75">
                  <c:v>313</c:v>
                </c:pt>
                <c:pt idx="76">
                  <c:v>378</c:v>
                </c:pt>
                <c:pt idx="77">
                  <c:v>277</c:v>
                </c:pt>
                <c:pt idx="78">
                  <c:v>300</c:v>
                </c:pt>
                <c:pt idx="79">
                  <c:v>364</c:v>
                </c:pt>
                <c:pt idx="80">
                  <c:v>373</c:v>
                </c:pt>
                <c:pt idx="81">
                  <c:v>337</c:v>
                </c:pt>
                <c:pt idx="82">
                  <c:v>329</c:v>
                </c:pt>
                <c:pt idx="83">
                  <c:v>151</c:v>
                </c:pt>
                <c:pt idx="84">
                  <c:v>310</c:v>
                </c:pt>
                <c:pt idx="85">
                  <c:v>363</c:v>
                </c:pt>
                <c:pt idx="86">
                  <c:v>395</c:v>
                </c:pt>
                <c:pt idx="87">
                  <c:v>359</c:v>
                </c:pt>
                <c:pt idx="88">
                  <c:v>339</c:v>
                </c:pt>
                <c:pt idx="89">
                  <c:v>217</c:v>
                </c:pt>
                <c:pt idx="90">
                  <c:v>359</c:v>
                </c:pt>
                <c:pt idx="91">
                  <c:v>344</c:v>
                </c:pt>
                <c:pt idx="92">
                  <c:v>398</c:v>
                </c:pt>
                <c:pt idx="93">
                  <c:v>396</c:v>
                </c:pt>
                <c:pt idx="94">
                  <c:v>357</c:v>
                </c:pt>
                <c:pt idx="95">
                  <c:v>374</c:v>
                </c:pt>
                <c:pt idx="96">
                  <c:v>362</c:v>
                </c:pt>
                <c:pt idx="97">
                  <c:v>313</c:v>
                </c:pt>
                <c:pt idx="98">
                  <c:v>407</c:v>
                </c:pt>
                <c:pt idx="99">
                  <c:v>388</c:v>
                </c:pt>
                <c:pt idx="100">
                  <c:v>332</c:v>
                </c:pt>
                <c:pt idx="101">
                  <c:v>386</c:v>
                </c:pt>
                <c:pt idx="102">
                  <c:v>359</c:v>
                </c:pt>
                <c:pt idx="103">
                  <c:v>337</c:v>
                </c:pt>
                <c:pt idx="104">
                  <c:v>375</c:v>
                </c:pt>
                <c:pt idx="105">
                  <c:v>383</c:v>
                </c:pt>
                <c:pt idx="106">
                  <c:v>121</c:v>
                </c:pt>
                <c:pt idx="107">
                  <c:v>271</c:v>
                </c:pt>
                <c:pt idx="108">
                  <c:v>325</c:v>
                </c:pt>
                <c:pt idx="109">
                  <c:v>320</c:v>
                </c:pt>
                <c:pt idx="110">
                  <c:v>377</c:v>
                </c:pt>
                <c:pt idx="111">
                  <c:v>383</c:v>
                </c:pt>
                <c:pt idx="112">
                  <c:v>339</c:v>
                </c:pt>
                <c:pt idx="113">
                  <c:v>356</c:v>
                </c:pt>
                <c:pt idx="114">
                  <c:v>341</c:v>
                </c:pt>
                <c:pt idx="115">
                  <c:v>321</c:v>
                </c:pt>
                <c:pt idx="116">
                  <c:v>307</c:v>
                </c:pt>
                <c:pt idx="117">
                  <c:v>332</c:v>
                </c:pt>
                <c:pt idx="118">
                  <c:v>367</c:v>
                </c:pt>
                <c:pt idx="119">
                  <c:v>253</c:v>
                </c:pt>
                <c:pt idx="120">
                  <c:v>317</c:v>
                </c:pt>
                <c:pt idx="121">
                  <c:v>381</c:v>
                </c:pt>
                <c:pt idx="122">
                  <c:v>349</c:v>
                </c:pt>
                <c:pt idx="123">
                  <c:v>387</c:v>
                </c:pt>
                <c:pt idx="124">
                  <c:v>161</c:v>
                </c:pt>
                <c:pt idx="125">
                  <c:v>36</c:v>
                </c:pt>
                <c:pt idx="126">
                  <c:v>297</c:v>
                </c:pt>
                <c:pt idx="127">
                  <c:v>368</c:v>
                </c:pt>
                <c:pt idx="128">
                  <c:v>345</c:v>
                </c:pt>
                <c:pt idx="129">
                  <c:v>388</c:v>
                </c:pt>
                <c:pt idx="130">
                  <c:v>394</c:v>
                </c:pt>
                <c:pt idx="131">
                  <c:v>90</c:v>
                </c:pt>
                <c:pt idx="132">
                  <c:v>245</c:v>
                </c:pt>
                <c:pt idx="133">
                  <c:v>364</c:v>
                </c:pt>
                <c:pt idx="134">
                  <c:v>332</c:v>
                </c:pt>
                <c:pt idx="135">
                  <c:v>377</c:v>
                </c:pt>
                <c:pt idx="136">
                  <c:v>326</c:v>
                </c:pt>
                <c:pt idx="137">
                  <c:v>368</c:v>
                </c:pt>
                <c:pt idx="138">
                  <c:v>371</c:v>
                </c:pt>
                <c:pt idx="139">
                  <c:v>301</c:v>
                </c:pt>
                <c:pt idx="140">
                  <c:v>362</c:v>
                </c:pt>
                <c:pt idx="141">
                  <c:v>391</c:v>
                </c:pt>
                <c:pt idx="142">
                  <c:v>342</c:v>
                </c:pt>
                <c:pt idx="143">
                  <c:v>384</c:v>
                </c:pt>
                <c:pt idx="144">
                  <c:v>365</c:v>
                </c:pt>
                <c:pt idx="145">
                  <c:v>301</c:v>
                </c:pt>
                <c:pt idx="146">
                  <c:v>354</c:v>
                </c:pt>
                <c:pt idx="147">
                  <c:v>376</c:v>
                </c:pt>
                <c:pt idx="148">
                  <c:v>355</c:v>
                </c:pt>
                <c:pt idx="149">
                  <c:v>363</c:v>
                </c:pt>
                <c:pt idx="150">
                  <c:v>211</c:v>
                </c:pt>
                <c:pt idx="151">
                  <c:v>298</c:v>
                </c:pt>
                <c:pt idx="152">
                  <c:v>349</c:v>
                </c:pt>
                <c:pt idx="153">
                  <c:v>385</c:v>
                </c:pt>
                <c:pt idx="154">
                  <c:v>346</c:v>
                </c:pt>
                <c:pt idx="155">
                  <c:v>177</c:v>
                </c:pt>
                <c:pt idx="156">
                  <c:v>233</c:v>
                </c:pt>
                <c:pt idx="157">
                  <c:v>349</c:v>
                </c:pt>
                <c:pt idx="158">
                  <c:v>314</c:v>
                </c:pt>
                <c:pt idx="159">
                  <c:v>380</c:v>
                </c:pt>
                <c:pt idx="160">
                  <c:v>378</c:v>
                </c:pt>
                <c:pt idx="161">
                  <c:v>329</c:v>
                </c:pt>
                <c:pt idx="162">
                  <c:v>338</c:v>
                </c:pt>
                <c:pt idx="163">
                  <c:v>341</c:v>
                </c:pt>
                <c:pt idx="164">
                  <c:v>303</c:v>
                </c:pt>
                <c:pt idx="165">
                  <c:v>389</c:v>
                </c:pt>
                <c:pt idx="166">
                  <c:v>378</c:v>
                </c:pt>
                <c:pt idx="167">
                  <c:v>335</c:v>
                </c:pt>
                <c:pt idx="168">
                  <c:v>368</c:v>
                </c:pt>
                <c:pt idx="169">
                  <c:v>354</c:v>
                </c:pt>
                <c:pt idx="170">
                  <c:v>294</c:v>
                </c:pt>
                <c:pt idx="171">
                  <c:v>368</c:v>
                </c:pt>
                <c:pt idx="172">
                  <c:v>362</c:v>
                </c:pt>
                <c:pt idx="173">
                  <c:v>334</c:v>
                </c:pt>
                <c:pt idx="174">
                  <c:v>362</c:v>
                </c:pt>
                <c:pt idx="175">
                  <c:v>353</c:v>
                </c:pt>
                <c:pt idx="176">
                  <c:v>293</c:v>
                </c:pt>
                <c:pt idx="177">
                  <c:v>346</c:v>
                </c:pt>
                <c:pt idx="178">
                  <c:v>383</c:v>
                </c:pt>
                <c:pt idx="179">
                  <c:v>320</c:v>
                </c:pt>
                <c:pt idx="180">
                  <c:v>392</c:v>
                </c:pt>
                <c:pt idx="181">
                  <c:v>367</c:v>
                </c:pt>
                <c:pt idx="182">
                  <c:v>316</c:v>
                </c:pt>
                <c:pt idx="183">
                  <c:v>342</c:v>
                </c:pt>
                <c:pt idx="184">
                  <c:v>373</c:v>
                </c:pt>
                <c:pt idx="185">
                  <c:v>355</c:v>
                </c:pt>
                <c:pt idx="186">
                  <c:v>305</c:v>
                </c:pt>
                <c:pt idx="187">
                  <c:v>344</c:v>
                </c:pt>
                <c:pt idx="188">
                  <c:v>365</c:v>
                </c:pt>
                <c:pt idx="189">
                  <c:v>332</c:v>
                </c:pt>
                <c:pt idx="190">
                  <c:v>376</c:v>
                </c:pt>
                <c:pt idx="191">
                  <c:v>371</c:v>
                </c:pt>
                <c:pt idx="192">
                  <c:v>307</c:v>
                </c:pt>
                <c:pt idx="193">
                  <c:v>368</c:v>
                </c:pt>
                <c:pt idx="194">
                  <c:v>362</c:v>
                </c:pt>
                <c:pt idx="195">
                  <c:v>326</c:v>
                </c:pt>
                <c:pt idx="196">
                  <c:v>365</c:v>
                </c:pt>
                <c:pt idx="197">
                  <c:v>351</c:v>
                </c:pt>
                <c:pt idx="198">
                  <c:v>360</c:v>
                </c:pt>
                <c:pt idx="199">
                  <c:v>324</c:v>
                </c:pt>
              </c:numCache>
            </c:numRef>
          </c:val>
          <c:smooth val="0"/>
          <c:extLst>
            <c:ext xmlns:c16="http://schemas.microsoft.com/office/drawing/2014/chart" uri="{C3380CC4-5D6E-409C-BE32-E72D297353CC}">
              <c16:uniqueId val="{00000001-1116-435F-B9D4-2DFA24291087}"/>
            </c:ext>
          </c:extLst>
        </c:ser>
        <c:ser>
          <c:idx val="2"/>
          <c:order val="2"/>
          <c:tx>
            <c:strRef>
              <c:f>带宽占用RocksDB!$C$1</c:f>
              <c:strCache>
                <c:ptCount val="1"/>
                <c:pt idx="0">
                  <c:v>total</c:v>
                </c:pt>
              </c:strCache>
            </c:strRef>
          </c:tx>
          <c:spPr>
            <a:ln w="28575" cap="rnd">
              <a:solidFill>
                <a:schemeClr val="accent3"/>
              </a:solidFill>
              <a:round/>
            </a:ln>
            <a:effectLst/>
          </c:spPr>
          <c:marker>
            <c:symbol val="none"/>
          </c:marker>
          <c:val>
            <c:numRef>
              <c:f>带宽占用RocksDB!$C$2:$C$201</c:f>
              <c:numCache>
                <c:formatCode>General</c:formatCode>
                <c:ptCount val="200"/>
                <c:pt idx="0">
                  <c:v>0</c:v>
                </c:pt>
                <c:pt idx="1">
                  <c:v>28</c:v>
                </c:pt>
                <c:pt idx="2">
                  <c:v>92</c:v>
                </c:pt>
                <c:pt idx="3">
                  <c:v>44</c:v>
                </c:pt>
                <c:pt idx="4">
                  <c:v>88</c:v>
                </c:pt>
                <c:pt idx="5">
                  <c:v>92</c:v>
                </c:pt>
                <c:pt idx="6">
                  <c:v>76</c:v>
                </c:pt>
                <c:pt idx="7">
                  <c:v>469</c:v>
                </c:pt>
                <c:pt idx="8">
                  <c:v>88</c:v>
                </c:pt>
                <c:pt idx="9">
                  <c:v>92</c:v>
                </c:pt>
                <c:pt idx="10">
                  <c:v>40</c:v>
                </c:pt>
                <c:pt idx="11">
                  <c:v>96</c:v>
                </c:pt>
                <c:pt idx="12">
                  <c:v>242</c:v>
                </c:pt>
                <c:pt idx="13">
                  <c:v>608</c:v>
                </c:pt>
                <c:pt idx="14">
                  <c:v>199</c:v>
                </c:pt>
                <c:pt idx="15">
                  <c:v>88</c:v>
                </c:pt>
                <c:pt idx="16">
                  <c:v>92</c:v>
                </c:pt>
                <c:pt idx="17">
                  <c:v>40</c:v>
                </c:pt>
                <c:pt idx="18">
                  <c:v>438</c:v>
                </c:pt>
                <c:pt idx="19">
                  <c:v>593</c:v>
                </c:pt>
                <c:pt idx="20">
                  <c:v>40</c:v>
                </c:pt>
                <c:pt idx="21">
                  <c:v>88</c:v>
                </c:pt>
                <c:pt idx="22">
                  <c:v>92</c:v>
                </c:pt>
                <c:pt idx="23">
                  <c:v>44</c:v>
                </c:pt>
                <c:pt idx="24">
                  <c:v>536</c:v>
                </c:pt>
                <c:pt idx="25">
                  <c:v>644</c:v>
                </c:pt>
                <c:pt idx="26">
                  <c:v>444</c:v>
                </c:pt>
                <c:pt idx="27">
                  <c:v>73</c:v>
                </c:pt>
                <c:pt idx="28">
                  <c:v>92</c:v>
                </c:pt>
                <c:pt idx="29">
                  <c:v>73</c:v>
                </c:pt>
                <c:pt idx="30">
                  <c:v>594</c:v>
                </c:pt>
                <c:pt idx="31">
                  <c:v>653</c:v>
                </c:pt>
                <c:pt idx="32">
                  <c:v>644</c:v>
                </c:pt>
                <c:pt idx="33">
                  <c:v>200</c:v>
                </c:pt>
                <c:pt idx="34">
                  <c:v>88</c:v>
                </c:pt>
                <c:pt idx="35">
                  <c:v>36</c:v>
                </c:pt>
                <c:pt idx="36">
                  <c:v>518</c:v>
                </c:pt>
                <c:pt idx="37">
                  <c:v>662</c:v>
                </c:pt>
                <c:pt idx="38">
                  <c:v>632</c:v>
                </c:pt>
                <c:pt idx="39">
                  <c:v>376</c:v>
                </c:pt>
                <c:pt idx="40">
                  <c:v>88</c:v>
                </c:pt>
                <c:pt idx="41">
                  <c:v>36</c:v>
                </c:pt>
                <c:pt idx="42">
                  <c:v>441</c:v>
                </c:pt>
                <c:pt idx="43">
                  <c:v>670</c:v>
                </c:pt>
                <c:pt idx="44">
                  <c:v>660</c:v>
                </c:pt>
                <c:pt idx="45">
                  <c:v>620</c:v>
                </c:pt>
                <c:pt idx="46">
                  <c:v>88</c:v>
                </c:pt>
                <c:pt idx="47">
                  <c:v>40</c:v>
                </c:pt>
                <c:pt idx="48">
                  <c:v>390</c:v>
                </c:pt>
                <c:pt idx="49">
                  <c:v>617</c:v>
                </c:pt>
                <c:pt idx="50">
                  <c:v>629</c:v>
                </c:pt>
                <c:pt idx="51">
                  <c:v>713</c:v>
                </c:pt>
                <c:pt idx="52">
                  <c:v>540</c:v>
                </c:pt>
                <c:pt idx="53">
                  <c:v>40</c:v>
                </c:pt>
                <c:pt idx="54">
                  <c:v>439</c:v>
                </c:pt>
                <c:pt idx="55">
                  <c:v>619</c:v>
                </c:pt>
                <c:pt idx="56">
                  <c:v>671</c:v>
                </c:pt>
                <c:pt idx="57">
                  <c:v>679</c:v>
                </c:pt>
                <c:pt idx="58">
                  <c:v>715</c:v>
                </c:pt>
                <c:pt idx="59">
                  <c:v>371</c:v>
                </c:pt>
                <c:pt idx="60">
                  <c:v>586</c:v>
                </c:pt>
                <c:pt idx="61">
                  <c:v>652</c:v>
                </c:pt>
                <c:pt idx="62">
                  <c:v>692</c:v>
                </c:pt>
                <c:pt idx="63">
                  <c:v>634</c:v>
                </c:pt>
                <c:pt idx="64">
                  <c:v>275</c:v>
                </c:pt>
                <c:pt idx="65">
                  <c:v>159</c:v>
                </c:pt>
                <c:pt idx="66">
                  <c:v>580</c:v>
                </c:pt>
                <c:pt idx="67">
                  <c:v>623</c:v>
                </c:pt>
                <c:pt idx="68">
                  <c:v>708</c:v>
                </c:pt>
                <c:pt idx="69">
                  <c:v>586</c:v>
                </c:pt>
                <c:pt idx="70">
                  <c:v>88</c:v>
                </c:pt>
                <c:pt idx="71">
                  <c:v>159</c:v>
                </c:pt>
                <c:pt idx="72">
                  <c:v>559</c:v>
                </c:pt>
                <c:pt idx="73">
                  <c:v>616</c:v>
                </c:pt>
                <c:pt idx="74">
                  <c:v>641</c:v>
                </c:pt>
                <c:pt idx="75">
                  <c:v>591</c:v>
                </c:pt>
                <c:pt idx="76">
                  <c:v>664</c:v>
                </c:pt>
                <c:pt idx="77">
                  <c:v>468</c:v>
                </c:pt>
                <c:pt idx="78">
                  <c:v>559</c:v>
                </c:pt>
                <c:pt idx="79">
                  <c:v>637</c:v>
                </c:pt>
                <c:pt idx="80">
                  <c:v>658</c:v>
                </c:pt>
                <c:pt idx="81">
                  <c:v>634</c:v>
                </c:pt>
                <c:pt idx="82">
                  <c:v>565</c:v>
                </c:pt>
                <c:pt idx="83">
                  <c:v>216</c:v>
                </c:pt>
                <c:pt idx="84">
                  <c:v>568</c:v>
                </c:pt>
                <c:pt idx="85">
                  <c:v>644</c:v>
                </c:pt>
                <c:pt idx="86">
                  <c:v>699</c:v>
                </c:pt>
                <c:pt idx="87">
                  <c:v>648</c:v>
                </c:pt>
                <c:pt idx="88">
                  <c:v>620</c:v>
                </c:pt>
                <c:pt idx="89">
                  <c:v>347</c:v>
                </c:pt>
                <c:pt idx="90">
                  <c:v>630</c:v>
                </c:pt>
                <c:pt idx="91">
                  <c:v>644</c:v>
                </c:pt>
                <c:pt idx="92">
                  <c:v>709</c:v>
                </c:pt>
                <c:pt idx="93">
                  <c:v>700</c:v>
                </c:pt>
                <c:pt idx="94">
                  <c:v>672</c:v>
                </c:pt>
                <c:pt idx="95">
                  <c:v>657</c:v>
                </c:pt>
                <c:pt idx="96">
                  <c:v>638</c:v>
                </c:pt>
                <c:pt idx="97">
                  <c:v>589</c:v>
                </c:pt>
                <c:pt idx="98">
                  <c:v>721</c:v>
                </c:pt>
                <c:pt idx="99">
                  <c:v>690</c:v>
                </c:pt>
                <c:pt idx="100">
                  <c:v>629</c:v>
                </c:pt>
                <c:pt idx="101">
                  <c:v>681</c:v>
                </c:pt>
                <c:pt idx="102">
                  <c:v>629</c:v>
                </c:pt>
                <c:pt idx="103">
                  <c:v>632</c:v>
                </c:pt>
                <c:pt idx="104">
                  <c:v>665</c:v>
                </c:pt>
                <c:pt idx="105">
                  <c:v>673</c:v>
                </c:pt>
                <c:pt idx="106">
                  <c:v>205</c:v>
                </c:pt>
                <c:pt idx="107">
                  <c:v>460</c:v>
                </c:pt>
                <c:pt idx="108">
                  <c:v>562</c:v>
                </c:pt>
                <c:pt idx="109">
                  <c:v>604</c:v>
                </c:pt>
                <c:pt idx="110">
                  <c:v>666</c:v>
                </c:pt>
                <c:pt idx="111">
                  <c:v>677</c:v>
                </c:pt>
                <c:pt idx="112">
                  <c:v>639</c:v>
                </c:pt>
                <c:pt idx="113">
                  <c:v>630</c:v>
                </c:pt>
                <c:pt idx="114">
                  <c:v>606</c:v>
                </c:pt>
                <c:pt idx="115">
                  <c:v>593</c:v>
                </c:pt>
                <c:pt idx="116">
                  <c:v>533</c:v>
                </c:pt>
                <c:pt idx="117">
                  <c:v>626</c:v>
                </c:pt>
                <c:pt idx="118">
                  <c:v>647</c:v>
                </c:pt>
                <c:pt idx="119">
                  <c:v>433</c:v>
                </c:pt>
                <c:pt idx="120">
                  <c:v>588</c:v>
                </c:pt>
                <c:pt idx="121">
                  <c:v>675</c:v>
                </c:pt>
                <c:pt idx="122">
                  <c:v>650</c:v>
                </c:pt>
                <c:pt idx="123">
                  <c:v>698</c:v>
                </c:pt>
                <c:pt idx="124">
                  <c:v>234</c:v>
                </c:pt>
                <c:pt idx="125">
                  <c:v>36</c:v>
                </c:pt>
                <c:pt idx="126">
                  <c:v>503</c:v>
                </c:pt>
                <c:pt idx="127">
                  <c:v>649</c:v>
                </c:pt>
                <c:pt idx="128">
                  <c:v>653</c:v>
                </c:pt>
                <c:pt idx="129">
                  <c:v>688</c:v>
                </c:pt>
                <c:pt idx="130">
                  <c:v>700</c:v>
                </c:pt>
                <c:pt idx="131">
                  <c:v>144</c:v>
                </c:pt>
                <c:pt idx="132">
                  <c:v>403</c:v>
                </c:pt>
                <c:pt idx="133">
                  <c:v>649</c:v>
                </c:pt>
                <c:pt idx="134">
                  <c:v>622</c:v>
                </c:pt>
                <c:pt idx="135">
                  <c:v>667</c:v>
                </c:pt>
                <c:pt idx="136">
                  <c:v>609</c:v>
                </c:pt>
                <c:pt idx="137">
                  <c:v>654</c:v>
                </c:pt>
                <c:pt idx="138">
                  <c:v>656</c:v>
                </c:pt>
                <c:pt idx="139">
                  <c:v>564</c:v>
                </c:pt>
                <c:pt idx="140">
                  <c:v>633</c:v>
                </c:pt>
                <c:pt idx="141">
                  <c:v>695</c:v>
                </c:pt>
                <c:pt idx="142">
                  <c:v>642</c:v>
                </c:pt>
                <c:pt idx="143">
                  <c:v>682</c:v>
                </c:pt>
                <c:pt idx="144">
                  <c:v>639</c:v>
                </c:pt>
                <c:pt idx="145">
                  <c:v>547</c:v>
                </c:pt>
                <c:pt idx="146">
                  <c:v>633</c:v>
                </c:pt>
                <c:pt idx="147">
                  <c:v>660</c:v>
                </c:pt>
                <c:pt idx="148">
                  <c:v>643</c:v>
                </c:pt>
                <c:pt idx="149">
                  <c:v>668</c:v>
                </c:pt>
                <c:pt idx="150">
                  <c:v>335</c:v>
                </c:pt>
                <c:pt idx="151">
                  <c:v>559</c:v>
                </c:pt>
                <c:pt idx="152">
                  <c:v>611</c:v>
                </c:pt>
                <c:pt idx="153">
                  <c:v>676</c:v>
                </c:pt>
                <c:pt idx="154">
                  <c:v>625</c:v>
                </c:pt>
                <c:pt idx="155">
                  <c:v>290</c:v>
                </c:pt>
                <c:pt idx="156">
                  <c:v>375</c:v>
                </c:pt>
                <c:pt idx="157">
                  <c:v>614</c:v>
                </c:pt>
                <c:pt idx="158">
                  <c:v>588</c:v>
                </c:pt>
                <c:pt idx="159">
                  <c:v>672</c:v>
                </c:pt>
                <c:pt idx="160">
                  <c:v>665</c:v>
                </c:pt>
                <c:pt idx="161">
                  <c:v>621</c:v>
                </c:pt>
                <c:pt idx="162">
                  <c:v>585</c:v>
                </c:pt>
                <c:pt idx="163">
                  <c:v>598</c:v>
                </c:pt>
                <c:pt idx="164">
                  <c:v>566</c:v>
                </c:pt>
                <c:pt idx="165">
                  <c:v>685</c:v>
                </c:pt>
                <c:pt idx="166">
                  <c:v>668</c:v>
                </c:pt>
                <c:pt idx="167">
                  <c:v>630</c:v>
                </c:pt>
                <c:pt idx="168">
                  <c:v>648</c:v>
                </c:pt>
                <c:pt idx="169">
                  <c:v>621</c:v>
                </c:pt>
                <c:pt idx="170">
                  <c:v>548</c:v>
                </c:pt>
                <c:pt idx="171">
                  <c:v>648</c:v>
                </c:pt>
                <c:pt idx="172">
                  <c:v>636</c:v>
                </c:pt>
                <c:pt idx="173">
                  <c:v>628</c:v>
                </c:pt>
                <c:pt idx="174">
                  <c:v>631</c:v>
                </c:pt>
                <c:pt idx="175">
                  <c:v>619</c:v>
                </c:pt>
                <c:pt idx="176">
                  <c:v>544</c:v>
                </c:pt>
                <c:pt idx="177">
                  <c:v>604</c:v>
                </c:pt>
                <c:pt idx="178">
                  <c:v>677</c:v>
                </c:pt>
                <c:pt idx="179">
                  <c:v>601</c:v>
                </c:pt>
                <c:pt idx="180">
                  <c:v>691</c:v>
                </c:pt>
                <c:pt idx="181">
                  <c:v>644</c:v>
                </c:pt>
                <c:pt idx="182">
                  <c:v>571</c:v>
                </c:pt>
                <c:pt idx="183">
                  <c:v>616</c:v>
                </c:pt>
                <c:pt idx="184">
                  <c:v>653</c:v>
                </c:pt>
                <c:pt idx="185">
                  <c:v>627</c:v>
                </c:pt>
                <c:pt idx="186">
                  <c:v>567</c:v>
                </c:pt>
                <c:pt idx="187">
                  <c:v>596</c:v>
                </c:pt>
                <c:pt idx="188">
                  <c:v>639</c:v>
                </c:pt>
                <c:pt idx="189">
                  <c:v>627</c:v>
                </c:pt>
                <c:pt idx="190">
                  <c:v>662</c:v>
                </c:pt>
                <c:pt idx="191">
                  <c:v>649</c:v>
                </c:pt>
                <c:pt idx="192">
                  <c:v>576</c:v>
                </c:pt>
                <c:pt idx="193">
                  <c:v>644</c:v>
                </c:pt>
                <c:pt idx="194">
                  <c:v>637</c:v>
                </c:pt>
                <c:pt idx="195">
                  <c:v>597</c:v>
                </c:pt>
                <c:pt idx="196">
                  <c:v>657</c:v>
                </c:pt>
                <c:pt idx="197">
                  <c:v>615</c:v>
                </c:pt>
                <c:pt idx="198">
                  <c:v>658</c:v>
                </c:pt>
                <c:pt idx="199">
                  <c:v>583</c:v>
                </c:pt>
              </c:numCache>
            </c:numRef>
          </c:val>
          <c:smooth val="0"/>
          <c:extLst>
            <c:ext xmlns:c16="http://schemas.microsoft.com/office/drawing/2014/chart" uri="{C3380CC4-5D6E-409C-BE32-E72D297353CC}">
              <c16:uniqueId val="{00000002-1116-435F-B9D4-2DFA24291087}"/>
            </c:ext>
          </c:extLst>
        </c:ser>
        <c:dLbls>
          <c:showLegendKey val="0"/>
          <c:showVal val="0"/>
          <c:showCatName val="0"/>
          <c:showSerName val="0"/>
          <c:showPercent val="0"/>
          <c:showBubbleSize val="0"/>
        </c:dLbls>
        <c:smooth val="0"/>
        <c:axId val="548397583"/>
        <c:axId val="655257279"/>
      </c:lineChart>
      <c:catAx>
        <c:axId val="54839758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5257279"/>
        <c:crosses val="autoZero"/>
        <c:auto val="1"/>
        <c:lblAlgn val="ctr"/>
        <c:lblOffset val="100"/>
        <c:noMultiLvlLbl val="0"/>
      </c:catAx>
      <c:valAx>
        <c:axId val="65525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48397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1k</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带宽占用RocksDB!$F$1</c:f>
              <c:strCache>
                <c:ptCount val="1"/>
                <c:pt idx="0">
                  <c:v>read</c:v>
                </c:pt>
              </c:strCache>
            </c:strRef>
          </c:tx>
          <c:spPr>
            <a:ln w="28575" cap="rnd">
              <a:solidFill>
                <a:schemeClr val="accent1"/>
              </a:solidFill>
              <a:round/>
            </a:ln>
            <a:effectLst/>
          </c:spPr>
          <c:marker>
            <c:symbol val="none"/>
          </c:marker>
          <c:val>
            <c:numRef>
              <c:f>带宽占用RocksDB!$F$2:$F$201</c:f>
              <c:numCache>
                <c:formatCode>General</c:formatCode>
                <c:ptCount val="200"/>
                <c:pt idx="0">
                  <c:v>0</c:v>
                </c:pt>
                <c:pt idx="1">
                  <c:v>1</c:v>
                </c:pt>
                <c:pt idx="2">
                  <c:v>246</c:v>
                </c:pt>
                <c:pt idx="3">
                  <c:v>282</c:v>
                </c:pt>
                <c:pt idx="4">
                  <c:v>330</c:v>
                </c:pt>
                <c:pt idx="5">
                  <c:v>374</c:v>
                </c:pt>
                <c:pt idx="6">
                  <c:v>449</c:v>
                </c:pt>
                <c:pt idx="7">
                  <c:v>501</c:v>
                </c:pt>
                <c:pt idx="8">
                  <c:v>463</c:v>
                </c:pt>
                <c:pt idx="9">
                  <c:v>423</c:v>
                </c:pt>
                <c:pt idx="10">
                  <c:v>436</c:v>
                </c:pt>
                <c:pt idx="11">
                  <c:v>614</c:v>
                </c:pt>
                <c:pt idx="12">
                  <c:v>575</c:v>
                </c:pt>
                <c:pt idx="13">
                  <c:v>502</c:v>
                </c:pt>
                <c:pt idx="14">
                  <c:v>1006</c:v>
                </c:pt>
                <c:pt idx="15">
                  <c:v>764</c:v>
                </c:pt>
                <c:pt idx="16">
                  <c:v>479</c:v>
                </c:pt>
                <c:pt idx="17">
                  <c:v>714</c:v>
                </c:pt>
                <c:pt idx="18">
                  <c:v>536</c:v>
                </c:pt>
                <c:pt idx="19">
                  <c:v>451</c:v>
                </c:pt>
                <c:pt idx="20">
                  <c:v>761</c:v>
                </c:pt>
                <c:pt idx="21">
                  <c:v>1010</c:v>
                </c:pt>
                <c:pt idx="22">
                  <c:v>664</c:v>
                </c:pt>
                <c:pt idx="23">
                  <c:v>514</c:v>
                </c:pt>
                <c:pt idx="24">
                  <c:v>654</c:v>
                </c:pt>
                <c:pt idx="25">
                  <c:v>687</c:v>
                </c:pt>
                <c:pt idx="26">
                  <c:v>528</c:v>
                </c:pt>
                <c:pt idx="27">
                  <c:v>461</c:v>
                </c:pt>
                <c:pt idx="28">
                  <c:v>906</c:v>
                </c:pt>
                <c:pt idx="29">
                  <c:v>1015</c:v>
                </c:pt>
                <c:pt idx="30">
                  <c:v>997</c:v>
                </c:pt>
                <c:pt idx="31">
                  <c:v>511</c:v>
                </c:pt>
                <c:pt idx="32">
                  <c:v>714</c:v>
                </c:pt>
                <c:pt idx="33">
                  <c:v>639</c:v>
                </c:pt>
                <c:pt idx="34">
                  <c:v>569</c:v>
                </c:pt>
                <c:pt idx="35">
                  <c:v>735</c:v>
                </c:pt>
                <c:pt idx="36">
                  <c:v>731</c:v>
                </c:pt>
                <c:pt idx="37">
                  <c:v>1039</c:v>
                </c:pt>
                <c:pt idx="38">
                  <c:v>1032</c:v>
                </c:pt>
                <c:pt idx="39">
                  <c:v>1012</c:v>
                </c:pt>
                <c:pt idx="40">
                  <c:v>1006</c:v>
                </c:pt>
                <c:pt idx="41">
                  <c:v>844</c:v>
                </c:pt>
                <c:pt idx="42">
                  <c:v>391</c:v>
                </c:pt>
                <c:pt idx="43">
                  <c:v>680</c:v>
                </c:pt>
                <c:pt idx="44">
                  <c:v>604</c:v>
                </c:pt>
                <c:pt idx="45">
                  <c:v>595</c:v>
                </c:pt>
                <c:pt idx="46">
                  <c:v>842</c:v>
                </c:pt>
                <c:pt idx="47">
                  <c:v>829</c:v>
                </c:pt>
                <c:pt idx="48">
                  <c:v>1034</c:v>
                </c:pt>
                <c:pt idx="49">
                  <c:v>1025</c:v>
                </c:pt>
                <c:pt idx="50">
                  <c:v>1012</c:v>
                </c:pt>
                <c:pt idx="51">
                  <c:v>993</c:v>
                </c:pt>
                <c:pt idx="52">
                  <c:v>1001</c:v>
                </c:pt>
                <c:pt idx="53">
                  <c:v>506</c:v>
                </c:pt>
                <c:pt idx="54">
                  <c:v>514</c:v>
                </c:pt>
                <c:pt idx="55">
                  <c:v>598</c:v>
                </c:pt>
                <c:pt idx="56">
                  <c:v>687</c:v>
                </c:pt>
                <c:pt idx="57">
                  <c:v>799</c:v>
                </c:pt>
                <c:pt idx="58">
                  <c:v>832</c:v>
                </c:pt>
                <c:pt idx="59">
                  <c:v>1044</c:v>
                </c:pt>
                <c:pt idx="60">
                  <c:v>1029</c:v>
                </c:pt>
                <c:pt idx="61">
                  <c:v>1021</c:v>
                </c:pt>
                <c:pt idx="62">
                  <c:v>1035</c:v>
                </c:pt>
                <c:pt idx="63">
                  <c:v>1030</c:v>
                </c:pt>
                <c:pt idx="64">
                  <c:v>1034</c:v>
                </c:pt>
                <c:pt idx="65">
                  <c:v>1063</c:v>
                </c:pt>
                <c:pt idx="66">
                  <c:v>1051</c:v>
                </c:pt>
                <c:pt idx="67">
                  <c:v>1023</c:v>
                </c:pt>
                <c:pt idx="68">
                  <c:v>636</c:v>
                </c:pt>
                <c:pt idx="69">
                  <c:v>568</c:v>
                </c:pt>
                <c:pt idx="70">
                  <c:v>631</c:v>
                </c:pt>
                <c:pt idx="71">
                  <c:v>692</c:v>
                </c:pt>
                <c:pt idx="72">
                  <c:v>770</c:v>
                </c:pt>
                <c:pt idx="73">
                  <c:v>855</c:v>
                </c:pt>
                <c:pt idx="74">
                  <c:v>1083</c:v>
                </c:pt>
                <c:pt idx="75">
                  <c:v>1057</c:v>
                </c:pt>
                <c:pt idx="76">
                  <c:v>1052</c:v>
                </c:pt>
                <c:pt idx="77">
                  <c:v>1048</c:v>
                </c:pt>
                <c:pt idx="78">
                  <c:v>1032</c:v>
                </c:pt>
                <c:pt idx="79">
                  <c:v>1036</c:v>
                </c:pt>
                <c:pt idx="80">
                  <c:v>1047</c:v>
                </c:pt>
                <c:pt idx="81">
                  <c:v>1063</c:v>
                </c:pt>
                <c:pt idx="82">
                  <c:v>1084</c:v>
                </c:pt>
                <c:pt idx="83">
                  <c:v>1049</c:v>
                </c:pt>
                <c:pt idx="84">
                  <c:v>959</c:v>
                </c:pt>
                <c:pt idx="85">
                  <c:v>443</c:v>
                </c:pt>
                <c:pt idx="86">
                  <c:v>692</c:v>
                </c:pt>
                <c:pt idx="87">
                  <c:v>559</c:v>
                </c:pt>
                <c:pt idx="88">
                  <c:v>566</c:v>
                </c:pt>
                <c:pt idx="89">
                  <c:v>829</c:v>
                </c:pt>
                <c:pt idx="90">
                  <c:v>918</c:v>
                </c:pt>
                <c:pt idx="91">
                  <c:v>683</c:v>
                </c:pt>
                <c:pt idx="92">
                  <c:v>784</c:v>
                </c:pt>
                <c:pt idx="93">
                  <c:v>1048</c:v>
                </c:pt>
                <c:pt idx="94">
                  <c:v>1046</c:v>
                </c:pt>
                <c:pt idx="95">
                  <c:v>1038</c:v>
                </c:pt>
                <c:pt idx="96">
                  <c:v>1093</c:v>
                </c:pt>
                <c:pt idx="97">
                  <c:v>1079</c:v>
                </c:pt>
                <c:pt idx="98">
                  <c:v>1127</c:v>
                </c:pt>
                <c:pt idx="99">
                  <c:v>1062</c:v>
                </c:pt>
                <c:pt idx="100">
                  <c:v>1050</c:v>
                </c:pt>
                <c:pt idx="101">
                  <c:v>980</c:v>
                </c:pt>
                <c:pt idx="102">
                  <c:v>431</c:v>
                </c:pt>
                <c:pt idx="103">
                  <c:v>660</c:v>
                </c:pt>
                <c:pt idx="104">
                  <c:v>634</c:v>
                </c:pt>
                <c:pt idx="105">
                  <c:v>473</c:v>
                </c:pt>
                <c:pt idx="106">
                  <c:v>843</c:v>
                </c:pt>
                <c:pt idx="107">
                  <c:v>941</c:v>
                </c:pt>
                <c:pt idx="108">
                  <c:v>731</c:v>
                </c:pt>
                <c:pt idx="109">
                  <c:v>652</c:v>
                </c:pt>
                <c:pt idx="110">
                  <c:v>823</c:v>
                </c:pt>
                <c:pt idx="111">
                  <c:v>1066</c:v>
                </c:pt>
                <c:pt idx="112">
                  <c:v>1095</c:v>
                </c:pt>
                <c:pt idx="113">
                  <c:v>1081</c:v>
                </c:pt>
                <c:pt idx="114">
                  <c:v>1053</c:v>
                </c:pt>
                <c:pt idx="115">
                  <c:v>1070</c:v>
                </c:pt>
                <c:pt idx="116">
                  <c:v>1082</c:v>
                </c:pt>
                <c:pt idx="117">
                  <c:v>1078</c:v>
                </c:pt>
                <c:pt idx="118">
                  <c:v>1081</c:v>
                </c:pt>
                <c:pt idx="119">
                  <c:v>1074</c:v>
                </c:pt>
                <c:pt idx="120">
                  <c:v>1089</c:v>
                </c:pt>
                <c:pt idx="121">
                  <c:v>1071</c:v>
                </c:pt>
                <c:pt idx="122">
                  <c:v>1083</c:v>
                </c:pt>
                <c:pt idx="123">
                  <c:v>1076</c:v>
                </c:pt>
                <c:pt idx="124">
                  <c:v>1064</c:v>
                </c:pt>
                <c:pt idx="125">
                  <c:v>1030</c:v>
                </c:pt>
                <c:pt idx="126">
                  <c:v>594</c:v>
                </c:pt>
                <c:pt idx="127">
                  <c:v>651</c:v>
                </c:pt>
                <c:pt idx="128">
                  <c:v>587</c:v>
                </c:pt>
                <c:pt idx="129">
                  <c:v>570</c:v>
                </c:pt>
                <c:pt idx="130">
                  <c:v>792</c:v>
                </c:pt>
                <c:pt idx="131">
                  <c:v>876</c:v>
                </c:pt>
                <c:pt idx="132">
                  <c:v>828</c:v>
                </c:pt>
                <c:pt idx="133">
                  <c:v>694</c:v>
                </c:pt>
                <c:pt idx="134">
                  <c:v>659</c:v>
                </c:pt>
                <c:pt idx="135">
                  <c:v>920</c:v>
                </c:pt>
                <c:pt idx="136">
                  <c:v>1085</c:v>
                </c:pt>
                <c:pt idx="137">
                  <c:v>1099</c:v>
                </c:pt>
                <c:pt idx="138">
                  <c:v>1095</c:v>
                </c:pt>
                <c:pt idx="139">
                  <c:v>1090</c:v>
                </c:pt>
                <c:pt idx="140">
                  <c:v>1085</c:v>
                </c:pt>
                <c:pt idx="141">
                  <c:v>1093</c:v>
                </c:pt>
                <c:pt idx="142">
                  <c:v>1085</c:v>
                </c:pt>
                <c:pt idx="143">
                  <c:v>1101</c:v>
                </c:pt>
                <c:pt idx="144">
                  <c:v>1088</c:v>
                </c:pt>
                <c:pt idx="145">
                  <c:v>1090</c:v>
                </c:pt>
                <c:pt idx="146">
                  <c:v>1098</c:v>
                </c:pt>
                <c:pt idx="147">
                  <c:v>1083</c:v>
                </c:pt>
                <c:pt idx="148">
                  <c:v>1066</c:v>
                </c:pt>
                <c:pt idx="149">
                  <c:v>1073</c:v>
                </c:pt>
                <c:pt idx="150">
                  <c:v>1072</c:v>
                </c:pt>
                <c:pt idx="151">
                  <c:v>1044</c:v>
                </c:pt>
                <c:pt idx="152">
                  <c:v>892</c:v>
                </c:pt>
                <c:pt idx="153">
                  <c:v>450</c:v>
                </c:pt>
                <c:pt idx="154">
                  <c:v>684</c:v>
                </c:pt>
                <c:pt idx="155">
                  <c:v>693</c:v>
                </c:pt>
                <c:pt idx="156">
                  <c:v>596</c:v>
                </c:pt>
                <c:pt idx="157">
                  <c:v>854</c:v>
                </c:pt>
                <c:pt idx="158">
                  <c:v>1064</c:v>
                </c:pt>
                <c:pt idx="159">
                  <c:v>459</c:v>
                </c:pt>
                <c:pt idx="160">
                  <c:v>668</c:v>
                </c:pt>
                <c:pt idx="161">
                  <c:v>731</c:v>
                </c:pt>
                <c:pt idx="162">
                  <c:v>924</c:v>
                </c:pt>
                <c:pt idx="163">
                  <c:v>1076</c:v>
                </c:pt>
                <c:pt idx="164">
                  <c:v>1089</c:v>
                </c:pt>
                <c:pt idx="165">
                  <c:v>1090</c:v>
                </c:pt>
                <c:pt idx="166">
                  <c:v>1073</c:v>
                </c:pt>
                <c:pt idx="167">
                  <c:v>1077</c:v>
                </c:pt>
                <c:pt idx="168">
                  <c:v>1082</c:v>
                </c:pt>
                <c:pt idx="169">
                  <c:v>1103</c:v>
                </c:pt>
                <c:pt idx="170">
                  <c:v>1089</c:v>
                </c:pt>
                <c:pt idx="171">
                  <c:v>1094</c:v>
                </c:pt>
                <c:pt idx="172">
                  <c:v>1107</c:v>
                </c:pt>
                <c:pt idx="173">
                  <c:v>1127</c:v>
                </c:pt>
                <c:pt idx="174">
                  <c:v>1106</c:v>
                </c:pt>
                <c:pt idx="175">
                  <c:v>1087</c:v>
                </c:pt>
                <c:pt idx="176">
                  <c:v>1085</c:v>
                </c:pt>
                <c:pt idx="177">
                  <c:v>1117</c:v>
                </c:pt>
                <c:pt idx="178">
                  <c:v>1070</c:v>
                </c:pt>
                <c:pt idx="179">
                  <c:v>1082</c:v>
                </c:pt>
                <c:pt idx="180">
                  <c:v>1064</c:v>
                </c:pt>
                <c:pt idx="181">
                  <c:v>1040</c:v>
                </c:pt>
                <c:pt idx="182">
                  <c:v>566</c:v>
                </c:pt>
                <c:pt idx="183">
                  <c:v>543</c:v>
                </c:pt>
                <c:pt idx="184">
                  <c:v>656</c:v>
                </c:pt>
                <c:pt idx="185">
                  <c:v>696</c:v>
                </c:pt>
                <c:pt idx="186">
                  <c:v>714</c:v>
                </c:pt>
                <c:pt idx="187">
                  <c:v>873</c:v>
                </c:pt>
                <c:pt idx="188">
                  <c:v>966</c:v>
                </c:pt>
                <c:pt idx="189">
                  <c:v>541</c:v>
                </c:pt>
                <c:pt idx="190">
                  <c:v>607</c:v>
                </c:pt>
                <c:pt idx="191">
                  <c:v>853</c:v>
                </c:pt>
                <c:pt idx="192">
                  <c:v>922</c:v>
                </c:pt>
                <c:pt idx="193">
                  <c:v>1073</c:v>
                </c:pt>
                <c:pt idx="194">
                  <c:v>1087</c:v>
                </c:pt>
                <c:pt idx="195">
                  <c:v>1084</c:v>
                </c:pt>
                <c:pt idx="196">
                  <c:v>1086</c:v>
                </c:pt>
                <c:pt idx="197">
                  <c:v>1108</c:v>
                </c:pt>
                <c:pt idx="198">
                  <c:v>1102</c:v>
                </c:pt>
                <c:pt idx="199">
                  <c:v>1103</c:v>
                </c:pt>
              </c:numCache>
            </c:numRef>
          </c:val>
          <c:smooth val="0"/>
          <c:extLst>
            <c:ext xmlns:c16="http://schemas.microsoft.com/office/drawing/2014/chart" uri="{C3380CC4-5D6E-409C-BE32-E72D297353CC}">
              <c16:uniqueId val="{00000000-822B-4B1B-ACE1-34E1D8D13095}"/>
            </c:ext>
          </c:extLst>
        </c:ser>
        <c:ser>
          <c:idx val="1"/>
          <c:order val="1"/>
          <c:tx>
            <c:strRef>
              <c:f>带宽占用RocksDB!$G$1</c:f>
              <c:strCache>
                <c:ptCount val="1"/>
                <c:pt idx="0">
                  <c:v>write</c:v>
                </c:pt>
              </c:strCache>
            </c:strRef>
          </c:tx>
          <c:spPr>
            <a:ln w="28575" cap="rnd">
              <a:solidFill>
                <a:schemeClr val="accent2"/>
              </a:solidFill>
              <a:round/>
            </a:ln>
            <a:effectLst/>
          </c:spPr>
          <c:marker>
            <c:symbol val="none"/>
          </c:marker>
          <c:val>
            <c:numRef>
              <c:f>带宽占用RocksDB!$G$2:$G$201</c:f>
              <c:numCache>
                <c:formatCode>General</c:formatCode>
                <c:ptCount val="200"/>
                <c:pt idx="0">
                  <c:v>0</c:v>
                </c:pt>
                <c:pt idx="1">
                  <c:v>384</c:v>
                </c:pt>
                <c:pt idx="2">
                  <c:v>629</c:v>
                </c:pt>
                <c:pt idx="3">
                  <c:v>657</c:v>
                </c:pt>
                <c:pt idx="4">
                  <c:v>697</c:v>
                </c:pt>
                <c:pt idx="5">
                  <c:v>822</c:v>
                </c:pt>
                <c:pt idx="6">
                  <c:v>810</c:v>
                </c:pt>
                <c:pt idx="7">
                  <c:v>867</c:v>
                </c:pt>
                <c:pt idx="8">
                  <c:v>827</c:v>
                </c:pt>
                <c:pt idx="9">
                  <c:v>781</c:v>
                </c:pt>
                <c:pt idx="10">
                  <c:v>773</c:v>
                </c:pt>
                <c:pt idx="11">
                  <c:v>961</c:v>
                </c:pt>
                <c:pt idx="12">
                  <c:v>909</c:v>
                </c:pt>
                <c:pt idx="13">
                  <c:v>863</c:v>
                </c:pt>
                <c:pt idx="14">
                  <c:v>1350</c:v>
                </c:pt>
                <c:pt idx="15">
                  <c:v>1121</c:v>
                </c:pt>
                <c:pt idx="16">
                  <c:v>845</c:v>
                </c:pt>
                <c:pt idx="17">
                  <c:v>1083</c:v>
                </c:pt>
                <c:pt idx="18">
                  <c:v>896</c:v>
                </c:pt>
                <c:pt idx="19">
                  <c:v>810</c:v>
                </c:pt>
                <c:pt idx="20">
                  <c:v>1091</c:v>
                </c:pt>
                <c:pt idx="21">
                  <c:v>1336</c:v>
                </c:pt>
                <c:pt idx="22">
                  <c:v>1084</c:v>
                </c:pt>
                <c:pt idx="23">
                  <c:v>891</c:v>
                </c:pt>
                <c:pt idx="24">
                  <c:v>1033</c:v>
                </c:pt>
                <c:pt idx="25">
                  <c:v>1052</c:v>
                </c:pt>
                <c:pt idx="26">
                  <c:v>875</c:v>
                </c:pt>
                <c:pt idx="27">
                  <c:v>813</c:v>
                </c:pt>
                <c:pt idx="28">
                  <c:v>1172</c:v>
                </c:pt>
                <c:pt idx="29">
                  <c:v>1355</c:v>
                </c:pt>
                <c:pt idx="30">
                  <c:v>1349</c:v>
                </c:pt>
                <c:pt idx="31">
                  <c:v>891</c:v>
                </c:pt>
                <c:pt idx="32">
                  <c:v>1079</c:v>
                </c:pt>
                <c:pt idx="33">
                  <c:v>1007</c:v>
                </c:pt>
                <c:pt idx="34">
                  <c:v>926</c:v>
                </c:pt>
                <c:pt idx="35">
                  <c:v>1075</c:v>
                </c:pt>
                <c:pt idx="36">
                  <c:v>1051</c:v>
                </c:pt>
                <c:pt idx="37">
                  <c:v>1318</c:v>
                </c:pt>
                <c:pt idx="38">
                  <c:v>1329</c:v>
                </c:pt>
                <c:pt idx="39">
                  <c:v>1323</c:v>
                </c:pt>
                <c:pt idx="40">
                  <c:v>1313</c:v>
                </c:pt>
                <c:pt idx="41">
                  <c:v>1207</c:v>
                </c:pt>
                <c:pt idx="42">
                  <c:v>756</c:v>
                </c:pt>
                <c:pt idx="43">
                  <c:v>1040</c:v>
                </c:pt>
                <c:pt idx="44">
                  <c:v>977</c:v>
                </c:pt>
                <c:pt idx="45">
                  <c:v>969</c:v>
                </c:pt>
                <c:pt idx="46">
                  <c:v>1237</c:v>
                </c:pt>
                <c:pt idx="47">
                  <c:v>1150</c:v>
                </c:pt>
                <c:pt idx="48">
                  <c:v>1310</c:v>
                </c:pt>
                <c:pt idx="49">
                  <c:v>1306</c:v>
                </c:pt>
                <c:pt idx="50">
                  <c:v>1319</c:v>
                </c:pt>
                <c:pt idx="51">
                  <c:v>1329</c:v>
                </c:pt>
                <c:pt idx="52">
                  <c:v>1368</c:v>
                </c:pt>
                <c:pt idx="53">
                  <c:v>919</c:v>
                </c:pt>
                <c:pt idx="54">
                  <c:v>860</c:v>
                </c:pt>
                <c:pt idx="55">
                  <c:v>1029</c:v>
                </c:pt>
                <c:pt idx="56">
                  <c:v>1069</c:v>
                </c:pt>
                <c:pt idx="57">
                  <c:v>1175</c:v>
                </c:pt>
                <c:pt idx="58">
                  <c:v>1166</c:v>
                </c:pt>
                <c:pt idx="59">
                  <c:v>1307</c:v>
                </c:pt>
                <c:pt idx="60">
                  <c:v>1309</c:v>
                </c:pt>
                <c:pt idx="61">
                  <c:v>1323</c:v>
                </c:pt>
                <c:pt idx="62">
                  <c:v>1311</c:v>
                </c:pt>
                <c:pt idx="63">
                  <c:v>1310</c:v>
                </c:pt>
                <c:pt idx="64">
                  <c:v>1300</c:v>
                </c:pt>
                <c:pt idx="65">
                  <c:v>1289</c:v>
                </c:pt>
                <c:pt idx="66">
                  <c:v>1317</c:v>
                </c:pt>
                <c:pt idx="67">
                  <c:v>1326</c:v>
                </c:pt>
                <c:pt idx="68">
                  <c:v>1002</c:v>
                </c:pt>
                <c:pt idx="69">
                  <c:v>937</c:v>
                </c:pt>
                <c:pt idx="70">
                  <c:v>998</c:v>
                </c:pt>
                <c:pt idx="71">
                  <c:v>1103</c:v>
                </c:pt>
                <c:pt idx="72">
                  <c:v>1137</c:v>
                </c:pt>
                <c:pt idx="73">
                  <c:v>1234</c:v>
                </c:pt>
                <c:pt idx="74">
                  <c:v>1289</c:v>
                </c:pt>
                <c:pt idx="75">
                  <c:v>1290</c:v>
                </c:pt>
                <c:pt idx="76">
                  <c:v>1293</c:v>
                </c:pt>
                <c:pt idx="77">
                  <c:v>1312</c:v>
                </c:pt>
                <c:pt idx="78">
                  <c:v>1312</c:v>
                </c:pt>
                <c:pt idx="79">
                  <c:v>1294</c:v>
                </c:pt>
                <c:pt idx="80">
                  <c:v>1293</c:v>
                </c:pt>
                <c:pt idx="81">
                  <c:v>1300</c:v>
                </c:pt>
                <c:pt idx="82">
                  <c:v>1291</c:v>
                </c:pt>
                <c:pt idx="83">
                  <c:v>1291</c:v>
                </c:pt>
                <c:pt idx="84">
                  <c:v>1295</c:v>
                </c:pt>
                <c:pt idx="85">
                  <c:v>846</c:v>
                </c:pt>
                <c:pt idx="86">
                  <c:v>1078</c:v>
                </c:pt>
                <c:pt idx="87">
                  <c:v>930</c:v>
                </c:pt>
                <c:pt idx="88">
                  <c:v>946</c:v>
                </c:pt>
                <c:pt idx="89">
                  <c:v>1191</c:v>
                </c:pt>
                <c:pt idx="90">
                  <c:v>1282</c:v>
                </c:pt>
                <c:pt idx="91">
                  <c:v>1050</c:v>
                </c:pt>
                <c:pt idx="92">
                  <c:v>1070</c:v>
                </c:pt>
                <c:pt idx="93">
                  <c:v>1318</c:v>
                </c:pt>
                <c:pt idx="94">
                  <c:v>1323</c:v>
                </c:pt>
                <c:pt idx="95">
                  <c:v>1301</c:v>
                </c:pt>
                <c:pt idx="96">
                  <c:v>1273</c:v>
                </c:pt>
                <c:pt idx="97">
                  <c:v>1281</c:v>
                </c:pt>
                <c:pt idx="98">
                  <c:v>1245</c:v>
                </c:pt>
                <c:pt idx="99">
                  <c:v>1296</c:v>
                </c:pt>
                <c:pt idx="100">
                  <c:v>1306</c:v>
                </c:pt>
                <c:pt idx="101">
                  <c:v>1332</c:v>
                </c:pt>
                <c:pt idx="102">
                  <c:v>804</c:v>
                </c:pt>
                <c:pt idx="103">
                  <c:v>1029</c:v>
                </c:pt>
                <c:pt idx="104">
                  <c:v>989</c:v>
                </c:pt>
                <c:pt idx="105">
                  <c:v>834</c:v>
                </c:pt>
                <c:pt idx="106">
                  <c:v>1218</c:v>
                </c:pt>
                <c:pt idx="107">
                  <c:v>1309</c:v>
                </c:pt>
                <c:pt idx="108">
                  <c:v>1096</c:v>
                </c:pt>
                <c:pt idx="109">
                  <c:v>1036</c:v>
                </c:pt>
                <c:pt idx="110">
                  <c:v>1232</c:v>
                </c:pt>
                <c:pt idx="111">
                  <c:v>1252</c:v>
                </c:pt>
                <c:pt idx="112">
                  <c:v>1272</c:v>
                </c:pt>
                <c:pt idx="113">
                  <c:v>1270</c:v>
                </c:pt>
                <c:pt idx="114">
                  <c:v>1284</c:v>
                </c:pt>
                <c:pt idx="115">
                  <c:v>1252</c:v>
                </c:pt>
                <c:pt idx="116">
                  <c:v>1248</c:v>
                </c:pt>
                <c:pt idx="117">
                  <c:v>1248</c:v>
                </c:pt>
                <c:pt idx="118">
                  <c:v>1256</c:v>
                </c:pt>
                <c:pt idx="119">
                  <c:v>1239</c:v>
                </c:pt>
                <c:pt idx="120">
                  <c:v>1249</c:v>
                </c:pt>
                <c:pt idx="121">
                  <c:v>1270</c:v>
                </c:pt>
                <c:pt idx="122">
                  <c:v>1268</c:v>
                </c:pt>
                <c:pt idx="123">
                  <c:v>1289</c:v>
                </c:pt>
                <c:pt idx="124">
                  <c:v>1321</c:v>
                </c:pt>
                <c:pt idx="125">
                  <c:v>1334</c:v>
                </c:pt>
                <c:pt idx="126">
                  <c:v>968</c:v>
                </c:pt>
                <c:pt idx="127">
                  <c:v>1027</c:v>
                </c:pt>
                <c:pt idx="128">
                  <c:v>965</c:v>
                </c:pt>
                <c:pt idx="129">
                  <c:v>940</c:v>
                </c:pt>
                <c:pt idx="130">
                  <c:v>1155</c:v>
                </c:pt>
                <c:pt idx="131">
                  <c:v>1241</c:v>
                </c:pt>
                <c:pt idx="132">
                  <c:v>1141</c:v>
                </c:pt>
                <c:pt idx="133">
                  <c:v>1082</c:v>
                </c:pt>
                <c:pt idx="134">
                  <c:v>1040</c:v>
                </c:pt>
                <c:pt idx="135">
                  <c:v>1242</c:v>
                </c:pt>
                <c:pt idx="136">
                  <c:v>1296</c:v>
                </c:pt>
                <c:pt idx="137">
                  <c:v>1282</c:v>
                </c:pt>
                <c:pt idx="138">
                  <c:v>1271</c:v>
                </c:pt>
                <c:pt idx="139">
                  <c:v>1287</c:v>
                </c:pt>
                <c:pt idx="140">
                  <c:v>1278</c:v>
                </c:pt>
                <c:pt idx="141">
                  <c:v>1285</c:v>
                </c:pt>
                <c:pt idx="142">
                  <c:v>1283</c:v>
                </c:pt>
                <c:pt idx="143">
                  <c:v>1257</c:v>
                </c:pt>
                <c:pt idx="144">
                  <c:v>1264</c:v>
                </c:pt>
                <c:pt idx="145">
                  <c:v>1280</c:v>
                </c:pt>
                <c:pt idx="146">
                  <c:v>1229</c:v>
                </c:pt>
                <c:pt idx="147">
                  <c:v>1258</c:v>
                </c:pt>
                <c:pt idx="148">
                  <c:v>1270</c:v>
                </c:pt>
                <c:pt idx="149">
                  <c:v>1301</c:v>
                </c:pt>
                <c:pt idx="150">
                  <c:v>1306</c:v>
                </c:pt>
                <c:pt idx="151">
                  <c:v>1319</c:v>
                </c:pt>
                <c:pt idx="152">
                  <c:v>1240</c:v>
                </c:pt>
                <c:pt idx="153">
                  <c:v>817</c:v>
                </c:pt>
                <c:pt idx="154">
                  <c:v>1058</c:v>
                </c:pt>
                <c:pt idx="155">
                  <c:v>1126</c:v>
                </c:pt>
                <c:pt idx="156">
                  <c:v>974</c:v>
                </c:pt>
                <c:pt idx="157">
                  <c:v>1226</c:v>
                </c:pt>
                <c:pt idx="158">
                  <c:v>1205</c:v>
                </c:pt>
                <c:pt idx="159">
                  <c:v>838</c:v>
                </c:pt>
                <c:pt idx="160">
                  <c:v>1051</c:v>
                </c:pt>
                <c:pt idx="161">
                  <c:v>1054</c:v>
                </c:pt>
                <c:pt idx="162">
                  <c:v>1190</c:v>
                </c:pt>
                <c:pt idx="163">
                  <c:v>1302</c:v>
                </c:pt>
                <c:pt idx="164">
                  <c:v>1288</c:v>
                </c:pt>
                <c:pt idx="165">
                  <c:v>1280</c:v>
                </c:pt>
                <c:pt idx="166">
                  <c:v>1310</c:v>
                </c:pt>
                <c:pt idx="167">
                  <c:v>1285</c:v>
                </c:pt>
                <c:pt idx="168">
                  <c:v>1286</c:v>
                </c:pt>
                <c:pt idx="169">
                  <c:v>1277</c:v>
                </c:pt>
                <c:pt idx="170">
                  <c:v>1268</c:v>
                </c:pt>
                <c:pt idx="171">
                  <c:v>1282</c:v>
                </c:pt>
                <c:pt idx="172">
                  <c:v>1261</c:v>
                </c:pt>
                <c:pt idx="173">
                  <c:v>1252</c:v>
                </c:pt>
                <c:pt idx="174">
                  <c:v>1280</c:v>
                </c:pt>
                <c:pt idx="175">
                  <c:v>1289</c:v>
                </c:pt>
                <c:pt idx="176">
                  <c:v>1294</c:v>
                </c:pt>
                <c:pt idx="177">
                  <c:v>1266</c:v>
                </c:pt>
                <c:pt idx="178">
                  <c:v>1288</c:v>
                </c:pt>
                <c:pt idx="179">
                  <c:v>1297</c:v>
                </c:pt>
                <c:pt idx="180">
                  <c:v>1334</c:v>
                </c:pt>
                <c:pt idx="181">
                  <c:v>1363</c:v>
                </c:pt>
                <c:pt idx="182">
                  <c:v>959</c:v>
                </c:pt>
                <c:pt idx="183">
                  <c:v>931</c:v>
                </c:pt>
                <c:pt idx="184">
                  <c:v>1049</c:v>
                </c:pt>
                <c:pt idx="185">
                  <c:v>1101</c:v>
                </c:pt>
                <c:pt idx="186">
                  <c:v>1111</c:v>
                </c:pt>
                <c:pt idx="187">
                  <c:v>1233</c:v>
                </c:pt>
                <c:pt idx="188">
                  <c:v>1120</c:v>
                </c:pt>
                <c:pt idx="189">
                  <c:v>906</c:v>
                </c:pt>
                <c:pt idx="190">
                  <c:v>981</c:v>
                </c:pt>
                <c:pt idx="191">
                  <c:v>1190</c:v>
                </c:pt>
                <c:pt idx="192">
                  <c:v>1135</c:v>
                </c:pt>
                <c:pt idx="193">
                  <c:v>1277</c:v>
                </c:pt>
                <c:pt idx="194">
                  <c:v>1300</c:v>
                </c:pt>
                <c:pt idx="195">
                  <c:v>1297</c:v>
                </c:pt>
                <c:pt idx="196">
                  <c:v>1286</c:v>
                </c:pt>
                <c:pt idx="197">
                  <c:v>1281</c:v>
                </c:pt>
                <c:pt idx="198">
                  <c:v>1293</c:v>
                </c:pt>
                <c:pt idx="199">
                  <c:v>1296</c:v>
                </c:pt>
              </c:numCache>
            </c:numRef>
          </c:val>
          <c:smooth val="0"/>
          <c:extLst>
            <c:ext xmlns:c16="http://schemas.microsoft.com/office/drawing/2014/chart" uri="{C3380CC4-5D6E-409C-BE32-E72D297353CC}">
              <c16:uniqueId val="{00000001-822B-4B1B-ACE1-34E1D8D13095}"/>
            </c:ext>
          </c:extLst>
        </c:ser>
        <c:ser>
          <c:idx val="2"/>
          <c:order val="2"/>
          <c:tx>
            <c:strRef>
              <c:f>带宽占用RocksDB!$H$1</c:f>
              <c:strCache>
                <c:ptCount val="1"/>
                <c:pt idx="0">
                  <c:v>total</c:v>
                </c:pt>
              </c:strCache>
            </c:strRef>
          </c:tx>
          <c:spPr>
            <a:ln w="28575" cap="rnd">
              <a:solidFill>
                <a:schemeClr val="accent3"/>
              </a:solidFill>
              <a:round/>
            </a:ln>
            <a:effectLst/>
          </c:spPr>
          <c:marker>
            <c:symbol val="none"/>
          </c:marker>
          <c:val>
            <c:numRef>
              <c:f>带宽占用RocksDB!$H$2:$H$201</c:f>
              <c:numCache>
                <c:formatCode>General</c:formatCode>
                <c:ptCount val="200"/>
                <c:pt idx="0">
                  <c:v>0</c:v>
                </c:pt>
                <c:pt idx="1">
                  <c:v>385</c:v>
                </c:pt>
                <c:pt idx="2">
                  <c:v>875</c:v>
                </c:pt>
                <c:pt idx="3">
                  <c:v>939</c:v>
                </c:pt>
                <c:pt idx="4">
                  <c:v>1027</c:v>
                </c:pt>
                <c:pt idx="5">
                  <c:v>1196</c:v>
                </c:pt>
                <c:pt idx="6">
                  <c:v>1259</c:v>
                </c:pt>
                <c:pt idx="7">
                  <c:v>1368</c:v>
                </c:pt>
                <c:pt idx="8">
                  <c:v>1290</c:v>
                </c:pt>
                <c:pt idx="9">
                  <c:v>1204</c:v>
                </c:pt>
                <c:pt idx="10">
                  <c:v>1209</c:v>
                </c:pt>
                <c:pt idx="11">
                  <c:v>1575</c:v>
                </c:pt>
                <c:pt idx="12">
                  <c:v>1484</c:v>
                </c:pt>
                <c:pt idx="13">
                  <c:v>1365</c:v>
                </c:pt>
                <c:pt idx="14">
                  <c:v>2356</c:v>
                </c:pt>
                <c:pt idx="15">
                  <c:v>1885</c:v>
                </c:pt>
                <c:pt idx="16">
                  <c:v>1324</c:v>
                </c:pt>
                <c:pt idx="17">
                  <c:v>1797</c:v>
                </c:pt>
                <c:pt idx="18">
                  <c:v>1432</c:v>
                </c:pt>
                <c:pt idx="19">
                  <c:v>1261</c:v>
                </c:pt>
                <c:pt idx="20">
                  <c:v>1852</c:v>
                </c:pt>
                <c:pt idx="21">
                  <c:v>2346</c:v>
                </c:pt>
                <c:pt idx="22">
                  <c:v>1748</c:v>
                </c:pt>
                <c:pt idx="23">
                  <c:v>1405</c:v>
                </c:pt>
                <c:pt idx="24">
                  <c:v>1687</c:v>
                </c:pt>
                <c:pt idx="25">
                  <c:v>1739</c:v>
                </c:pt>
                <c:pt idx="26">
                  <c:v>1403</c:v>
                </c:pt>
                <c:pt idx="27">
                  <c:v>1274</c:v>
                </c:pt>
                <c:pt idx="28">
                  <c:v>2078</c:v>
                </c:pt>
                <c:pt idx="29">
                  <c:v>2370</c:v>
                </c:pt>
                <c:pt idx="30">
                  <c:v>2346</c:v>
                </c:pt>
                <c:pt idx="31">
                  <c:v>1402</c:v>
                </c:pt>
                <c:pt idx="32">
                  <c:v>1793</c:v>
                </c:pt>
                <c:pt idx="33">
                  <c:v>1646</c:v>
                </c:pt>
                <c:pt idx="34">
                  <c:v>1495</c:v>
                </c:pt>
                <c:pt idx="35">
                  <c:v>1810</c:v>
                </c:pt>
                <c:pt idx="36">
                  <c:v>1782</c:v>
                </c:pt>
                <c:pt idx="37">
                  <c:v>2357</c:v>
                </c:pt>
                <c:pt idx="38">
                  <c:v>2361</c:v>
                </c:pt>
                <c:pt idx="39">
                  <c:v>2335</c:v>
                </c:pt>
                <c:pt idx="40">
                  <c:v>2319</c:v>
                </c:pt>
                <c:pt idx="41">
                  <c:v>2051</c:v>
                </c:pt>
                <c:pt idx="42">
                  <c:v>1147</c:v>
                </c:pt>
                <c:pt idx="43">
                  <c:v>1720</c:v>
                </c:pt>
                <c:pt idx="44">
                  <c:v>1581</c:v>
                </c:pt>
                <c:pt idx="45">
                  <c:v>1564</c:v>
                </c:pt>
                <c:pt idx="46">
                  <c:v>2079</c:v>
                </c:pt>
                <c:pt idx="47">
                  <c:v>1979</c:v>
                </c:pt>
                <c:pt idx="48">
                  <c:v>2344</c:v>
                </c:pt>
                <c:pt idx="49">
                  <c:v>2331</c:v>
                </c:pt>
                <c:pt idx="50">
                  <c:v>2331</c:v>
                </c:pt>
                <c:pt idx="51">
                  <c:v>2322</c:v>
                </c:pt>
                <c:pt idx="52">
                  <c:v>2369</c:v>
                </c:pt>
                <c:pt idx="53">
                  <c:v>1425</c:v>
                </c:pt>
                <c:pt idx="54">
                  <c:v>1374</c:v>
                </c:pt>
                <c:pt idx="55">
                  <c:v>1627</c:v>
                </c:pt>
                <c:pt idx="56">
                  <c:v>1756</c:v>
                </c:pt>
                <c:pt idx="57">
                  <c:v>1974</c:v>
                </c:pt>
                <c:pt idx="58">
                  <c:v>1998</c:v>
                </c:pt>
                <c:pt idx="59">
                  <c:v>2351</c:v>
                </c:pt>
                <c:pt idx="60">
                  <c:v>2338</c:v>
                </c:pt>
                <c:pt idx="61">
                  <c:v>2344</c:v>
                </c:pt>
                <c:pt idx="62">
                  <c:v>2346</c:v>
                </c:pt>
                <c:pt idx="63">
                  <c:v>2340</c:v>
                </c:pt>
                <c:pt idx="64">
                  <c:v>2334</c:v>
                </c:pt>
                <c:pt idx="65">
                  <c:v>2352</c:v>
                </c:pt>
                <c:pt idx="66">
                  <c:v>2368</c:v>
                </c:pt>
                <c:pt idx="67">
                  <c:v>2349</c:v>
                </c:pt>
                <c:pt idx="68">
                  <c:v>1638</c:v>
                </c:pt>
                <c:pt idx="69">
                  <c:v>1505</c:v>
                </c:pt>
                <c:pt idx="70">
                  <c:v>1629</c:v>
                </c:pt>
                <c:pt idx="71">
                  <c:v>1795</c:v>
                </c:pt>
                <c:pt idx="72">
                  <c:v>1907</c:v>
                </c:pt>
                <c:pt idx="73">
                  <c:v>2089</c:v>
                </c:pt>
                <c:pt idx="74">
                  <c:v>2372</c:v>
                </c:pt>
                <c:pt idx="75">
                  <c:v>2347</c:v>
                </c:pt>
                <c:pt idx="76">
                  <c:v>2345</c:v>
                </c:pt>
                <c:pt idx="77">
                  <c:v>2360</c:v>
                </c:pt>
                <c:pt idx="78">
                  <c:v>2344</c:v>
                </c:pt>
                <c:pt idx="79">
                  <c:v>2330</c:v>
                </c:pt>
                <c:pt idx="80">
                  <c:v>2340</c:v>
                </c:pt>
                <c:pt idx="81">
                  <c:v>2363</c:v>
                </c:pt>
                <c:pt idx="82">
                  <c:v>2375</c:v>
                </c:pt>
                <c:pt idx="83">
                  <c:v>2340</c:v>
                </c:pt>
                <c:pt idx="84">
                  <c:v>2254</c:v>
                </c:pt>
                <c:pt idx="85">
                  <c:v>1289</c:v>
                </c:pt>
                <c:pt idx="86">
                  <c:v>1770</c:v>
                </c:pt>
                <c:pt idx="87">
                  <c:v>1489</c:v>
                </c:pt>
                <c:pt idx="88">
                  <c:v>1512</c:v>
                </c:pt>
                <c:pt idx="89">
                  <c:v>2020</c:v>
                </c:pt>
                <c:pt idx="90">
                  <c:v>2200</c:v>
                </c:pt>
                <c:pt idx="91">
                  <c:v>1733</c:v>
                </c:pt>
                <c:pt idx="92">
                  <c:v>1854</c:v>
                </c:pt>
                <c:pt idx="93">
                  <c:v>2366</c:v>
                </c:pt>
                <c:pt idx="94">
                  <c:v>2369</c:v>
                </c:pt>
                <c:pt idx="95">
                  <c:v>2339</c:v>
                </c:pt>
                <c:pt idx="96">
                  <c:v>2366</c:v>
                </c:pt>
                <c:pt idx="97">
                  <c:v>2360</c:v>
                </c:pt>
                <c:pt idx="98">
                  <c:v>2372</c:v>
                </c:pt>
                <c:pt idx="99">
                  <c:v>2358</c:v>
                </c:pt>
                <c:pt idx="100">
                  <c:v>2356</c:v>
                </c:pt>
                <c:pt idx="101">
                  <c:v>2312</c:v>
                </c:pt>
                <c:pt idx="102">
                  <c:v>1235</c:v>
                </c:pt>
                <c:pt idx="103">
                  <c:v>1689</c:v>
                </c:pt>
                <c:pt idx="104">
                  <c:v>1623</c:v>
                </c:pt>
                <c:pt idx="105">
                  <c:v>1307</c:v>
                </c:pt>
                <c:pt idx="106">
                  <c:v>2061</c:v>
                </c:pt>
                <c:pt idx="107">
                  <c:v>2250</c:v>
                </c:pt>
                <c:pt idx="108">
                  <c:v>1827</c:v>
                </c:pt>
                <c:pt idx="109">
                  <c:v>1688</c:v>
                </c:pt>
                <c:pt idx="110">
                  <c:v>2055</c:v>
                </c:pt>
                <c:pt idx="111">
                  <c:v>2318</c:v>
                </c:pt>
                <c:pt idx="112">
                  <c:v>2367</c:v>
                </c:pt>
                <c:pt idx="113">
                  <c:v>2351</c:v>
                </c:pt>
                <c:pt idx="114">
                  <c:v>2337</c:v>
                </c:pt>
                <c:pt idx="115">
                  <c:v>2322</c:v>
                </c:pt>
                <c:pt idx="116">
                  <c:v>2330</c:v>
                </c:pt>
                <c:pt idx="117">
                  <c:v>2326</c:v>
                </c:pt>
                <c:pt idx="118">
                  <c:v>2337</c:v>
                </c:pt>
                <c:pt idx="119">
                  <c:v>2313</c:v>
                </c:pt>
                <c:pt idx="120">
                  <c:v>2338</c:v>
                </c:pt>
                <c:pt idx="121">
                  <c:v>2341</c:v>
                </c:pt>
                <c:pt idx="122">
                  <c:v>2351</c:v>
                </c:pt>
                <c:pt idx="123">
                  <c:v>2365</c:v>
                </c:pt>
                <c:pt idx="124">
                  <c:v>2385</c:v>
                </c:pt>
                <c:pt idx="125">
                  <c:v>2364</c:v>
                </c:pt>
                <c:pt idx="126">
                  <c:v>1562</c:v>
                </c:pt>
                <c:pt idx="127">
                  <c:v>1678</c:v>
                </c:pt>
                <c:pt idx="128">
                  <c:v>1552</c:v>
                </c:pt>
                <c:pt idx="129">
                  <c:v>1510</c:v>
                </c:pt>
                <c:pt idx="130">
                  <c:v>1947</c:v>
                </c:pt>
                <c:pt idx="131">
                  <c:v>2117</c:v>
                </c:pt>
                <c:pt idx="132">
                  <c:v>1969</c:v>
                </c:pt>
                <c:pt idx="133">
                  <c:v>1776</c:v>
                </c:pt>
                <c:pt idx="134">
                  <c:v>1699</c:v>
                </c:pt>
                <c:pt idx="135">
                  <c:v>2162</c:v>
                </c:pt>
                <c:pt idx="136">
                  <c:v>2381</c:v>
                </c:pt>
                <c:pt idx="137">
                  <c:v>2381</c:v>
                </c:pt>
                <c:pt idx="138">
                  <c:v>2366</c:v>
                </c:pt>
                <c:pt idx="139">
                  <c:v>2377</c:v>
                </c:pt>
                <c:pt idx="140">
                  <c:v>2363</c:v>
                </c:pt>
                <c:pt idx="141">
                  <c:v>2378</c:v>
                </c:pt>
                <c:pt idx="142">
                  <c:v>2368</c:v>
                </c:pt>
                <c:pt idx="143">
                  <c:v>2358</c:v>
                </c:pt>
                <c:pt idx="144">
                  <c:v>2352</c:v>
                </c:pt>
                <c:pt idx="145">
                  <c:v>2370</c:v>
                </c:pt>
                <c:pt idx="146">
                  <c:v>2327</c:v>
                </c:pt>
                <c:pt idx="147">
                  <c:v>2341</c:v>
                </c:pt>
                <c:pt idx="148">
                  <c:v>2336</c:v>
                </c:pt>
                <c:pt idx="149">
                  <c:v>2374</c:v>
                </c:pt>
                <c:pt idx="150">
                  <c:v>2378</c:v>
                </c:pt>
                <c:pt idx="151">
                  <c:v>2363</c:v>
                </c:pt>
                <c:pt idx="152">
                  <c:v>2132</c:v>
                </c:pt>
                <c:pt idx="153">
                  <c:v>1267</c:v>
                </c:pt>
                <c:pt idx="154">
                  <c:v>1742</c:v>
                </c:pt>
                <c:pt idx="155">
                  <c:v>1819</c:v>
                </c:pt>
                <c:pt idx="156">
                  <c:v>1570</c:v>
                </c:pt>
                <c:pt idx="157">
                  <c:v>2080</c:v>
                </c:pt>
                <c:pt idx="158">
                  <c:v>2269</c:v>
                </c:pt>
                <c:pt idx="159">
                  <c:v>1297</c:v>
                </c:pt>
                <c:pt idx="160">
                  <c:v>1719</c:v>
                </c:pt>
                <c:pt idx="161">
                  <c:v>1785</c:v>
                </c:pt>
                <c:pt idx="162">
                  <c:v>2114</c:v>
                </c:pt>
                <c:pt idx="163">
                  <c:v>2378</c:v>
                </c:pt>
                <c:pt idx="164">
                  <c:v>2377</c:v>
                </c:pt>
                <c:pt idx="165">
                  <c:v>2370</c:v>
                </c:pt>
                <c:pt idx="166">
                  <c:v>2383</c:v>
                </c:pt>
                <c:pt idx="167">
                  <c:v>2362</c:v>
                </c:pt>
                <c:pt idx="168">
                  <c:v>2368</c:v>
                </c:pt>
                <c:pt idx="169">
                  <c:v>2380</c:v>
                </c:pt>
                <c:pt idx="170">
                  <c:v>2357</c:v>
                </c:pt>
                <c:pt idx="171">
                  <c:v>2376</c:v>
                </c:pt>
                <c:pt idx="172">
                  <c:v>2368</c:v>
                </c:pt>
                <c:pt idx="173">
                  <c:v>2379</c:v>
                </c:pt>
                <c:pt idx="174">
                  <c:v>2386</c:v>
                </c:pt>
                <c:pt idx="175">
                  <c:v>2376</c:v>
                </c:pt>
                <c:pt idx="176">
                  <c:v>2379</c:v>
                </c:pt>
                <c:pt idx="177">
                  <c:v>2383</c:v>
                </c:pt>
                <c:pt idx="178">
                  <c:v>2358</c:v>
                </c:pt>
                <c:pt idx="179">
                  <c:v>2379</c:v>
                </c:pt>
                <c:pt idx="180">
                  <c:v>2398</c:v>
                </c:pt>
                <c:pt idx="181">
                  <c:v>2403</c:v>
                </c:pt>
                <c:pt idx="182">
                  <c:v>1525</c:v>
                </c:pt>
                <c:pt idx="183">
                  <c:v>1474</c:v>
                </c:pt>
                <c:pt idx="184">
                  <c:v>1705</c:v>
                </c:pt>
                <c:pt idx="185">
                  <c:v>1797</c:v>
                </c:pt>
                <c:pt idx="186">
                  <c:v>1825</c:v>
                </c:pt>
                <c:pt idx="187">
                  <c:v>2106</c:v>
                </c:pt>
                <c:pt idx="188">
                  <c:v>2086</c:v>
                </c:pt>
                <c:pt idx="189">
                  <c:v>1447</c:v>
                </c:pt>
                <c:pt idx="190">
                  <c:v>1588</c:v>
                </c:pt>
                <c:pt idx="191">
                  <c:v>2043</c:v>
                </c:pt>
                <c:pt idx="192">
                  <c:v>2057</c:v>
                </c:pt>
                <c:pt idx="193">
                  <c:v>2350</c:v>
                </c:pt>
                <c:pt idx="194">
                  <c:v>2387</c:v>
                </c:pt>
                <c:pt idx="195">
                  <c:v>2381</c:v>
                </c:pt>
                <c:pt idx="196">
                  <c:v>2372</c:v>
                </c:pt>
                <c:pt idx="197">
                  <c:v>2389</c:v>
                </c:pt>
                <c:pt idx="198">
                  <c:v>2395</c:v>
                </c:pt>
                <c:pt idx="199">
                  <c:v>2399</c:v>
                </c:pt>
              </c:numCache>
            </c:numRef>
          </c:val>
          <c:smooth val="0"/>
          <c:extLst>
            <c:ext xmlns:c16="http://schemas.microsoft.com/office/drawing/2014/chart" uri="{C3380CC4-5D6E-409C-BE32-E72D297353CC}">
              <c16:uniqueId val="{00000002-822B-4B1B-ACE1-34E1D8D13095}"/>
            </c:ext>
          </c:extLst>
        </c:ser>
        <c:dLbls>
          <c:showLegendKey val="0"/>
          <c:showVal val="0"/>
          <c:showCatName val="0"/>
          <c:showSerName val="0"/>
          <c:showPercent val="0"/>
          <c:showBubbleSize val="0"/>
        </c:dLbls>
        <c:smooth val="0"/>
        <c:axId val="771485695"/>
        <c:axId val="837394431"/>
      </c:lineChart>
      <c:catAx>
        <c:axId val="7714856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7394431"/>
        <c:crosses val="autoZero"/>
        <c:auto val="1"/>
        <c:lblAlgn val="ctr"/>
        <c:lblOffset val="100"/>
        <c:noMultiLvlLbl val="0"/>
      </c:catAx>
      <c:valAx>
        <c:axId val="83739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1485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128B KV </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带宽占用RocksDB!$A$1</c:f>
              <c:strCache>
                <c:ptCount val="1"/>
                <c:pt idx="0">
                  <c:v>read</c:v>
                </c:pt>
              </c:strCache>
            </c:strRef>
          </c:tx>
          <c:spPr>
            <a:ln w="28575" cap="rnd">
              <a:solidFill>
                <a:schemeClr val="accent1"/>
              </a:solidFill>
              <a:round/>
            </a:ln>
            <a:effectLst/>
          </c:spPr>
          <c:marker>
            <c:symbol val="none"/>
          </c:marker>
          <c:val>
            <c:numRef>
              <c:f>带宽占用RocksDB!$A$2:$A$101</c:f>
              <c:numCache>
                <c:formatCode>General</c:formatCode>
                <c:ptCount val="100"/>
                <c:pt idx="0">
                  <c:v>0</c:v>
                </c:pt>
                <c:pt idx="1">
                  <c:v>0</c:v>
                </c:pt>
                <c:pt idx="2">
                  <c:v>0</c:v>
                </c:pt>
                <c:pt idx="3">
                  <c:v>0</c:v>
                </c:pt>
                <c:pt idx="4">
                  <c:v>0</c:v>
                </c:pt>
                <c:pt idx="5">
                  <c:v>0</c:v>
                </c:pt>
                <c:pt idx="6">
                  <c:v>0</c:v>
                </c:pt>
                <c:pt idx="7">
                  <c:v>207</c:v>
                </c:pt>
                <c:pt idx="8">
                  <c:v>0</c:v>
                </c:pt>
                <c:pt idx="9">
                  <c:v>0</c:v>
                </c:pt>
                <c:pt idx="10">
                  <c:v>0</c:v>
                </c:pt>
                <c:pt idx="11">
                  <c:v>0</c:v>
                </c:pt>
                <c:pt idx="12">
                  <c:v>78</c:v>
                </c:pt>
                <c:pt idx="13">
                  <c:v>276</c:v>
                </c:pt>
                <c:pt idx="14">
                  <c:v>60</c:v>
                </c:pt>
                <c:pt idx="15">
                  <c:v>0</c:v>
                </c:pt>
                <c:pt idx="16">
                  <c:v>0</c:v>
                </c:pt>
                <c:pt idx="17">
                  <c:v>0</c:v>
                </c:pt>
                <c:pt idx="18">
                  <c:v>174</c:v>
                </c:pt>
                <c:pt idx="19">
                  <c:v>252</c:v>
                </c:pt>
                <c:pt idx="20">
                  <c:v>0</c:v>
                </c:pt>
                <c:pt idx="21">
                  <c:v>0</c:v>
                </c:pt>
                <c:pt idx="22">
                  <c:v>0</c:v>
                </c:pt>
                <c:pt idx="23">
                  <c:v>0</c:v>
                </c:pt>
                <c:pt idx="24">
                  <c:v>224</c:v>
                </c:pt>
                <c:pt idx="25">
                  <c:v>279</c:v>
                </c:pt>
                <c:pt idx="26">
                  <c:v>194</c:v>
                </c:pt>
                <c:pt idx="27">
                  <c:v>0</c:v>
                </c:pt>
                <c:pt idx="28">
                  <c:v>0</c:v>
                </c:pt>
                <c:pt idx="29">
                  <c:v>0</c:v>
                </c:pt>
                <c:pt idx="30">
                  <c:v>272</c:v>
                </c:pt>
                <c:pt idx="31">
                  <c:v>283</c:v>
                </c:pt>
                <c:pt idx="32">
                  <c:v>303</c:v>
                </c:pt>
                <c:pt idx="33">
                  <c:v>57</c:v>
                </c:pt>
                <c:pt idx="34">
                  <c:v>0</c:v>
                </c:pt>
                <c:pt idx="35">
                  <c:v>0</c:v>
                </c:pt>
                <c:pt idx="36">
                  <c:v>216</c:v>
                </c:pt>
                <c:pt idx="37">
                  <c:v>287</c:v>
                </c:pt>
                <c:pt idx="38">
                  <c:v>296</c:v>
                </c:pt>
                <c:pt idx="39">
                  <c:v>144</c:v>
                </c:pt>
                <c:pt idx="40">
                  <c:v>0</c:v>
                </c:pt>
                <c:pt idx="41">
                  <c:v>0</c:v>
                </c:pt>
                <c:pt idx="42">
                  <c:v>177</c:v>
                </c:pt>
                <c:pt idx="43">
                  <c:v>291</c:v>
                </c:pt>
                <c:pt idx="44">
                  <c:v>312</c:v>
                </c:pt>
                <c:pt idx="45">
                  <c:v>264</c:v>
                </c:pt>
                <c:pt idx="46">
                  <c:v>0</c:v>
                </c:pt>
                <c:pt idx="47">
                  <c:v>0</c:v>
                </c:pt>
                <c:pt idx="48">
                  <c:v>151</c:v>
                </c:pt>
                <c:pt idx="49">
                  <c:v>265</c:v>
                </c:pt>
                <c:pt idx="50">
                  <c:v>295</c:v>
                </c:pt>
                <c:pt idx="51">
                  <c:v>312</c:v>
                </c:pt>
                <c:pt idx="52">
                  <c:v>226</c:v>
                </c:pt>
                <c:pt idx="53">
                  <c:v>0</c:v>
                </c:pt>
                <c:pt idx="54">
                  <c:v>174</c:v>
                </c:pt>
                <c:pt idx="55">
                  <c:v>264</c:v>
                </c:pt>
                <c:pt idx="56">
                  <c:v>313</c:v>
                </c:pt>
                <c:pt idx="57">
                  <c:v>296</c:v>
                </c:pt>
                <c:pt idx="58">
                  <c:v>314</c:v>
                </c:pt>
                <c:pt idx="59">
                  <c:v>149</c:v>
                </c:pt>
                <c:pt idx="60">
                  <c:v>264</c:v>
                </c:pt>
                <c:pt idx="61">
                  <c:v>282</c:v>
                </c:pt>
                <c:pt idx="62">
                  <c:v>302</c:v>
                </c:pt>
                <c:pt idx="63">
                  <c:v>298</c:v>
                </c:pt>
                <c:pt idx="64">
                  <c:v>91</c:v>
                </c:pt>
                <c:pt idx="65">
                  <c:v>34</c:v>
                </c:pt>
                <c:pt idx="66">
                  <c:v>272</c:v>
                </c:pt>
                <c:pt idx="67">
                  <c:v>267</c:v>
                </c:pt>
                <c:pt idx="68">
                  <c:v>311</c:v>
                </c:pt>
                <c:pt idx="69">
                  <c:v>272</c:v>
                </c:pt>
                <c:pt idx="70">
                  <c:v>0</c:v>
                </c:pt>
                <c:pt idx="71">
                  <c:v>35</c:v>
                </c:pt>
                <c:pt idx="72">
                  <c:v>261</c:v>
                </c:pt>
                <c:pt idx="73">
                  <c:v>264</c:v>
                </c:pt>
                <c:pt idx="74">
                  <c:v>276</c:v>
                </c:pt>
                <c:pt idx="75">
                  <c:v>278</c:v>
                </c:pt>
                <c:pt idx="76">
                  <c:v>286</c:v>
                </c:pt>
                <c:pt idx="77">
                  <c:v>191</c:v>
                </c:pt>
                <c:pt idx="78">
                  <c:v>259</c:v>
                </c:pt>
                <c:pt idx="79">
                  <c:v>273</c:v>
                </c:pt>
                <c:pt idx="80">
                  <c:v>285</c:v>
                </c:pt>
                <c:pt idx="81">
                  <c:v>297</c:v>
                </c:pt>
                <c:pt idx="82">
                  <c:v>236</c:v>
                </c:pt>
                <c:pt idx="83">
                  <c:v>65</c:v>
                </c:pt>
                <c:pt idx="84">
                  <c:v>258</c:v>
                </c:pt>
                <c:pt idx="85">
                  <c:v>281</c:v>
                </c:pt>
                <c:pt idx="86">
                  <c:v>304</c:v>
                </c:pt>
                <c:pt idx="87">
                  <c:v>289</c:v>
                </c:pt>
                <c:pt idx="88">
                  <c:v>281</c:v>
                </c:pt>
                <c:pt idx="89">
                  <c:v>130</c:v>
                </c:pt>
                <c:pt idx="90">
                  <c:v>271</c:v>
                </c:pt>
                <c:pt idx="91">
                  <c:v>300</c:v>
                </c:pt>
                <c:pt idx="92">
                  <c:v>311</c:v>
                </c:pt>
                <c:pt idx="93">
                  <c:v>304</c:v>
                </c:pt>
                <c:pt idx="94">
                  <c:v>315</c:v>
                </c:pt>
                <c:pt idx="95">
                  <c:v>283</c:v>
                </c:pt>
                <c:pt idx="96">
                  <c:v>276</c:v>
                </c:pt>
                <c:pt idx="97">
                  <c:v>276</c:v>
                </c:pt>
                <c:pt idx="98">
                  <c:v>314</c:v>
                </c:pt>
                <c:pt idx="99">
                  <c:v>302</c:v>
                </c:pt>
              </c:numCache>
            </c:numRef>
          </c:val>
          <c:smooth val="0"/>
          <c:extLst>
            <c:ext xmlns:c16="http://schemas.microsoft.com/office/drawing/2014/chart" uri="{C3380CC4-5D6E-409C-BE32-E72D297353CC}">
              <c16:uniqueId val="{00000000-BBE6-4B8F-A023-1377E915D3E1}"/>
            </c:ext>
          </c:extLst>
        </c:ser>
        <c:ser>
          <c:idx val="1"/>
          <c:order val="1"/>
          <c:tx>
            <c:strRef>
              <c:f>带宽占用RocksDB!$B$1</c:f>
              <c:strCache>
                <c:ptCount val="1"/>
                <c:pt idx="0">
                  <c:v>write</c:v>
                </c:pt>
              </c:strCache>
            </c:strRef>
          </c:tx>
          <c:spPr>
            <a:ln w="28575" cap="rnd">
              <a:solidFill>
                <a:schemeClr val="accent2"/>
              </a:solidFill>
              <a:round/>
            </a:ln>
            <a:effectLst/>
          </c:spPr>
          <c:marker>
            <c:symbol val="none"/>
          </c:marker>
          <c:val>
            <c:numRef>
              <c:f>带宽占用RocksDB!$B$2:$B$101</c:f>
              <c:numCache>
                <c:formatCode>General</c:formatCode>
                <c:ptCount val="100"/>
                <c:pt idx="0">
                  <c:v>0</c:v>
                </c:pt>
                <c:pt idx="1">
                  <c:v>28</c:v>
                </c:pt>
                <c:pt idx="2">
                  <c:v>92</c:v>
                </c:pt>
                <c:pt idx="3">
                  <c:v>44</c:v>
                </c:pt>
                <c:pt idx="4">
                  <c:v>88</c:v>
                </c:pt>
                <c:pt idx="5">
                  <c:v>92</c:v>
                </c:pt>
                <c:pt idx="6">
                  <c:v>76</c:v>
                </c:pt>
                <c:pt idx="7">
                  <c:v>262</c:v>
                </c:pt>
                <c:pt idx="8">
                  <c:v>88</c:v>
                </c:pt>
                <c:pt idx="9">
                  <c:v>92</c:v>
                </c:pt>
                <c:pt idx="10">
                  <c:v>40</c:v>
                </c:pt>
                <c:pt idx="11">
                  <c:v>96</c:v>
                </c:pt>
                <c:pt idx="12">
                  <c:v>164</c:v>
                </c:pt>
                <c:pt idx="13">
                  <c:v>332</c:v>
                </c:pt>
                <c:pt idx="14">
                  <c:v>139</c:v>
                </c:pt>
                <c:pt idx="15">
                  <c:v>88</c:v>
                </c:pt>
                <c:pt idx="16">
                  <c:v>92</c:v>
                </c:pt>
                <c:pt idx="17">
                  <c:v>40</c:v>
                </c:pt>
                <c:pt idx="18">
                  <c:v>264</c:v>
                </c:pt>
                <c:pt idx="19">
                  <c:v>341</c:v>
                </c:pt>
                <c:pt idx="20">
                  <c:v>40</c:v>
                </c:pt>
                <c:pt idx="21">
                  <c:v>88</c:v>
                </c:pt>
                <c:pt idx="22">
                  <c:v>92</c:v>
                </c:pt>
                <c:pt idx="23">
                  <c:v>44</c:v>
                </c:pt>
                <c:pt idx="24">
                  <c:v>312</c:v>
                </c:pt>
                <c:pt idx="25">
                  <c:v>365</c:v>
                </c:pt>
                <c:pt idx="26">
                  <c:v>250</c:v>
                </c:pt>
                <c:pt idx="27">
                  <c:v>73</c:v>
                </c:pt>
                <c:pt idx="28">
                  <c:v>92</c:v>
                </c:pt>
                <c:pt idx="29">
                  <c:v>73</c:v>
                </c:pt>
                <c:pt idx="30">
                  <c:v>322</c:v>
                </c:pt>
                <c:pt idx="31">
                  <c:v>370</c:v>
                </c:pt>
                <c:pt idx="32">
                  <c:v>341</c:v>
                </c:pt>
                <c:pt idx="33">
                  <c:v>143</c:v>
                </c:pt>
                <c:pt idx="34">
                  <c:v>88</c:v>
                </c:pt>
                <c:pt idx="35">
                  <c:v>36</c:v>
                </c:pt>
                <c:pt idx="36">
                  <c:v>302</c:v>
                </c:pt>
                <c:pt idx="37">
                  <c:v>375</c:v>
                </c:pt>
                <c:pt idx="38">
                  <c:v>336</c:v>
                </c:pt>
                <c:pt idx="39">
                  <c:v>232</c:v>
                </c:pt>
                <c:pt idx="40">
                  <c:v>88</c:v>
                </c:pt>
                <c:pt idx="41">
                  <c:v>36</c:v>
                </c:pt>
                <c:pt idx="42">
                  <c:v>264</c:v>
                </c:pt>
                <c:pt idx="43">
                  <c:v>379</c:v>
                </c:pt>
                <c:pt idx="44">
                  <c:v>348</c:v>
                </c:pt>
                <c:pt idx="45">
                  <c:v>356</c:v>
                </c:pt>
                <c:pt idx="46">
                  <c:v>88</c:v>
                </c:pt>
                <c:pt idx="47">
                  <c:v>40</c:v>
                </c:pt>
                <c:pt idx="48">
                  <c:v>239</c:v>
                </c:pt>
                <c:pt idx="49">
                  <c:v>352</c:v>
                </c:pt>
                <c:pt idx="50">
                  <c:v>334</c:v>
                </c:pt>
                <c:pt idx="51">
                  <c:v>401</c:v>
                </c:pt>
                <c:pt idx="52">
                  <c:v>314</c:v>
                </c:pt>
                <c:pt idx="53">
                  <c:v>40</c:v>
                </c:pt>
                <c:pt idx="54">
                  <c:v>265</c:v>
                </c:pt>
                <c:pt idx="55">
                  <c:v>355</c:v>
                </c:pt>
                <c:pt idx="56">
                  <c:v>358</c:v>
                </c:pt>
                <c:pt idx="57">
                  <c:v>383</c:v>
                </c:pt>
                <c:pt idx="58">
                  <c:v>401</c:v>
                </c:pt>
                <c:pt idx="59">
                  <c:v>222</c:v>
                </c:pt>
                <c:pt idx="60">
                  <c:v>322</c:v>
                </c:pt>
                <c:pt idx="61">
                  <c:v>370</c:v>
                </c:pt>
                <c:pt idx="62">
                  <c:v>390</c:v>
                </c:pt>
                <c:pt idx="63">
                  <c:v>336</c:v>
                </c:pt>
                <c:pt idx="64">
                  <c:v>184</c:v>
                </c:pt>
                <c:pt idx="65">
                  <c:v>125</c:v>
                </c:pt>
                <c:pt idx="66">
                  <c:v>308</c:v>
                </c:pt>
                <c:pt idx="67">
                  <c:v>356</c:v>
                </c:pt>
                <c:pt idx="68">
                  <c:v>397</c:v>
                </c:pt>
                <c:pt idx="69">
                  <c:v>314</c:v>
                </c:pt>
                <c:pt idx="70">
                  <c:v>88</c:v>
                </c:pt>
                <c:pt idx="71">
                  <c:v>124</c:v>
                </c:pt>
                <c:pt idx="72">
                  <c:v>298</c:v>
                </c:pt>
                <c:pt idx="73">
                  <c:v>352</c:v>
                </c:pt>
                <c:pt idx="74">
                  <c:v>365</c:v>
                </c:pt>
                <c:pt idx="75">
                  <c:v>313</c:v>
                </c:pt>
                <c:pt idx="76">
                  <c:v>378</c:v>
                </c:pt>
                <c:pt idx="77">
                  <c:v>277</c:v>
                </c:pt>
                <c:pt idx="78">
                  <c:v>300</c:v>
                </c:pt>
                <c:pt idx="79">
                  <c:v>364</c:v>
                </c:pt>
                <c:pt idx="80">
                  <c:v>373</c:v>
                </c:pt>
                <c:pt idx="81">
                  <c:v>337</c:v>
                </c:pt>
                <c:pt idx="82">
                  <c:v>329</c:v>
                </c:pt>
                <c:pt idx="83">
                  <c:v>151</c:v>
                </c:pt>
                <c:pt idx="84">
                  <c:v>310</c:v>
                </c:pt>
                <c:pt idx="85">
                  <c:v>363</c:v>
                </c:pt>
                <c:pt idx="86">
                  <c:v>395</c:v>
                </c:pt>
                <c:pt idx="87">
                  <c:v>359</c:v>
                </c:pt>
                <c:pt idx="88">
                  <c:v>339</c:v>
                </c:pt>
                <c:pt idx="89">
                  <c:v>217</c:v>
                </c:pt>
                <c:pt idx="90">
                  <c:v>359</c:v>
                </c:pt>
                <c:pt idx="91">
                  <c:v>344</c:v>
                </c:pt>
                <c:pt idx="92">
                  <c:v>398</c:v>
                </c:pt>
                <c:pt idx="93">
                  <c:v>396</c:v>
                </c:pt>
                <c:pt idx="94">
                  <c:v>357</c:v>
                </c:pt>
                <c:pt idx="95">
                  <c:v>374</c:v>
                </c:pt>
                <c:pt idx="96">
                  <c:v>362</c:v>
                </c:pt>
                <c:pt idx="97">
                  <c:v>313</c:v>
                </c:pt>
                <c:pt idx="98">
                  <c:v>407</c:v>
                </c:pt>
                <c:pt idx="99">
                  <c:v>388</c:v>
                </c:pt>
              </c:numCache>
            </c:numRef>
          </c:val>
          <c:smooth val="0"/>
          <c:extLst>
            <c:ext xmlns:c16="http://schemas.microsoft.com/office/drawing/2014/chart" uri="{C3380CC4-5D6E-409C-BE32-E72D297353CC}">
              <c16:uniqueId val="{00000001-BBE6-4B8F-A023-1377E915D3E1}"/>
            </c:ext>
          </c:extLst>
        </c:ser>
        <c:ser>
          <c:idx val="2"/>
          <c:order val="2"/>
          <c:tx>
            <c:strRef>
              <c:f>带宽占用RocksDB!$C$1</c:f>
              <c:strCache>
                <c:ptCount val="1"/>
                <c:pt idx="0">
                  <c:v>total</c:v>
                </c:pt>
              </c:strCache>
            </c:strRef>
          </c:tx>
          <c:spPr>
            <a:ln w="28575" cap="rnd">
              <a:solidFill>
                <a:schemeClr val="accent3"/>
              </a:solidFill>
              <a:round/>
            </a:ln>
            <a:effectLst/>
          </c:spPr>
          <c:marker>
            <c:symbol val="none"/>
          </c:marker>
          <c:val>
            <c:numRef>
              <c:f>带宽占用RocksDB!$C$2:$C$101</c:f>
              <c:numCache>
                <c:formatCode>General</c:formatCode>
                <c:ptCount val="100"/>
                <c:pt idx="0">
                  <c:v>0</c:v>
                </c:pt>
                <c:pt idx="1">
                  <c:v>28</c:v>
                </c:pt>
                <c:pt idx="2">
                  <c:v>92</c:v>
                </c:pt>
                <c:pt idx="3">
                  <c:v>44</c:v>
                </c:pt>
                <c:pt idx="4">
                  <c:v>88</c:v>
                </c:pt>
                <c:pt idx="5">
                  <c:v>92</c:v>
                </c:pt>
                <c:pt idx="6">
                  <c:v>76</c:v>
                </c:pt>
                <c:pt idx="7">
                  <c:v>469</c:v>
                </c:pt>
                <c:pt idx="8">
                  <c:v>88</c:v>
                </c:pt>
                <c:pt idx="9">
                  <c:v>92</c:v>
                </c:pt>
                <c:pt idx="10">
                  <c:v>40</c:v>
                </c:pt>
                <c:pt idx="11">
                  <c:v>96</c:v>
                </c:pt>
                <c:pt idx="12">
                  <c:v>242</c:v>
                </c:pt>
                <c:pt idx="13">
                  <c:v>608</c:v>
                </c:pt>
                <c:pt idx="14">
                  <c:v>199</c:v>
                </c:pt>
                <c:pt idx="15">
                  <c:v>88</c:v>
                </c:pt>
                <c:pt idx="16">
                  <c:v>92</c:v>
                </c:pt>
                <c:pt idx="17">
                  <c:v>40</c:v>
                </c:pt>
                <c:pt idx="18">
                  <c:v>438</c:v>
                </c:pt>
                <c:pt idx="19">
                  <c:v>593</c:v>
                </c:pt>
                <c:pt idx="20">
                  <c:v>40</c:v>
                </c:pt>
                <c:pt idx="21">
                  <c:v>88</c:v>
                </c:pt>
                <c:pt idx="22">
                  <c:v>92</c:v>
                </c:pt>
                <c:pt idx="23">
                  <c:v>44</c:v>
                </c:pt>
                <c:pt idx="24">
                  <c:v>536</c:v>
                </c:pt>
                <c:pt idx="25">
                  <c:v>644</c:v>
                </c:pt>
                <c:pt idx="26">
                  <c:v>444</c:v>
                </c:pt>
                <c:pt idx="27">
                  <c:v>73</c:v>
                </c:pt>
                <c:pt idx="28">
                  <c:v>92</c:v>
                </c:pt>
                <c:pt idx="29">
                  <c:v>73</c:v>
                </c:pt>
                <c:pt idx="30">
                  <c:v>594</c:v>
                </c:pt>
                <c:pt idx="31">
                  <c:v>653</c:v>
                </c:pt>
                <c:pt idx="32">
                  <c:v>644</c:v>
                </c:pt>
                <c:pt idx="33">
                  <c:v>200</c:v>
                </c:pt>
                <c:pt idx="34">
                  <c:v>88</c:v>
                </c:pt>
                <c:pt idx="35">
                  <c:v>36</c:v>
                </c:pt>
                <c:pt idx="36">
                  <c:v>518</c:v>
                </c:pt>
                <c:pt idx="37">
                  <c:v>662</c:v>
                </c:pt>
                <c:pt idx="38">
                  <c:v>632</c:v>
                </c:pt>
                <c:pt idx="39">
                  <c:v>376</c:v>
                </c:pt>
                <c:pt idx="40">
                  <c:v>88</c:v>
                </c:pt>
                <c:pt idx="41">
                  <c:v>36</c:v>
                </c:pt>
                <c:pt idx="42">
                  <c:v>441</c:v>
                </c:pt>
                <c:pt idx="43">
                  <c:v>670</c:v>
                </c:pt>
                <c:pt idx="44">
                  <c:v>660</c:v>
                </c:pt>
                <c:pt idx="45">
                  <c:v>620</c:v>
                </c:pt>
                <c:pt idx="46">
                  <c:v>88</c:v>
                </c:pt>
                <c:pt idx="47">
                  <c:v>40</c:v>
                </c:pt>
                <c:pt idx="48">
                  <c:v>390</c:v>
                </c:pt>
                <c:pt idx="49">
                  <c:v>617</c:v>
                </c:pt>
                <c:pt idx="50">
                  <c:v>629</c:v>
                </c:pt>
                <c:pt idx="51">
                  <c:v>713</c:v>
                </c:pt>
                <c:pt idx="52">
                  <c:v>540</c:v>
                </c:pt>
                <c:pt idx="53">
                  <c:v>40</c:v>
                </c:pt>
                <c:pt idx="54">
                  <c:v>439</c:v>
                </c:pt>
                <c:pt idx="55">
                  <c:v>619</c:v>
                </c:pt>
                <c:pt idx="56">
                  <c:v>671</c:v>
                </c:pt>
                <c:pt idx="57">
                  <c:v>679</c:v>
                </c:pt>
                <c:pt idx="58">
                  <c:v>715</c:v>
                </c:pt>
                <c:pt idx="59">
                  <c:v>371</c:v>
                </c:pt>
                <c:pt idx="60">
                  <c:v>586</c:v>
                </c:pt>
                <c:pt idx="61">
                  <c:v>652</c:v>
                </c:pt>
                <c:pt idx="62">
                  <c:v>692</c:v>
                </c:pt>
                <c:pt idx="63">
                  <c:v>634</c:v>
                </c:pt>
                <c:pt idx="64">
                  <c:v>275</c:v>
                </c:pt>
                <c:pt idx="65">
                  <c:v>159</c:v>
                </c:pt>
                <c:pt idx="66">
                  <c:v>580</c:v>
                </c:pt>
                <c:pt idx="67">
                  <c:v>623</c:v>
                </c:pt>
                <c:pt idx="68">
                  <c:v>708</c:v>
                </c:pt>
                <c:pt idx="69">
                  <c:v>586</c:v>
                </c:pt>
                <c:pt idx="70">
                  <c:v>88</c:v>
                </c:pt>
                <c:pt idx="71">
                  <c:v>159</c:v>
                </c:pt>
                <c:pt idx="72">
                  <c:v>559</c:v>
                </c:pt>
                <c:pt idx="73">
                  <c:v>616</c:v>
                </c:pt>
                <c:pt idx="74">
                  <c:v>641</c:v>
                </c:pt>
                <c:pt idx="75">
                  <c:v>591</c:v>
                </c:pt>
                <c:pt idx="76">
                  <c:v>664</c:v>
                </c:pt>
                <c:pt idx="77">
                  <c:v>468</c:v>
                </c:pt>
                <c:pt idx="78">
                  <c:v>559</c:v>
                </c:pt>
                <c:pt idx="79">
                  <c:v>637</c:v>
                </c:pt>
                <c:pt idx="80">
                  <c:v>658</c:v>
                </c:pt>
                <c:pt idx="81">
                  <c:v>634</c:v>
                </c:pt>
                <c:pt idx="82">
                  <c:v>565</c:v>
                </c:pt>
                <c:pt idx="83">
                  <c:v>216</c:v>
                </c:pt>
                <c:pt idx="84">
                  <c:v>568</c:v>
                </c:pt>
                <c:pt idx="85">
                  <c:v>644</c:v>
                </c:pt>
                <c:pt idx="86">
                  <c:v>699</c:v>
                </c:pt>
                <c:pt idx="87">
                  <c:v>648</c:v>
                </c:pt>
                <c:pt idx="88">
                  <c:v>620</c:v>
                </c:pt>
                <c:pt idx="89">
                  <c:v>347</c:v>
                </c:pt>
                <c:pt idx="90">
                  <c:v>630</c:v>
                </c:pt>
                <c:pt idx="91">
                  <c:v>644</c:v>
                </c:pt>
                <c:pt idx="92">
                  <c:v>709</c:v>
                </c:pt>
                <c:pt idx="93">
                  <c:v>700</c:v>
                </c:pt>
                <c:pt idx="94">
                  <c:v>672</c:v>
                </c:pt>
                <c:pt idx="95">
                  <c:v>657</c:v>
                </c:pt>
                <c:pt idx="96">
                  <c:v>638</c:v>
                </c:pt>
                <c:pt idx="97">
                  <c:v>589</c:v>
                </c:pt>
                <c:pt idx="98">
                  <c:v>721</c:v>
                </c:pt>
                <c:pt idx="99">
                  <c:v>690</c:v>
                </c:pt>
              </c:numCache>
            </c:numRef>
          </c:val>
          <c:smooth val="0"/>
          <c:extLst>
            <c:ext xmlns:c16="http://schemas.microsoft.com/office/drawing/2014/chart" uri="{C3380CC4-5D6E-409C-BE32-E72D297353CC}">
              <c16:uniqueId val="{00000002-BBE6-4B8F-A023-1377E915D3E1}"/>
            </c:ext>
          </c:extLst>
        </c:ser>
        <c:dLbls>
          <c:showLegendKey val="0"/>
          <c:showVal val="0"/>
          <c:showCatName val="0"/>
          <c:showSerName val="0"/>
          <c:showPercent val="0"/>
          <c:showBubbleSize val="0"/>
        </c:dLbls>
        <c:smooth val="0"/>
        <c:axId val="548397583"/>
        <c:axId val="655257279"/>
      </c:lineChart>
      <c:catAx>
        <c:axId val="54839758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5257279"/>
        <c:crosses val="autoZero"/>
        <c:auto val="1"/>
        <c:lblAlgn val="ctr"/>
        <c:lblOffset val="100"/>
        <c:tickLblSkip val="10"/>
        <c:noMultiLvlLbl val="0"/>
      </c:catAx>
      <c:valAx>
        <c:axId val="65525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48397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1KB KV</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带宽占用RocksDB!$F$1</c:f>
              <c:strCache>
                <c:ptCount val="1"/>
                <c:pt idx="0">
                  <c:v>read</c:v>
                </c:pt>
              </c:strCache>
            </c:strRef>
          </c:tx>
          <c:spPr>
            <a:ln w="28575" cap="rnd">
              <a:solidFill>
                <a:schemeClr val="accent1"/>
              </a:solidFill>
              <a:round/>
            </a:ln>
            <a:effectLst/>
          </c:spPr>
          <c:marker>
            <c:symbol val="none"/>
          </c:marker>
          <c:val>
            <c:numRef>
              <c:f>带宽占用RocksDB!$F$2:$F$100</c:f>
              <c:numCache>
                <c:formatCode>General</c:formatCode>
                <c:ptCount val="99"/>
                <c:pt idx="0">
                  <c:v>0</c:v>
                </c:pt>
                <c:pt idx="1">
                  <c:v>1</c:v>
                </c:pt>
                <c:pt idx="2">
                  <c:v>246</c:v>
                </c:pt>
                <c:pt idx="3">
                  <c:v>282</c:v>
                </c:pt>
                <c:pt idx="4">
                  <c:v>330</c:v>
                </c:pt>
                <c:pt idx="5">
                  <c:v>374</c:v>
                </c:pt>
                <c:pt idx="6">
                  <c:v>449</c:v>
                </c:pt>
                <c:pt idx="7">
                  <c:v>501</c:v>
                </c:pt>
                <c:pt idx="8">
                  <c:v>463</c:v>
                </c:pt>
                <c:pt idx="9">
                  <c:v>423</c:v>
                </c:pt>
                <c:pt idx="10">
                  <c:v>436</c:v>
                </c:pt>
                <c:pt idx="11">
                  <c:v>614</c:v>
                </c:pt>
                <c:pt idx="12">
                  <c:v>575</c:v>
                </c:pt>
                <c:pt idx="13">
                  <c:v>502</c:v>
                </c:pt>
                <c:pt idx="14">
                  <c:v>1006</c:v>
                </c:pt>
                <c:pt idx="15">
                  <c:v>764</c:v>
                </c:pt>
                <c:pt idx="16">
                  <c:v>479</c:v>
                </c:pt>
                <c:pt idx="17">
                  <c:v>714</c:v>
                </c:pt>
                <c:pt idx="18">
                  <c:v>536</c:v>
                </c:pt>
                <c:pt idx="19">
                  <c:v>451</c:v>
                </c:pt>
                <c:pt idx="20">
                  <c:v>761</c:v>
                </c:pt>
                <c:pt idx="21">
                  <c:v>1010</c:v>
                </c:pt>
                <c:pt idx="22">
                  <c:v>664</c:v>
                </c:pt>
                <c:pt idx="23">
                  <c:v>514</c:v>
                </c:pt>
                <c:pt idx="24">
                  <c:v>654</c:v>
                </c:pt>
                <c:pt idx="25">
                  <c:v>687</c:v>
                </c:pt>
                <c:pt idx="26">
                  <c:v>528</c:v>
                </c:pt>
                <c:pt idx="27">
                  <c:v>461</c:v>
                </c:pt>
                <c:pt idx="28">
                  <c:v>906</c:v>
                </c:pt>
                <c:pt idx="29">
                  <c:v>1015</c:v>
                </c:pt>
                <c:pt idx="30">
                  <c:v>997</c:v>
                </c:pt>
                <c:pt idx="31">
                  <c:v>511</c:v>
                </c:pt>
                <c:pt idx="32">
                  <c:v>714</c:v>
                </c:pt>
                <c:pt idx="33">
                  <c:v>639</c:v>
                </c:pt>
                <c:pt idx="34">
                  <c:v>569</c:v>
                </c:pt>
                <c:pt idx="35">
                  <c:v>735</c:v>
                </c:pt>
                <c:pt idx="36">
                  <c:v>731</c:v>
                </c:pt>
                <c:pt idx="37">
                  <c:v>1039</c:v>
                </c:pt>
                <c:pt idx="38">
                  <c:v>1032</c:v>
                </c:pt>
                <c:pt idx="39">
                  <c:v>1012</c:v>
                </c:pt>
                <c:pt idx="40">
                  <c:v>1006</c:v>
                </c:pt>
                <c:pt idx="41">
                  <c:v>844</c:v>
                </c:pt>
                <c:pt idx="42">
                  <c:v>391</c:v>
                </c:pt>
                <c:pt idx="43">
                  <c:v>680</c:v>
                </c:pt>
                <c:pt idx="44">
                  <c:v>604</c:v>
                </c:pt>
                <c:pt idx="45">
                  <c:v>595</c:v>
                </c:pt>
                <c:pt idx="46">
                  <c:v>842</c:v>
                </c:pt>
                <c:pt idx="47">
                  <c:v>829</c:v>
                </c:pt>
                <c:pt idx="48">
                  <c:v>1034</c:v>
                </c:pt>
                <c:pt idx="49">
                  <c:v>1025</c:v>
                </c:pt>
                <c:pt idx="50">
                  <c:v>1012</c:v>
                </c:pt>
                <c:pt idx="51">
                  <c:v>993</c:v>
                </c:pt>
                <c:pt idx="52">
                  <c:v>1001</c:v>
                </c:pt>
                <c:pt idx="53">
                  <c:v>506</c:v>
                </c:pt>
                <c:pt idx="54">
                  <c:v>514</c:v>
                </c:pt>
                <c:pt idx="55">
                  <c:v>598</c:v>
                </c:pt>
                <c:pt idx="56">
                  <c:v>687</c:v>
                </c:pt>
                <c:pt idx="57">
                  <c:v>799</c:v>
                </c:pt>
                <c:pt idx="58">
                  <c:v>832</c:v>
                </c:pt>
                <c:pt idx="59">
                  <c:v>1044</c:v>
                </c:pt>
                <c:pt idx="60">
                  <c:v>1029</c:v>
                </c:pt>
                <c:pt idx="61">
                  <c:v>1021</c:v>
                </c:pt>
                <c:pt idx="62">
                  <c:v>1035</c:v>
                </c:pt>
                <c:pt idx="63">
                  <c:v>1030</c:v>
                </c:pt>
                <c:pt idx="64">
                  <c:v>1034</c:v>
                </c:pt>
                <c:pt idx="65">
                  <c:v>1063</c:v>
                </c:pt>
                <c:pt idx="66">
                  <c:v>1051</c:v>
                </c:pt>
                <c:pt idx="67">
                  <c:v>1023</c:v>
                </c:pt>
                <c:pt idx="68">
                  <c:v>636</c:v>
                </c:pt>
                <c:pt idx="69">
                  <c:v>568</c:v>
                </c:pt>
                <c:pt idx="70">
                  <c:v>631</c:v>
                </c:pt>
                <c:pt idx="71">
                  <c:v>692</c:v>
                </c:pt>
                <c:pt idx="72">
                  <c:v>770</c:v>
                </c:pt>
                <c:pt idx="73">
                  <c:v>855</c:v>
                </c:pt>
                <c:pt idx="74">
                  <c:v>1083</c:v>
                </c:pt>
                <c:pt idx="75">
                  <c:v>1057</c:v>
                </c:pt>
                <c:pt idx="76">
                  <c:v>1052</c:v>
                </c:pt>
                <c:pt idx="77">
                  <c:v>1048</c:v>
                </c:pt>
                <c:pt idx="78">
                  <c:v>1032</c:v>
                </c:pt>
                <c:pt idx="79">
                  <c:v>1036</c:v>
                </c:pt>
                <c:pt idx="80">
                  <c:v>1047</c:v>
                </c:pt>
                <c:pt idx="81">
                  <c:v>1063</c:v>
                </c:pt>
                <c:pt idx="82">
                  <c:v>1084</c:v>
                </c:pt>
                <c:pt idx="83">
                  <c:v>1049</c:v>
                </c:pt>
                <c:pt idx="84">
                  <c:v>959</c:v>
                </c:pt>
                <c:pt idx="85">
                  <c:v>443</c:v>
                </c:pt>
                <c:pt idx="86">
                  <c:v>692</c:v>
                </c:pt>
                <c:pt idx="87">
                  <c:v>559</c:v>
                </c:pt>
                <c:pt idx="88">
                  <c:v>566</c:v>
                </c:pt>
                <c:pt idx="89">
                  <c:v>829</c:v>
                </c:pt>
                <c:pt idx="90">
                  <c:v>918</c:v>
                </c:pt>
                <c:pt idx="91">
                  <c:v>683</c:v>
                </c:pt>
                <c:pt idx="92">
                  <c:v>784</c:v>
                </c:pt>
                <c:pt idx="93">
                  <c:v>1048</c:v>
                </c:pt>
                <c:pt idx="94">
                  <c:v>1046</c:v>
                </c:pt>
                <c:pt idx="95">
                  <c:v>1038</c:v>
                </c:pt>
                <c:pt idx="96">
                  <c:v>1093</c:v>
                </c:pt>
                <c:pt idx="97">
                  <c:v>1079</c:v>
                </c:pt>
                <c:pt idx="98">
                  <c:v>1127</c:v>
                </c:pt>
              </c:numCache>
            </c:numRef>
          </c:val>
          <c:smooth val="0"/>
          <c:extLst>
            <c:ext xmlns:c16="http://schemas.microsoft.com/office/drawing/2014/chart" uri="{C3380CC4-5D6E-409C-BE32-E72D297353CC}">
              <c16:uniqueId val="{00000000-FB55-4125-9089-9152AF285FA8}"/>
            </c:ext>
          </c:extLst>
        </c:ser>
        <c:ser>
          <c:idx val="1"/>
          <c:order val="1"/>
          <c:tx>
            <c:strRef>
              <c:f>带宽占用RocksDB!$G$1</c:f>
              <c:strCache>
                <c:ptCount val="1"/>
                <c:pt idx="0">
                  <c:v>write</c:v>
                </c:pt>
              </c:strCache>
            </c:strRef>
          </c:tx>
          <c:spPr>
            <a:ln w="28575" cap="rnd">
              <a:solidFill>
                <a:schemeClr val="accent2"/>
              </a:solidFill>
              <a:round/>
            </a:ln>
            <a:effectLst/>
          </c:spPr>
          <c:marker>
            <c:symbol val="none"/>
          </c:marker>
          <c:val>
            <c:numRef>
              <c:f>带宽占用RocksDB!$G$2:$G$100</c:f>
              <c:numCache>
                <c:formatCode>General</c:formatCode>
                <c:ptCount val="99"/>
                <c:pt idx="0">
                  <c:v>0</c:v>
                </c:pt>
                <c:pt idx="1">
                  <c:v>384</c:v>
                </c:pt>
                <c:pt idx="2">
                  <c:v>629</c:v>
                </c:pt>
                <c:pt idx="3">
                  <c:v>657</c:v>
                </c:pt>
                <c:pt idx="4">
                  <c:v>697</c:v>
                </c:pt>
                <c:pt idx="5">
                  <c:v>822</c:v>
                </c:pt>
                <c:pt idx="6">
                  <c:v>810</c:v>
                </c:pt>
                <c:pt idx="7">
                  <c:v>867</c:v>
                </c:pt>
                <c:pt idx="8">
                  <c:v>827</c:v>
                </c:pt>
                <c:pt idx="9">
                  <c:v>781</c:v>
                </c:pt>
                <c:pt idx="10">
                  <c:v>773</c:v>
                </c:pt>
                <c:pt idx="11">
                  <c:v>961</c:v>
                </c:pt>
                <c:pt idx="12">
                  <c:v>909</c:v>
                </c:pt>
                <c:pt idx="13">
                  <c:v>863</c:v>
                </c:pt>
                <c:pt idx="14">
                  <c:v>1350</c:v>
                </c:pt>
                <c:pt idx="15">
                  <c:v>1121</c:v>
                </c:pt>
                <c:pt idx="16">
                  <c:v>845</c:v>
                </c:pt>
                <c:pt idx="17">
                  <c:v>1083</c:v>
                </c:pt>
                <c:pt idx="18">
                  <c:v>896</c:v>
                </c:pt>
                <c:pt idx="19">
                  <c:v>810</c:v>
                </c:pt>
                <c:pt idx="20">
                  <c:v>1091</c:v>
                </c:pt>
                <c:pt idx="21">
                  <c:v>1336</c:v>
                </c:pt>
                <c:pt idx="22">
                  <c:v>1084</c:v>
                </c:pt>
                <c:pt idx="23">
                  <c:v>891</c:v>
                </c:pt>
                <c:pt idx="24">
                  <c:v>1033</c:v>
                </c:pt>
                <c:pt idx="25">
                  <c:v>1052</c:v>
                </c:pt>
                <c:pt idx="26">
                  <c:v>875</c:v>
                </c:pt>
                <c:pt idx="27">
                  <c:v>813</c:v>
                </c:pt>
                <c:pt idx="28">
                  <c:v>1172</c:v>
                </c:pt>
                <c:pt idx="29">
                  <c:v>1355</c:v>
                </c:pt>
                <c:pt idx="30">
                  <c:v>1349</c:v>
                </c:pt>
                <c:pt idx="31">
                  <c:v>891</c:v>
                </c:pt>
                <c:pt idx="32">
                  <c:v>1079</c:v>
                </c:pt>
                <c:pt idx="33">
                  <c:v>1007</c:v>
                </c:pt>
                <c:pt idx="34">
                  <c:v>926</c:v>
                </c:pt>
                <c:pt idx="35">
                  <c:v>1075</c:v>
                </c:pt>
                <c:pt idx="36">
                  <c:v>1051</c:v>
                </c:pt>
                <c:pt idx="37">
                  <c:v>1318</c:v>
                </c:pt>
                <c:pt idx="38">
                  <c:v>1329</c:v>
                </c:pt>
                <c:pt idx="39">
                  <c:v>1323</c:v>
                </c:pt>
                <c:pt idx="40">
                  <c:v>1313</c:v>
                </c:pt>
                <c:pt idx="41">
                  <c:v>1207</c:v>
                </c:pt>
                <c:pt idx="42">
                  <c:v>756</c:v>
                </c:pt>
                <c:pt idx="43">
                  <c:v>1040</c:v>
                </c:pt>
                <c:pt idx="44">
                  <c:v>977</c:v>
                </c:pt>
                <c:pt idx="45">
                  <c:v>969</c:v>
                </c:pt>
                <c:pt idx="46">
                  <c:v>1237</c:v>
                </c:pt>
                <c:pt idx="47">
                  <c:v>1150</c:v>
                </c:pt>
                <c:pt idx="48">
                  <c:v>1310</c:v>
                </c:pt>
                <c:pt idx="49">
                  <c:v>1306</c:v>
                </c:pt>
                <c:pt idx="50">
                  <c:v>1319</c:v>
                </c:pt>
                <c:pt idx="51">
                  <c:v>1329</c:v>
                </c:pt>
                <c:pt idx="52">
                  <c:v>1368</c:v>
                </c:pt>
                <c:pt idx="53">
                  <c:v>919</c:v>
                </c:pt>
                <c:pt idx="54">
                  <c:v>860</c:v>
                </c:pt>
                <c:pt idx="55">
                  <c:v>1029</c:v>
                </c:pt>
                <c:pt idx="56">
                  <c:v>1069</c:v>
                </c:pt>
                <c:pt idx="57">
                  <c:v>1175</c:v>
                </c:pt>
                <c:pt idx="58">
                  <c:v>1166</c:v>
                </c:pt>
                <c:pt idx="59">
                  <c:v>1307</c:v>
                </c:pt>
                <c:pt idx="60">
                  <c:v>1309</c:v>
                </c:pt>
                <c:pt idx="61">
                  <c:v>1323</c:v>
                </c:pt>
                <c:pt idx="62">
                  <c:v>1311</c:v>
                </c:pt>
                <c:pt idx="63">
                  <c:v>1310</c:v>
                </c:pt>
                <c:pt idx="64">
                  <c:v>1300</c:v>
                </c:pt>
                <c:pt idx="65">
                  <c:v>1289</c:v>
                </c:pt>
                <c:pt idx="66">
                  <c:v>1317</c:v>
                </c:pt>
                <c:pt idx="67">
                  <c:v>1326</c:v>
                </c:pt>
                <c:pt idx="68">
                  <c:v>1002</c:v>
                </c:pt>
                <c:pt idx="69">
                  <c:v>937</c:v>
                </c:pt>
                <c:pt idx="70">
                  <c:v>998</c:v>
                </c:pt>
                <c:pt idx="71">
                  <c:v>1103</c:v>
                </c:pt>
                <c:pt idx="72">
                  <c:v>1137</c:v>
                </c:pt>
                <c:pt idx="73">
                  <c:v>1234</c:v>
                </c:pt>
                <c:pt idx="74">
                  <c:v>1289</c:v>
                </c:pt>
                <c:pt idx="75">
                  <c:v>1290</c:v>
                </c:pt>
                <c:pt idx="76">
                  <c:v>1293</c:v>
                </c:pt>
                <c:pt idx="77">
                  <c:v>1312</c:v>
                </c:pt>
                <c:pt idx="78">
                  <c:v>1312</c:v>
                </c:pt>
                <c:pt idx="79">
                  <c:v>1294</c:v>
                </c:pt>
                <c:pt idx="80">
                  <c:v>1293</c:v>
                </c:pt>
                <c:pt idx="81">
                  <c:v>1300</c:v>
                </c:pt>
                <c:pt idx="82">
                  <c:v>1291</c:v>
                </c:pt>
                <c:pt idx="83">
                  <c:v>1291</c:v>
                </c:pt>
                <c:pt idx="84">
                  <c:v>1295</c:v>
                </c:pt>
                <c:pt idx="85">
                  <c:v>846</c:v>
                </c:pt>
                <c:pt idx="86">
                  <c:v>1078</c:v>
                </c:pt>
                <c:pt idx="87">
                  <c:v>930</c:v>
                </c:pt>
                <c:pt idx="88">
                  <c:v>946</c:v>
                </c:pt>
                <c:pt idx="89">
                  <c:v>1191</c:v>
                </c:pt>
                <c:pt idx="90">
                  <c:v>1282</c:v>
                </c:pt>
                <c:pt idx="91">
                  <c:v>1050</c:v>
                </c:pt>
                <c:pt idx="92">
                  <c:v>1070</c:v>
                </c:pt>
                <c:pt idx="93">
                  <c:v>1318</c:v>
                </c:pt>
                <c:pt idx="94">
                  <c:v>1323</c:v>
                </c:pt>
                <c:pt idx="95">
                  <c:v>1301</c:v>
                </c:pt>
                <c:pt idx="96">
                  <c:v>1273</c:v>
                </c:pt>
                <c:pt idx="97">
                  <c:v>1281</c:v>
                </c:pt>
                <c:pt idx="98">
                  <c:v>1245</c:v>
                </c:pt>
              </c:numCache>
            </c:numRef>
          </c:val>
          <c:smooth val="0"/>
          <c:extLst>
            <c:ext xmlns:c16="http://schemas.microsoft.com/office/drawing/2014/chart" uri="{C3380CC4-5D6E-409C-BE32-E72D297353CC}">
              <c16:uniqueId val="{00000001-FB55-4125-9089-9152AF285FA8}"/>
            </c:ext>
          </c:extLst>
        </c:ser>
        <c:ser>
          <c:idx val="2"/>
          <c:order val="2"/>
          <c:tx>
            <c:strRef>
              <c:f>带宽占用RocksDB!$H$1</c:f>
              <c:strCache>
                <c:ptCount val="1"/>
                <c:pt idx="0">
                  <c:v>total</c:v>
                </c:pt>
              </c:strCache>
            </c:strRef>
          </c:tx>
          <c:spPr>
            <a:ln w="28575" cap="rnd">
              <a:solidFill>
                <a:schemeClr val="accent3"/>
              </a:solidFill>
              <a:round/>
            </a:ln>
            <a:effectLst/>
          </c:spPr>
          <c:marker>
            <c:symbol val="none"/>
          </c:marker>
          <c:val>
            <c:numRef>
              <c:f>带宽占用RocksDB!$H$2:$H$100</c:f>
              <c:numCache>
                <c:formatCode>General</c:formatCode>
                <c:ptCount val="99"/>
                <c:pt idx="0">
                  <c:v>0</c:v>
                </c:pt>
                <c:pt idx="1">
                  <c:v>385</c:v>
                </c:pt>
                <c:pt idx="2">
                  <c:v>875</c:v>
                </c:pt>
                <c:pt idx="3">
                  <c:v>939</c:v>
                </c:pt>
                <c:pt idx="4">
                  <c:v>1027</c:v>
                </c:pt>
                <c:pt idx="5">
                  <c:v>1196</c:v>
                </c:pt>
                <c:pt idx="6">
                  <c:v>1259</c:v>
                </c:pt>
                <c:pt idx="7">
                  <c:v>1368</c:v>
                </c:pt>
                <c:pt idx="8">
                  <c:v>1290</c:v>
                </c:pt>
                <c:pt idx="9">
                  <c:v>1204</c:v>
                </c:pt>
                <c:pt idx="10">
                  <c:v>1209</c:v>
                </c:pt>
                <c:pt idx="11">
                  <c:v>1575</c:v>
                </c:pt>
                <c:pt idx="12">
                  <c:v>1484</c:v>
                </c:pt>
                <c:pt idx="13">
                  <c:v>1365</c:v>
                </c:pt>
                <c:pt idx="14">
                  <c:v>2356</c:v>
                </c:pt>
                <c:pt idx="15">
                  <c:v>1885</c:v>
                </c:pt>
                <c:pt idx="16">
                  <c:v>1324</c:v>
                </c:pt>
                <c:pt idx="17">
                  <c:v>1797</c:v>
                </c:pt>
                <c:pt idx="18">
                  <c:v>1432</c:v>
                </c:pt>
                <c:pt idx="19">
                  <c:v>1261</c:v>
                </c:pt>
                <c:pt idx="20">
                  <c:v>1852</c:v>
                </c:pt>
                <c:pt idx="21">
                  <c:v>2346</c:v>
                </c:pt>
                <c:pt idx="22">
                  <c:v>1748</c:v>
                </c:pt>
                <c:pt idx="23">
                  <c:v>1405</c:v>
                </c:pt>
                <c:pt idx="24">
                  <c:v>1687</c:v>
                </c:pt>
                <c:pt idx="25">
                  <c:v>1739</c:v>
                </c:pt>
                <c:pt idx="26">
                  <c:v>1403</c:v>
                </c:pt>
                <c:pt idx="27">
                  <c:v>1274</c:v>
                </c:pt>
                <c:pt idx="28">
                  <c:v>2078</c:v>
                </c:pt>
                <c:pt idx="29">
                  <c:v>2370</c:v>
                </c:pt>
                <c:pt idx="30">
                  <c:v>2346</c:v>
                </c:pt>
                <c:pt idx="31">
                  <c:v>1402</c:v>
                </c:pt>
                <c:pt idx="32">
                  <c:v>1793</c:v>
                </c:pt>
                <c:pt idx="33">
                  <c:v>1646</c:v>
                </c:pt>
                <c:pt idx="34">
                  <c:v>1495</c:v>
                </c:pt>
                <c:pt idx="35">
                  <c:v>1810</c:v>
                </c:pt>
                <c:pt idx="36">
                  <c:v>1782</c:v>
                </c:pt>
                <c:pt idx="37">
                  <c:v>2357</c:v>
                </c:pt>
                <c:pt idx="38">
                  <c:v>2361</c:v>
                </c:pt>
                <c:pt idx="39">
                  <c:v>2335</c:v>
                </c:pt>
                <c:pt idx="40">
                  <c:v>2319</c:v>
                </c:pt>
                <c:pt idx="41">
                  <c:v>2051</c:v>
                </c:pt>
                <c:pt idx="42">
                  <c:v>1147</c:v>
                </c:pt>
                <c:pt idx="43">
                  <c:v>1720</c:v>
                </c:pt>
                <c:pt idx="44">
                  <c:v>1581</c:v>
                </c:pt>
                <c:pt idx="45">
                  <c:v>1564</c:v>
                </c:pt>
                <c:pt idx="46">
                  <c:v>2079</c:v>
                </c:pt>
                <c:pt idx="47">
                  <c:v>1979</c:v>
                </c:pt>
                <c:pt idx="48">
                  <c:v>2344</c:v>
                </c:pt>
                <c:pt idx="49">
                  <c:v>2331</c:v>
                </c:pt>
                <c:pt idx="50">
                  <c:v>2331</c:v>
                </c:pt>
                <c:pt idx="51">
                  <c:v>2322</c:v>
                </c:pt>
                <c:pt idx="52">
                  <c:v>2369</c:v>
                </c:pt>
                <c:pt idx="53">
                  <c:v>1425</c:v>
                </c:pt>
                <c:pt idx="54">
                  <c:v>1374</c:v>
                </c:pt>
                <c:pt idx="55">
                  <c:v>1627</c:v>
                </c:pt>
                <c:pt idx="56">
                  <c:v>1756</c:v>
                </c:pt>
                <c:pt idx="57">
                  <c:v>1974</c:v>
                </c:pt>
                <c:pt idx="58">
                  <c:v>1998</c:v>
                </c:pt>
                <c:pt idx="59">
                  <c:v>2351</c:v>
                </c:pt>
                <c:pt idx="60">
                  <c:v>2338</c:v>
                </c:pt>
                <c:pt idx="61">
                  <c:v>2344</c:v>
                </c:pt>
                <c:pt idx="62">
                  <c:v>2346</c:v>
                </c:pt>
                <c:pt idx="63">
                  <c:v>2340</c:v>
                </c:pt>
                <c:pt idx="64">
                  <c:v>2334</c:v>
                </c:pt>
                <c:pt idx="65">
                  <c:v>2352</c:v>
                </c:pt>
                <c:pt idx="66">
                  <c:v>2368</c:v>
                </c:pt>
                <c:pt idx="67">
                  <c:v>2349</c:v>
                </c:pt>
                <c:pt idx="68">
                  <c:v>1638</c:v>
                </c:pt>
                <c:pt idx="69">
                  <c:v>1505</c:v>
                </c:pt>
                <c:pt idx="70">
                  <c:v>1629</c:v>
                </c:pt>
                <c:pt idx="71">
                  <c:v>1795</c:v>
                </c:pt>
                <c:pt idx="72">
                  <c:v>1907</c:v>
                </c:pt>
                <c:pt idx="73">
                  <c:v>2089</c:v>
                </c:pt>
                <c:pt idx="74">
                  <c:v>2372</c:v>
                </c:pt>
                <c:pt idx="75">
                  <c:v>2347</c:v>
                </c:pt>
                <c:pt idx="76">
                  <c:v>2345</c:v>
                </c:pt>
                <c:pt idx="77">
                  <c:v>2360</c:v>
                </c:pt>
                <c:pt idx="78">
                  <c:v>2344</c:v>
                </c:pt>
                <c:pt idx="79">
                  <c:v>2330</c:v>
                </c:pt>
                <c:pt idx="80">
                  <c:v>2340</c:v>
                </c:pt>
                <c:pt idx="81">
                  <c:v>2363</c:v>
                </c:pt>
                <c:pt idx="82">
                  <c:v>2375</c:v>
                </c:pt>
                <c:pt idx="83">
                  <c:v>2340</c:v>
                </c:pt>
                <c:pt idx="84">
                  <c:v>2254</c:v>
                </c:pt>
                <c:pt idx="85">
                  <c:v>1289</c:v>
                </c:pt>
                <c:pt idx="86">
                  <c:v>1770</c:v>
                </c:pt>
                <c:pt idx="87">
                  <c:v>1489</c:v>
                </c:pt>
                <c:pt idx="88">
                  <c:v>1512</c:v>
                </c:pt>
                <c:pt idx="89">
                  <c:v>2020</c:v>
                </c:pt>
                <c:pt idx="90">
                  <c:v>2200</c:v>
                </c:pt>
                <c:pt idx="91">
                  <c:v>1733</c:v>
                </c:pt>
                <c:pt idx="92">
                  <c:v>1854</c:v>
                </c:pt>
                <c:pt idx="93">
                  <c:v>2366</c:v>
                </c:pt>
                <c:pt idx="94">
                  <c:v>2369</c:v>
                </c:pt>
                <c:pt idx="95">
                  <c:v>2339</c:v>
                </c:pt>
                <c:pt idx="96">
                  <c:v>2366</c:v>
                </c:pt>
                <c:pt idx="97">
                  <c:v>2360</c:v>
                </c:pt>
                <c:pt idx="98">
                  <c:v>2372</c:v>
                </c:pt>
              </c:numCache>
            </c:numRef>
          </c:val>
          <c:smooth val="0"/>
          <c:extLst>
            <c:ext xmlns:c16="http://schemas.microsoft.com/office/drawing/2014/chart" uri="{C3380CC4-5D6E-409C-BE32-E72D297353CC}">
              <c16:uniqueId val="{00000002-FB55-4125-9089-9152AF285FA8}"/>
            </c:ext>
          </c:extLst>
        </c:ser>
        <c:dLbls>
          <c:showLegendKey val="0"/>
          <c:showVal val="0"/>
          <c:showCatName val="0"/>
          <c:showSerName val="0"/>
          <c:showPercent val="0"/>
          <c:showBubbleSize val="0"/>
        </c:dLbls>
        <c:smooth val="0"/>
        <c:axId val="771485695"/>
        <c:axId val="837394431"/>
      </c:lineChart>
      <c:catAx>
        <c:axId val="7714856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7394431"/>
        <c:crosses val="autoZero"/>
        <c:auto val="1"/>
        <c:lblAlgn val="ctr"/>
        <c:lblOffset val="100"/>
        <c:tickLblSkip val="10"/>
        <c:tickMarkSkip val="1"/>
        <c:noMultiLvlLbl val="0"/>
      </c:catAx>
      <c:valAx>
        <c:axId val="83739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1485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8q32</a:t>
            </a:r>
            <a:r>
              <a:rPr lang="zh-CN" altLang="en-US"/>
              <a:t>随机</a:t>
            </a:r>
            <a:r>
              <a:rPr lang="en-US" altLang="zh-CN"/>
              <a:t>load100M </a:t>
            </a:r>
            <a:r>
              <a:rPr lang="zh-CN" altLang="en-US"/>
              <a:t>底层吞吐率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带宽占用pKVS!$C$1</c:f>
              <c:strCache>
                <c:ptCount val="1"/>
                <c:pt idx="0">
                  <c:v>log</c:v>
                </c:pt>
              </c:strCache>
            </c:strRef>
          </c:tx>
          <c:spPr>
            <a:ln w="28575" cap="rnd">
              <a:solidFill>
                <a:schemeClr val="accent1"/>
              </a:solidFill>
              <a:round/>
            </a:ln>
            <a:effectLst/>
          </c:spPr>
          <c:marker>
            <c:symbol val="none"/>
          </c:marker>
          <c:val>
            <c:numRef>
              <c:f>带宽占用pKVS!$C$2:$C$33</c:f>
              <c:numCache>
                <c:formatCode>General</c:formatCode>
                <c:ptCount val="32"/>
                <c:pt idx="0">
                  <c:v>526</c:v>
                </c:pt>
                <c:pt idx="1">
                  <c:v>599</c:v>
                </c:pt>
                <c:pt idx="2">
                  <c:v>620</c:v>
                </c:pt>
                <c:pt idx="3">
                  <c:v>1455</c:v>
                </c:pt>
                <c:pt idx="4">
                  <c:v>1043</c:v>
                </c:pt>
                <c:pt idx="5">
                  <c:v>420</c:v>
                </c:pt>
                <c:pt idx="6">
                  <c:v>940</c:v>
                </c:pt>
                <c:pt idx="7">
                  <c:v>1542</c:v>
                </c:pt>
                <c:pt idx="8">
                  <c:v>1469</c:v>
                </c:pt>
                <c:pt idx="9">
                  <c:v>1194</c:v>
                </c:pt>
                <c:pt idx="10">
                  <c:v>1178</c:v>
                </c:pt>
                <c:pt idx="11">
                  <c:v>1225</c:v>
                </c:pt>
                <c:pt idx="12">
                  <c:v>1296</c:v>
                </c:pt>
                <c:pt idx="13">
                  <c:v>1430</c:v>
                </c:pt>
                <c:pt idx="14">
                  <c:v>1205</c:v>
                </c:pt>
                <c:pt idx="15">
                  <c:v>1734</c:v>
                </c:pt>
                <c:pt idx="16">
                  <c:v>1608</c:v>
                </c:pt>
                <c:pt idx="17">
                  <c:v>1320</c:v>
                </c:pt>
                <c:pt idx="18">
                  <c:v>1267</c:v>
                </c:pt>
                <c:pt idx="19">
                  <c:v>1474</c:v>
                </c:pt>
                <c:pt idx="20">
                  <c:v>1478</c:v>
                </c:pt>
                <c:pt idx="21">
                  <c:v>1385</c:v>
                </c:pt>
                <c:pt idx="22">
                  <c:v>1564</c:v>
                </c:pt>
                <c:pt idx="23">
                  <c:v>1140</c:v>
                </c:pt>
                <c:pt idx="24">
                  <c:v>1832</c:v>
                </c:pt>
                <c:pt idx="25">
                  <c:v>1756</c:v>
                </c:pt>
                <c:pt idx="26">
                  <c:v>1778</c:v>
                </c:pt>
                <c:pt idx="27">
                  <c:v>1496</c:v>
                </c:pt>
                <c:pt idx="28">
                  <c:v>1534</c:v>
                </c:pt>
                <c:pt idx="29">
                  <c:v>1274</c:v>
                </c:pt>
                <c:pt idx="30">
                  <c:v>820</c:v>
                </c:pt>
                <c:pt idx="31">
                  <c:v>597</c:v>
                </c:pt>
              </c:numCache>
            </c:numRef>
          </c:val>
          <c:smooth val="0"/>
          <c:extLst>
            <c:ext xmlns:c16="http://schemas.microsoft.com/office/drawing/2014/chart" uri="{C3380CC4-5D6E-409C-BE32-E72D297353CC}">
              <c16:uniqueId val="{00000000-AC03-42A4-B58D-2BF2F225642A}"/>
            </c:ext>
          </c:extLst>
        </c:ser>
        <c:ser>
          <c:idx val="1"/>
          <c:order val="1"/>
          <c:tx>
            <c:strRef>
              <c:f>带宽占用pKVS!$O$1</c:f>
              <c:strCache>
                <c:ptCount val="1"/>
                <c:pt idx="0">
                  <c:v>nolog</c:v>
                </c:pt>
              </c:strCache>
            </c:strRef>
          </c:tx>
          <c:spPr>
            <a:ln w="28575" cap="rnd">
              <a:solidFill>
                <a:schemeClr val="accent2"/>
              </a:solidFill>
              <a:round/>
            </a:ln>
            <a:effectLst/>
          </c:spPr>
          <c:marker>
            <c:symbol val="none"/>
          </c:marker>
          <c:val>
            <c:numRef>
              <c:f>带宽占用pKVS!$O$2:$O$29</c:f>
              <c:numCache>
                <c:formatCode>General</c:formatCode>
                <c:ptCount val="28"/>
                <c:pt idx="0">
                  <c:v>807</c:v>
                </c:pt>
                <c:pt idx="1">
                  <c:v>452</c:v>
                </c:pt>
                <c:pt idx="2">
                  <c:v>1004</c:v>
                </c:pt>
                <c:pt idx="3">
                  <c:v>1735</c:v>
                </c:pt>
                <c:pt idx="4">
                  <c:v>608</c:v>
                </c:pt>
                <c:pt idx="5">
                  <c:v>1174</c:v>
                </c:pt>
                <c:pt idx="6">
                  <c:v>1775</c:v>
                </c:pt>
                <c:pt idx="7">
                  <c:v>1459</c:v>
                </c:pt>
                <c:pt idx="8">
                  <c:v>1170</c:v>
                </c:pt>
                <c:pt idx="9">
                  <c:v>1834</c:v>
                </c:pt>
                <c:pt idx="10">
                  <c:v>1811</c:v>
                </c:pt>
                <c:pt idx="11">
                  <c:v>1677</c:v>
                </c:pt>
                <c:pt idx="12">
                  <c:v>1670</c:v>
                </c:pt>
                <c:pt idx="13">
                  <c:v>1628</c:v>
                </c:pt>
                <c:pt idx="14">
                  <c:v>1421</c:v>
                </c:pt>
                <c:pt idx="15">
                  <c:v>1478</c:v>
                </c:pt>
                <c:pt idx="16">
                  <c:v>1759</c:v>
                </c:pt>
                <c:pt idx="17">
                  <c:v>1985</c:v>
                </c:pt>
                <c:pt idx="18">
                  <c:v>1748</c:v>
                </c:pt>
                <c:pt idx="19">
                  <c:v>1514</c:v>
                </c:pt>
                <c:pt idx="20">
                  <c:v>1777</c:v>
                </c:pt>
                <c:pt idx="21">
                  <c:v>1840</c:v>
                </c:pt>
                <c:pt idx="22">
                  <c:v>1605</c:v>
                </c:pt>
                <c:pt idx="23">
                  <c:v>1666</c:v>
                </c:pt>
                <c:pt idx="24">
                  <c:v>954</c:v>
                </c:pt>
                <c:pt idx="25">
                  <c:v>390</c:v>
                </c:pt>
                <c:pt idx="26">
                  <c:v>417</c:v>
                </c:pt>
                <c:pt idx="27">
                  <c:v>79</c:v>
                </c:pt>
              </c:numCache>
            </c:numRef>
          </c:val>
          <c:smooth val="0"/>
          <c:extLst>
            <c:ext xmlns:c16="http://schemas.microsoft.com/office/drawing/2014/chart" uri="{C3380CC4-5D6E-409C-BE32-E72D297353CC}">
              <c16:uniqueId val="{00000001-AC03-42A4-B58D-2BF2F225642A}"/>
            </c:ext>
          </c:extLst>
        </c:ser>
        <c:dLbls>
          <c:showLegendKey val="0"/>
          <c:showVal val="0"/>
          <c:showCatName val="0"/>
          <c:showSerName val="0"/>
          <c:showPercent val="0"/>
          <c:showBubbleSize val="0"/>
        </c:dLbls>
        <c:smooth val="0"/>
        <c:axId val="1640954832"/>
        <c:axId val="1648950512"/>
      </c:lineChart>
      <c:catAx>
        <c:axId val="16409548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48950512"/>
        <c:crosses val="autoZero"/>
        <c:auto val="1"/>
        <c:lblAlgn val="ctr"/>
        <c:lblOffset val="100"/>
        <c:noMultiLvlLbl val="0"/>
      </c:catAx>
      <c:valAx>
        <c:axId val="1648950512"/>
        <c:scaling>
          <c:orientation val="minMax"/>
          <c:max val="22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40954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ltLang="zh-CN"/>
              <a:t>KQPS,</a:t>
            </a:r>
            <a:r>
              <a:rPr lang="en-US" altLang="zh-CN" baseline="0"/>
              <a:t> 28B key and 100B value</a:t>
            </a:r>
            <a:endParaRPr lang="zh-C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manualLayout>
          <c:layoutTarget val="inner"/>
          <c:xMode val="edge"/>
          <c:yMode val="edge"/>
          <c:x val="4.4063028706777509E-2"/>
          <c:y val="0.18300925925925926"/>
          <c:w val="0.47914602138147366"/>
          <c:h val="0.64198612721996895"/>
        </c:manualLayout>
      </c:layout>
      <c:barChart>
        <c:barDir val="col"/>
        <c:grouping val="clustered"/>
        <c:varyColors val="0"/>
        <c:ser>
          <c:idx val="0"/>
          <c:order val="0"/>
          <c:tx>
            <c:strRef>
              <c:f>多介质下KV不同!$H$53</c:f>
              <c:strCache>
                <c:ptCount val="1"/>
                <c:pt idx="0">
                  <c:v>HDD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多介质下KV不同!$I$52:$K$52</c:f>
              <c:strCache>
                <c:ptCount val="3"/>
                <c:pt idx="0">
                  <c:v>Seq Write</c:v>
                </c:pt>
                <c:pt idx="1">
                  <c:v>Rand Write</c:v>
                </c:pt>
                <c:pt idx="2">
                  <c:v>Update</c:v>
                </c:pt>
              </c:strCache>
            </c:strRef>
          </c:cat>
          <c:val>
            <c:numRef>
              <c:f>多介质下KV不同!$I$53:$K$53</c:f>
              <c:numCache>
                <c:formatCode>General</c:formatCode>
                <c:ptCount val="3"/>
                <c:pt idx="0">
                  <c:v>409</c:v>
                </c:pt>
                <c:pt idx="1">
                  <c:v>259</c:v>
                </c:pt>
                <c:pt idx="2">
                  <c:v>230</c:v>
                </c:pt>
              </c:numCache>
            </c:numRef>
          </c:val>
          <c:extLst>
            <c:ext xmlns:c16="http://schemas.microsoft.com/office/drawing/2014/chart" uri="{C3380CC4-5D6E-409C-BE32-E72D297353CC}">
              <c16:uniqueId val="{00000000-E88E-4715-A332-AFCF652D313D}"/>
            </c:ext>
          </c:extLst>
        </c:ser>
        <c:ser>
          <c:idx val="1"/>
          <c:order val="1"/>
          <c:tx>
            <c:strRef>
              <c:f>多介质下KV不同!$H$54</c:f>
              <c:strCache>
                <c:ptCount val="1"/>
                <c:pt idx="0">
                  <c:v>Flash-based SSD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多介质下KV不同!$I$52:$K$52</c:f>
              <c:strCache>
                <c:ptCount val="3"/>
                <c:pt idx="0">
                  <c:v>Seq Write</c:v>
                </c:pt>
                <c:pt idx="1">
                  <c:v>Rand Write</c:v>
                </c:pt>
                <c:pt idx="2">
                  <c:v>Update</c:v>
                </c:pt>
              </c:strCache>
            </c:strRef>
          </c:cat>
          <c:val>
            <c:numRef>
              <c:f>多介质下KV不同!$I$57:$K$57</c:f>
              <c:numCache>
                <c:formatCode>General</c:formatCode>
                <c:ptCount val="3"/>
                <c:pt idx="0">
                  <c:v>423</c:v>
                </c:pt>
                <c:pt idx="1">
                  <c:v>267</c:v>
                </c:pt>
                <c:pt idx="2">
                  <c:v>253</c:v>
                </c:pt>
              </c:numCache>
            </c:numRef>
          </c:val>
          <c:extLst>
            <c:ext xmlns:c16="http://schemas.microsoft.com/office/drawing/2014/chart" uri="{C3380CC4-5D6E-409C-BE32-E72D297353CC}">
              <c16:uniqueId val="{00000001-E88E-4715-A332-AFCF652D313D}"/>
            </c:ext>
          </c:extLst>
        </c:ser>
        <c:ser>
          <c:idx val="2"/>
          <c:order val="2"/>
          <c:tx>
            <c:strRef>
              <c:f>多介质下KV不同!$H$55</c:f>
              <c:strCache>
                <c:ptCount val="1"/>
                <c:pt idx="0">
                  <c:v>Optane SSD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多介质下KV不同!$I$52:$K$52</c:f>
              <c:strCache>
                <c:ptCount val="3"/>
                <c:pt idx="0">
                  <c:v>Seq Write</c:v>
                </c:pt>
                <c:pt idx="1">
                  <c:v>Rand Write</c:v>
                </c:pt>
                <c:pt idx="2">
                  <c:v>Update</c:v>
                </c:pt>
              </c:strCache>
            </c:strRef>
          </c:cat>
          <c:val>
            <c:numRef>
              <c:f>多介质下KV不同!$I$55:$K$55</c:f>
              <c:numCache>
                <c:formatCode>General</c:formatCode>
                <c:ptCount val="3"/>
                <c:pt idx="0">
                  <c:v>433</c:v>
                </c:pt>
                <c:pt idx="1">
                  <c:v>232</c:v>
                </c:pt>
                <c:pt idx="2">
                  <c:v>259</c:v>
                </c:pt>
              </c:numCache>
            </c:numRef>
          </c:val>
          <c:extLst>
            <c:ext xmlns:c16="http://schemas.microsoft.com/office/drawing/2014/chart" uri="{C3380CC4-5D6E-409C-BE32-E72D297353CC}">
              <c16:uniqueId val="{00000002-E88E-4715-A332-AFCF652D313D}"/>
            </c:ext>
          </c:extLst>
        </c:ser>
        <c:dLbls>
          <c:showLegendKey val="0"/>
          <c:showVal val="0"/>
          <c:showCatName val="0"/>
          <c:showSerName val="0"/>
          <c:showPercent val="0"/>
          <c:showBubbleSize val="0"/>
        </c:dLbls>
        <c:gapWidth val="100"/>
        <c:overlap val="-24"/>
        <c:axId val="405735024"/>
        <c:axId val="411021456"/>
      </c:barChart>
      <c:catAx>
        <c:axId val="4057350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411021456"/>
        <c:crosses val="autoZero"/>
        <c:auto val="1"/>
        <c:lblAlgn val="ctr"/>
        <c:lblOffset val="100"/>
        <c:noMultiLvlLbl val="0"/>
      </c:catAx>
      <c:valAx>
        <c:axId val="4110214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405735024"/>
        <c:crosses val="autoZero"/>
        <c:crossBetween val="between"/>
      </c:valAx>
      <c:spPr>
        <a:noFill/>
        <a:ln>
          <a:noFill/>
        </a:ln>
        <a:effectLst/>
      </c:spPr>
    </c:plotArea>
    <c:legend>
      <c:legendPos val="b"/>
      <c:layout>
        <c:manualLayout>
          <c:xMode val="edge"/>
          <c:yMode val="edge"/>
          <c:x val="0.27560337063492929"/>
          <c:y val="0.90443328132031975"/>
          <c:w val="0.45368509689404918"/>
          <c:h val="8.00458057691963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单文件写底层吞吐率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带宽占用pKVS!$R$1</c:f>
              <c:strCache>
                <c:ptCount val="1"/>
                <c:pt idx="0">
                  <c:v>dd</c:v>
                </c:pt>
              </c:strCache>
            </c:strRef>
          </c:tx>
          <c:spPr>
            <a:ln w="28575" cap="rnd">
              <a:solidFill>
                <a:schemeClr val="accent1"/>
              </a:solidFill>
              <a:round/>
            </a:ln>
            <a:effectLst/>
          </c:spPr>
          <c:marker>
            <c:symbol val="none"/>
          </c:marker>
          <c:val>
            <c:numRef>
              <c:f>带宽占用pKVS!$R$2:$R$41</c:f>
              <c:numCache>
                <c:formatCode>General</c:formatCode>
                <c:ptCount val="40"/>
                <c:pt idx="0">
                  <c:v>429</c:v>
                </c:pt>
                <c:pt idx="1">
                  <c:v>1122</c:v>
                </c:pt>
                <c:pt idx="2">
                  <c:v>2260</c:v>
                </c:pt>
                <c:pt idx="3">
                  <c:v>2256</c:v>
                </c:pt>
                <c:pt idx="4">
                  <c:v>2257</c:v>
                </c:pt>
                <c:pt idx="5">
                  <c:v>642</c:v>
                </c:pt>
                <c:pt idx="6">
                  <c:v>0</c:v>
                </c:pt>
                <c:pt idx="7">
                  <c:v>0</c:v>
                </c:pt>
                <c:pt idx="8">
                  <c:v>640</c:v>
                </c:pt>
                <c:pt idx="9">
                  <c:v>2248</c:v>
                </c:pt>
                <c:pt idx="10">
                  <c:v>2247</c:v>
                </c:pt>
                <c:pt idx="11">
                  <c:v>2255</c:v>
                </c:pt>
                <c:pt idx="12">
                  <c:v>470</c:v>
                </c:pt>
                <c:pt idx="13">
                  <c:v>0</c:v>
                </c:pt>
                <c:pt idx="14">
                  <c:v>0</c:v>
                </c:pt>
                <c:pt idx="15">
                  <c:v>87</c:v>
                </c:pt>
                <c:pt idx="16">
                  <c:v>2241</c:v>
                </c:pt>
                <c:pt idx="17">
                  <c:v>2240</c:v>
                </c:pt>
                <c:pt idx="18">
                  <c:v>2249</c:v>
                </c:pt>
                <c:pt idx="19">
                  <c:v>991</c:v>
                </c:pt>
                <c:pt idx="20">
                  <c:v>0</c:v>
                </c:pt>
                <c:pt idx="21">
                  <c:v>0</c:v>
                </c:pt>
                <c:pt idx="22">
                  <c:v>0</c:v>
                </c:pt>
                <c:pt idx="23">
                  <c:v>2196</c:v>
                </c:pt>
                <c:pt idx="24">
                  <c:v>2240</c:v>
                </c:pt>
                <c:pt idx="25">
                  <c:v>2248</c:v>
                </c:pt>
                <c:pt idx="26">
                  <c:v>1112</c:v>
                </c:pt>
                <c:pt idx="27">
                  <c:v>0</c:v>
                </c:pt>
                <c:pt idx="28">
                  <c:v>0</c:v>
                </c:pt>
                <c:pt idx="29">
                  <c:v>0</c:v>
                </c:pt>
                <c:pt idx="30">
                  <c:v>0</c:v>
                </c:pt>
                <c:pt idx="31">
                  <c:v>732</c:v>
                </c:pt>
                <c:pt idx="32">
                  <c:v>2264</c:v>
                </c:pt>
                <c:pt idx="33">
                  <c:v>2249</c:v>
                </c:pt>
                <c:pt idx="34">
                  <c:v>321</c:v>
                </c:pt>
              </c:numCache>
            </c:numRef>
          </c:val>
          <c:smooth val="0"/>
          <c:extLst>
            <c:ext xmlns:c16="http://schemas.microsoft.com/office/drawing/2014/chart" uri="{C3380CC4-5D6E-409C-BE32-E72D297353CC}">
              <c16:uniqueId val="{00000000-9AE5-485D-82CF-267B3F3C0391}"/>
            </c:ext>
          </c:extLst>
        </c:ser>
        <c:ser>
          <c:idx val="1"/>
          <c:order val="1"/>
          <c:tx>
            <c:strRef>
              <c:f>带宽占用pKVS!$U$1</c:f>
              <c:strCache>
                <c:ptCount val="1"/>
                <c:pt idx="0">
                  <c:v>fio 1M</c:v>
                </c:pt>
              </c:strCache>
            </c:strRef>
          </c:tx>
          <c:spPr>
            <a:ln w="28575" cap="rnd">
              <a:solidFill>
                <a:schemeClr val="accent2"/>
              </a:solidFill>
              <a:round/>
            </a:ln>
            <a:effectLst/>
          </c:spPr>
          <c:marker>
            <c:symbol val="none"/>
          </c:marker>
          <c:val>
            <c:numRef>
              <c:f>带宽占用pKVS!$U$2:$U$41</c:f>
              <c:numCache>
                <c:formatCode>General</c:formatCode>
                <c:ptCount val="40"/>
                <c:pt idx="0">
                  <c:v>380</c:v>
                </c:pt>
                <c:pt idx="1">
                  <c:v>2344</c:v>
                </c:pt>
                <c:pt idx="2">
                  <c:v>2294</c:v>
                </c:pt>
                <c:pt idx="3">
                  <c:v>2268</c:v>
                </c:pt>
                <c:pt idx="4">
                  <c:v>2275</c:v>
                </c:pt>
                <c:pt idx="5">
                  <c:v>2275</c:v>
                </c:pt>
                <c:pt idx="6">
                  <c:v>2270</c:v>
                </c:pt>
                <c:pt idx="7">
                  <c:v>2273</c:v>
                </c:pt>
                <c:pt idx="8">
                  <c:v>2276</c:v>
                </c:pt>
                <c:pt idx="9">
                  <c:v>2270</c:v>
                </c:pt>
                <c:pt idx="10">
                  <c:v>2256</c:v>
                </c:pt>
                <c:pt idx="11">
                  <c:v>2279</c:v>
                </c:pt>
                <c:pt idx="12">
                  <c:v>2270</c:v>
                </c:pt>
                <c:pt idx="13">
                  <c:v>2279</c:v>
                </c:pt>
                <c:pt idx="14">
                  <c:v>2267</c:v>
                </c:pt>
                <c:pt idx="15">
                  <c:v>2251</c:v>
                </c:pt>
                <c:pt idx="16">
                  <c:v>2265</c:v>
                </c:pt>
                <c:pt idx="17">
                  <c:v>2260</c:v>
                </c:pt>
                <c:pt idx="18">
                  <c:v>1909</c:v>
                </c:pt>
              </c:numCache>
            </c:numRef>
          </c:val>
          <c:smooth val="0"/>
          <c:extLst>
            <c:ext xmlns:c16="http://schemas.microsoft.com/office/drawing/2014/chart" uri="{C3380CC4-5D6E-409C-BE32-E72D297353CC}">
              <c16:uniqueId val="{00000001-9AE5-485D-82CF-267B3F3C0391}"/>
            </c:ext>
          </c:extLst>
        </c:ser>
        <c:dLbls>
          <c:showLegendKey val="0"/>
          <c:showVal val="0"/>
          <c:showCatName val="0"/>
          <c:showSerName val="0"/>
          <c:showPercent val="0"/>
          <c:showBubbleSize val="0"/>
        </c:dLbls>
        <c:smooth val="0"/>
        <c:axId val="1640941232"/>
        <c:axId val="1648948432"/>
      </c:lineChart>
      <c:catAx>
        <c:axId val="164094123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48948432"/>
        <c:crosses val="autoZero"/>
        <c:auto val="1"/>
        <c:lblAlgn val="ctr"/>
        <c:lblOffset val="100"/>
        <c:noMultiLvlLbl val="0"/>
      </c:catAx>
      <c:valAx>
        <c:axId val="164894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40941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带宽占用pKVS!$X$1</c:f>
              <c:strCache>
                <c:ptCount val="1"/>
                <c:pt idx="0">
                  <c:v>read</c:v>
                </c:pt>
              </c:strCache>
            </c:strRef>
          </c:tx>
          <c:spPr>
            <a:ln w="28575" cap="rnd">
              <a:solidFill>
                <a:schemeClr val="accent1"/>
              </a:solidFill>
              <a:round/>
            </a:ln>
            <a:effectLst/>
          </c:spPr>
          <c:marker>
            <c:symbol val="none"/>
          </c:marker>
          <c:val>
            <c:numRef>
              <c:f>带宽占用pKVS!$X$2:$X$286</c:f>
              <c:numCache>
                <c:formatCode>General</c:formatCode>
                <c:ptCount val="28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33</c:v>
                </c:pt>
                <c:pt idx="46">
                  <c:v>24</c:v>
                </c:pt>
                <c:pt idx="47">
                  <c:v>15</c:v>
                </c:pt>
                <c:pt idx="48">
                  <c:v>68</c:v>
                </c:pt>
                <c:pt idx="49">
                  <c:v>124</c:v>
                </c:pt>
                <c:pt idx="50">
                  <c:v>395</c:v>
                </c:pt>
                <c:pt idx="51">
                  <c:v>463</c:v>
                </c:pt>
                <c:pt idx="52">
                  <c:v>477</c:v>
                </c:pt>
                <c:pt idx="53">
                  <c:v>407</c:v>
                </c:pt>
                <c:pt idx="54">
                  <c:v>412</c:v>
                </c:pt>
                <c:pt idx="55">
                  <c:v>257</c:v>
                </c:pt>
                <c:pt idx="56">
                  <c:v>237</c:v>
                </c:pt>
                <c:pt idx="57">
                  <c:v>343</c:v>
                </c:pt>
                <c:pt idx="58">
                  <c:v>421</c:v>
                </c:pt>
                <c:pt idx="59">
                  <c:v>378</c:v>
                </c:pt>
                <c:pt idx="60">
                  <c:v>334</c:v>
                </c:pt>
                <c:pt idx="61">
                  <c:v>560</c:v>
                </c:pt>
                <c:pt idx="62">
                  <c:v>538</c:v>
                </c:pt>
                <c:pt idx="63">
                  <c:v>452</c:v>
                </c:pt>
                <c:pt idx="64">
                  <c:v>512</c:v>
                </c:pt>
                <c:pt idx="65">
                  <c:v>423</c:v>
                </c:pt>
                <c:pt idx="66">
                  <c:v>432</c:v>
                </c:pt>
                <c:pt idx="67">
                  <c:v>479</c:v>
                </c:pt>
                <c:pt idx="68">
                  <c:v>488</c:v>
                </c:pt>
                <c:pt idx="69">
                  <c:v>939</c:v>
                </c:pt>
                <c:pt idx="70">
                  <c:v>442</c:v>
                </c:pt>
                <c:pt idx="71">
                  <c:v>82</c:v>
                </c:pt>
                <c:pt idx="72">
                  <c:v>882</c:v>
                </c:pt>
                <c:pt idx="73">
                  <c:v>406</c:v>
                </c:pt>
                <c:pt idx="74">
                  <c:v>672</c:v>
                </c:pt>
                <c:pt idx="75">
                  <c:v>1066</c:v>
                </c:pt>
                <c:pt idx="76">
                  <c:v>704</c:v>
                </c:pt>
                <c:pt idx="77">
                  <c:v>728</c:v>
                </c:pt>
                <c:pt idx="78">
                  <c:v>435</c:v>
                </c:pt>
                <c:pt idx="79">
                  <c:v>631</c:v>
                </c:pt>
                <c:pt idx="80">
                  <c:v>525</c:v>
                </c:pt>
                <c:pt idx="81">
                  <c:v>433</c:v>
                </c:pt>
                <c:pt idx="82">
                  <c:v>426</c:v>
                </c:pt>
                <c:pt idx="83">
                  <c:v>288</c:v>
                </c:pt>
                <c:pt idx="84">
                  <c:v>327</c:v>
                </c:pt>
                <c:pt idx="85">
                  <c:v>420</c:v>
                </c:pt>
                <c:pt idx="86">
                  <c:v>347</c:v>
                </c:pt>
                <c:pt idx="87">
                  <c:v>532</c:v>
                </c:pt>
                <c:pt idx="88">
                  <c:v>515</c:v>
                </c:pt>
                <c:pt idx="89">
                  <c:v>626</c:v>
                </c:pt>
                <c:pt idx="90">
                  <c:v>465</c:v>
                </c:pt>
                <c:pt idx="91">
                  <c:v>399</c:v>
                </c:pt>
                <c:pt idx="92">
                  <c:v>508</c:v>
                </c:pt>
                <c:pt idx="93">
                  <c:v>362</c:v>
                </c:pt>
                <c:pt idx="94">
                  <c:v>334</c:v>
                </c:pt>
                <c:pt idx="95">
                  <c:v>1012</c:v>
                </c:pt>
                <c:pt idx="96">
                  <c:v>257</c:v>
                </c:pt>
                <c:pt idx="97">
                  <c:v>412</c:v>
                </c:pt>
                <c:pt idx="98">
                  <c:v>576</c:v>
                </c:pt>
                <c:pt idx="99">
                  <c:v>752</c:v>
                </c:pt>
                <c:pt idx="100">
                  <c:v>569</c:v>
                </c:pt>
                <c:pt idx="101">
                  <c:v>787</c:v>
                </c:pt>
                <c:pt idx="102">
                  <c:v>1127</c:v>
                </c:pt>
                <c:pt idx="103">
                  <c:v>627</c:v>
                </c:pt>
                <c:pt idx="104">
                  <c:v>571</c:v>
                </c:pt>
                <c:pt idx="105">
                  <c:v>598</c:v>
                </c:pt>
                <c:pt idx="106">
                  <c:v>904</c:v>
                </c:pt>
                <c:pt idx="107">
                  <c:v>320</c:v>
                </c:pt>
                <c:pt idx="108">
                  <c:v>779</c:v>
                </c:pt>
                <c:pt idx="109">
                  <c:v>679</c:v>
                </c:pt>
                <c:pt idx="110">
                  <c:v>644</c:v>
                </c:pt>
                <c:pt idx="111">
                  <c:v>420</c:v>
                </c:pt>
                <c:pt idx="112">
                  <c:v>444</c:v>
                </c:pt>
                <c:pt idx="113">
                  <c:v>463</c:v>
                </c:pt>
                <c:pt idx="114">
                  <c:v>352</c:v>
                </c:pt>
                <c:pt idx="115">
                  <c:v>339</c:v>
                </c:pt>
                <c:pt idx="116">
                  <c:v>529</c:v>
                </c:pt>
                <c:pt idx="117">
                  <c:v>439</c:v>
                </c:pt>
                <c:pt idx="118">
                  <c:v>701</c:v>
                </c:pt>
                <c:pt idx="119">
                  <c:v>570</c:v>
                </c:pt>
                <c:pt idx="120">
                  <c:v>128</c:v>
                </c:pt>
                <c:pt idx="121">
                  <c:v>598</c:v>
                </c:pt>
                <c:pt idx="122">
                  <c:v>492</c:v>
                </c:pt>
                <c:pt idx="123">
                  <c:v>537</c:v>
                </c:pt>
                <c:pt idx="124">
                  <c:v>508</c:v>
                </c:pt>
                <c:pt idx="125">
                  <c:v>595</c:v>
                </c:pt>
                <c:pt idx="126">
                  <c:v>522</c:v>
                </c:pt>
                <c:pt idx="127">
                  <c:v>613</c:v>
                </c:pt>
                <c:pt idx="128">
                  <c:v>348</c:v>
                </c:pt>
                <c:pt idx="129">
                  <c:v>487</c:v>
                </c:pt>
                <c:pt idx="130">
                  <c:v>367</c:v>
                </c:pt>
                <c:pt idx="131">
                  <c:v>438</c:v>
                </c:pt>
                <c:pt idx="132">
                  <c:v>1211</c:v>
                </c:pt>
                <c:pt idx="133">
                  <c:v>386</c:v>
                </c:pt>
                <c:pt idx="134">
                  <c:v>467</c:v>
                </c:pt>
                <c:pt idx="135">
                  <c:v>1061</c:v>
                </c:pt>
                <c:pt idx="136">
                  <c:v>1225</c:v>
                </c:pt>
                <c:pt idx="137">
                  <c:v>711</c:v>
                </c:pt>
                <c:pt idx="138">
                  <c:v>819</c:v>
                </c:pt>
                <c:pt idx="139">
                  <c:v>975</c:v>
                </c:pt>
                <c:pt idx="140">
                  <c:v>859</c:v>
                </c:pt>
                <c:pt idx="141">
                  <c:v>1045</c:v>
                </c:pt>
                <c:pt idx="142">
                  <c:v>501</c:v>
                </c:pt>
                <c:pt idx="143">
                  <c:v>1034</c:v>
                </c:pt>
                <c:pt idx="144">
                  <c:v>740</c:v>
                </c:pt>
                <c:pt idx="145">
                  <c:v>709</c:v>
                </c:pt>
                <c:pt idx="146">
                  <c:v>638</c:v>
                </c:pt>
                <c:pt idx="147">
                  <c:v>280</c:v>
                </c:pt>
                <c:pt idx="148">
                  <c:v>492</c:v>
                </c:pt>
                <c:pt idx="149">
                  <c:v>523</c:v>
                </c:pt>
                <c:pt idx="150">
                  <c:v>507</c:v>
                </c:pt>
                <c:pt idx="151">
                  <c:v>501</c:v>
                </c:pt>
                <c:pt idx="152">
                  <c:v>454</c:v>
                </c:pt>
                <c:pt idx="153">
                  <c:v>483</c:v>
                </c:pt>
                <c:pt idx="154">
                  <c:v>653</c:v>
                </c:pt>
                <c:pt idx="155">
                  <c:v>648</c:v>
                </c:pt>
                <c:pt idx="156">
                  <c:v>644</c:v>
                </c:pt>
                <c:pt idx="157">
                  <c:v>766</c:v>
                </c:pt>
                <c:pt idx="158">
                  <c:v>371</c:v>
                </c:pt>
                <c:pt idx="159">
                  <c:v>597</c:v>
                </c:pt>
                <c:pt idx="160">
                  <c:v>513</c:v>
                </c:pt>
                <c:pt idx="161">
                  <c:v>675</c:v>
                </c:pt>
                <c:pt idx="162">
                  <c:v>389</c:v>
                </c:pt>
                <c:pt idx="163">
                  <c:v>541</c:v>
                </c:pt>
                <c:pt idx="164">
                  <c:v>470</c:v>
                </c:pt>
                <c:pt idx="165">
                  <c:v>369</c:v>
                </c:pt>
                <c:pt idx="166">
                  <c:v>615</c:v>
                </c:pt>
                <c:pt idx="167">
                  <c:v>192</c:v>
                </c:pt>
                <c:pt idx="168">
                  <c:v>813</c:v>
                </c:pt>
                <c:pt idx="169">
                  <c:v>901</c:v>
                </c:pt>
                <c:pt idx="170">
                  <c:v>767</c:v>
                </c:pt>
                <c:pt idx="171">
                  <c:v>321</c:v>
                </c:pt>
                <c:pt idx="172">
                  <c:v>890</c:v>
                </c:pt>
                <c:pt idx="173">
                  <c:v>953</c:v>
                </c:pt>
                <c:pt idx="174">
                  <c:v>737</c:v>
                </c:pt>
                <c:pt idx="175">
                  <c:v>1354</c:v>
                </c:pt>
                <c:pt idx="176">
                  <c:v>115</c:v>
                </c:pt>
                <c:pt idx="177">
                  <c:v>1189</c:v>
                </c:pt>
                <c:pt idx="178">
                  <c:v>891</c:v>
                </c:pt>
                <c:pt idx="179">
                  <c:v>757</c:v>
                </c:pt>
                <c:pt idx="180">
                  <c:v>450</c:v>
                </c:pt>
                <c:pt idx="181">
                  <c:v>423</c:v>
                </c:pt>
                <c:pt idx="182">
                  <c:v>1087</c:v>
                </c:pt>
                <c:pt idx="183">
                  <c:v>670</c:v>
                </c:pt>
                <c:pt idx="184">
                  <c:v>492</c:v>
                </c:pt>
                <c:pt idx="185">
                  <c:v>654</c:v>
                </c:pt>
                <c:pt idx="186">
                  <c:v>792</c:v>
                </c:pt>
                <c:pt idx="187">
                  <c:v>891</c:v>
                </c:pt>
                <c:pt idx="188">
                  <c:v>867</c:v>
                </c:pt>
                <c:pt idx="189">
                  <c:v>847</c:v>
                </c:pt>
                <c:pt idx="190">
                  <c:v>486</c:v>
                </c:pt>
                <c:pt idx="191">
                  <c:v>622</c:v>
                </c:pt>
                <c:pt idx="192">
                  <c:v>636</c:v>
                </c:pt>
                <c:pt idx="193">
                  <c:v>423</c:v>
                </c:pt>
                <c:pt idx="194">
                  <c:v>529</c:v>
                </c:pt>
                <c:pt idx="195">
                  <c:v>590</c:v>
                </c:pt>
                <c:pt idx="196">
                  <c:v>588</c:v>
                </c:pt>
                <c:pt idx="197">
                  <c:v>671</c:v>
                </c:pt>
                <c:pt idx="198">
                  <c:v>435</c:v>
                </c:pt>
                <c:pt idx="199">
                  <c:v>445</c:v>
                </c:pt>
                <c:pt idx="200">
                  <c:v>404</c:v>
                </c:pt>
                <c:pt idx="201">
                  <c:v>653</c:v>
                </c:pt>
                <c:pt idx="202">
                  <c:v>480</c:v>
                </c:pt>
                <c:pt idx="203">
                  <c:v>567</c:v>
                </c:pt>
                <c:pt idx="204">
                  <c:v>658</c:v>
                </c:pt>
                <c:pt idx="205">
                  <c:v>696</c:v>
                </c:pt>
                <c:pt idx="206">
                  <c:v>699</c:v>
                </c:pt>
                <c:pt idx="207">
                  <c:v>900</c:v>
                </c:pt>
                <c:pt idx="208">
                  <c:v>319</c:v>
                </c:pt>
                <c:pt idx="209">
                  <c:v>545</c:v>
                </c:pt>
                <c:pt idx="210">
                  <c:v>667</c:v>
                </c:pt>
                <c:pt idx="211">
                  <c:v>938</c:v>
                </c:pt>
                <c:pt idx="212">
                  <c:v>595</c:v>
                </c:pt>
                <c:pt idx="213">
                  <c:v>520</c:v>
                </c:pt>
                <c:pt idx="214">
                  <c:v>739</c:v>
                </c:pt>
                <c:pt idx="215">
                  <c:v>818</c:v>
                </c:pt>
                <c:pt idx="216">
                  <c:v>715</c:v>
                </c:pt>
                <c:pt idx="217">
                  <c:v>419</c:v>
                </c:pt>
                <c:pt idx="218">
                  <c:v>627</c:v>
                </c:pt>
                <c:pt idx="219">
                  <c:v>558</c:v>
                </c:pt>
                <c:pt idx="220">
                  <c:v>839</c:v>
                </c:pt>
                <c:pt idx="221">
                  <c:v>681</c:v>
                </c:pt>
                <c:pt idx="222">
                  <c:v>399</c:v>
                </c:pt>
                <c:pt idx="223">
                  <c:v>875</c:v>
                </c:pt>
                <c:pt idx="224">
                  <c:v>1146</c:v>
                </c:pt>
                <c:pt idx="225">
                  <c:v>616</c:v>
                </c:pt>
                <c:pt idx="226">
                  <c:v>330</c:v>
                </c:pt>
                <c:pt idx="227">
                  <c:v>1444</c:v>
                </c:pt>
                <c:pt idx="228">
                  <c:v>344</c:v>
                </c:pt>
                <c:pt idx="229">
                  <c:v>885</c:v>
                </c:pt>
                <c:pt idx="230">
                  <c:v>830</c:v>
                </c:pt>
                <c:pt idx="231">
                  <c:v>524</c:v>
                </c:pt>
                <c:pt idx="232">
                  <c:v>297</c:v>
                </c:pt>
                <c:pt idx="233">
                  <c:v>841</c:v>
                </c:pt>
                <c:pt idx="234">
                  <c:v>377</c:v>
                </c:pt>
                <c:pt idx="235">
                  <c:v>408</c:v>
                </c:pt>
                <c:pt idx="236">
                  <c:v>535</c:v>
                </c:pt>
                <c:pt idx="237">
                  <c:v>454</c:v>
                </c:pt>
                <c:pt idx="238">
                  <c:v>574</c:v>
                </c:pt>
                <c:pt idx="239">
                  <c:v>518</c:v>
                </c:pt>
                <c:pt idx="240">
                  <c:v>443</c:v>
                </c:pt>
                <c:pt idx="241">
                  <c:v>507</c:v>
                </c:pt>
                <c:pt idx="242">
                  <c:v>489</c:v>
                </c:pt>
                <c:pt idx="243">
                  <c:v>541</c:v>
                </c:pt>
                <c:pt idx="244">
                  <c:v>518</c:v>
                </c:pt>
                <c:pt idx="245">
                  <c:v>660</c:v>
                </c:pt>
                <c:pt idx="246">
                  <c:v>676</c:v>
                </c:pt>
                <c:pt idx="247">
                  <c:v>912</c:v>
                </c:pt>
                <c:pt idx="248">
                  <c:v>381</c:v>
                </c:pt>
                <c:pt idx="249">
                  <c:v>950</c:v>
                </c:pt>
                <c:pt idx="250">
                  <c:v>590</c:v>
                </c:pt>
                <c:pt idx="251">
                  <c:v>508</c:v>
                </c:pt>
                <c:pt idx="252">
                  <c:v>806</c:v>
                </c:pt>
                <c:pt idx="253">
                  <c:v>206</c:v>
                </c:pt>
                <c:pt idx="254">
                  <c:v>787</c:v>
                </c:pt>
                <c:pt idx="255">
                  <c:v>555</c:v>
                </c:pt>
                <c:pt idx="256">
                  <c:v>1227</c:v>
                </c:pt>
                <c:pt idx="257">
                  <c:v>144</c:v>
                </c:pt>
                <c:pt idx="258">
                  <c:v>1141</c:v>
                </c:pt>
                <c:pt idx="259">
                  <c:v>1029</c:v>
                </c:pt>
                <c:pt idx="260">
                  <c:v>464</c:v>
                </c:pt>
                <c:pt idx="261">
                  <c:v>738</c:v>
                </c:pt>
                <c:pt idx="262">
                  <c:v>1148</c:v>
                </c:pt>
                <c:pt idx="263">
                  <c:v>502</c:v>
                </c:pt>
                <c:pt idx="264">
                  <c:v>1081</c:v>
                </c:pt>
                <c:pt idx="265">
                  <c:v>716</c:v>
                </c:pt>
                <c:pt idx="266">
                  <c:v>429</c:v>
                </c:pt>
                <c:pt idx="267">
                  <c:v>495</c:v>
                </c:pt>
                <c:pt idx="268">
                  <c:v>652</c:v>
                </c:pt>
                <c:pt idx="269">
                  <c:v>742</c:v>
                </c:pt>
                <c:pt idx="270">
                  <c:v>754</c:v>
                </c:pt>
                <c:pt idx="271">
                  <c:v>724</c:v>
                </c:pt>
                <c:pt idx="272">
                  <c:v>482</c:v>
                </c:pt>
                <c:pt idx="273">
                  <c:v>689</c:v>
                </c:pt>
                <c:pt idx="274">
                  <c:v>641</c:v>
                </c:pt>
                <c:pt idx="275">
                  <c:v>510</c:v>
                </c:pt>
                <c:pt idx="276">
                  <c:v>426</c:v>
                </c:pt>
                <c:pt idx="277">
                  <c:v>436</c:v>
                </c:pt>
                <c:pt idx="278">
                  <c:v>386</c:v>
                </c:pt>
                <c:pt idx="279">
                  <c:v>347</c:v>
                </c:pt>
                <c:pt idx="280">
                  <c:v>344</c:v>
                </c:pt>
                <c:pt idx="281">
                  <c:v>306</c:v>
                </c:pt>
                <c:pt idx="282">
                  <c:v>141</c:v>
                </c:pt>
                <c:pt idx="283">
                  <c:v>190</c:v>
                </c:pt>
                <c:pt idx="284">
                  <c:v>16</c:v>
                </c:pt>
              </c:numCache>
            </c:numRef>
          </c:val>
          <c:smooth val="0"/>
          <c:extLst>
            <c:ext xmlns:c16="http://schemas.microsoft.com/office/drawing/2014/chart" uri="{C3380CC4-5D6E-409C-BE32-E72D297353CC}">
              <c16:uniqueId val="{00000000-3AA0-4A41-840B-4C591ED465CB}"/>
            </c:ext>
          </c:extLst>
        </c:ser>
        <c:ser>
          <c:idx val="1"/>
          <c:order val="1"/>
          <c:tx>
            <c:strRef>
              <c:f>带宽占用pKVS!$Y$1</c:f>
              <c:strCache>
                <c:ptCount val="1"/>
                <c:pt idx="0">
                  <c:v>write</c:v>
                </c:pt>
              </c:strCache>
            </c:strRef>
          </c:tx>
          <c:spPr>
            <a:ln w="28575" cap="rnd">
              <a:solidFill>
                <a:schemeClr val="accent2"/>
              </a:solidFill>
              <a:round/>
            </a:ln>
            <a:effectLst/>
          </c:spPr>
          <c:marker>
            <c:symbol val="none"/>
          </c:marker>
          <c:val>
            <c:numRef>
              <c:f>带宽占用pKVS!$Y$2:$Y$286</c:f>
              <c:numCache>
                <c:formatCode>General</c:formatCode>
                <c:ptCount val="285"/>
                <c:pt idx="0">
                  <c:v>0</c:v>
                </c:pt>
                <c:pt idx="1">
                  <c:v>471</c:v>
                </c:pt>
                <c:pt idx="2">
                  <c:v>471</c:v>
                </c:pt>
                <c:pt idx="3">
                  <c:v>420</c:v>
                </c:pt>
                <c:pt idx="4">
                  <c:v>923</c:v>
                </c:pt>
                <c:pt idx="5">
                  <c:v>1546</c:v>
                </c:pt>
                <c:pt idx="6">
                  <c:v>462</c:v>
                </c:pt>
                <c:pt idx="7">
                  <c:v>473</c:v>
                </c:pt>
                <c:pt idx="8">
                  <c:v>1005</c:v>
                </c:pt>
                <c:pt idx="9">
                  <c:v>1460</c:v>
                </c:pt>
                <c:pt idx="10">
                  <c:v>1544</c:v>
                </c:pt>
                <c:pt idx="11">
                  <c:v>1012</c:v>
                </c:pt>
                <c:pt idx="12">
                  <c:v>963</c:v>
                </c:pt>
                <c:pt idx="13">
                  <c:v>1436</c:v>
                </c:pt>
                <c:pt idx="14">
                  <c:v>1510</c:v>
                </c:pt>
                <c:pt idx="15">
                  <c:v>1321</c:v>
                </c:pt>
                <c:pt idx="16">
                  <c:v>1043</c:v>
                </c:pt>
                <c:pt idx="17">
                  <c:v>1653</c:v>
                </c:pt>
                <c:pt idx="18">
                  <c:v>1392</c:v>
                </c:pt>
                <c:pt idx="19">
                  <c:v>1313</c:v>
                </c:pt>
                <c:pt idx="20">
                  <c:v>1492</c:v>
                </c:pt>
                <c:pt idx="21">
                  <c:v>1588</c:v>
                </c:pt>
                <c:pt idx="22">
                  <c:v>1509</c:v>
                </c:pt>
                <c:pt idx="23">
                  <c:v>1560</c:v>
                </c:pt>
                <c:pt idx="24">
                  <c:v>1391</c:v>
                </c:pt>
                <c:pt idx="25">
                  <c:v>1593</c:v>
                </c:pt>
                <c:pt idx="26">
                  <c:v>1728</c:v>
                </c:pt>
                <c:pt idx="27">
                  <c:v>1701</c:v>
                </c:pt>
                <c:pt idx="28">
                  <c:v>1718</c:v>
                </c:pt>
                <c:pt idx="29">
                  <c:v>1533</c:v>
                </c:pt>
                <c:pt idx="30">
                  <c:v>1602</c:v>
                </c:pt>
                <c:pt idx="31">
                  <c:v>1421</c:v>
                </c:pt>
                <c:pt idx="32">
                  <c:v>1669</c:v>
                </c:pt>
                <c:pt idx="33">
                  <c:v>1567</c:v>
                </c:pt>
                <c:pt idx="34">
                  <c:v>1667</c:v>
                </c:pt>
                <c:pt idx="35">
                  <c:v>1474</c:v>
                </c:pt>
                <c:pt idx="36">
                  <c:v>1452</c:v>
                </c:pt>
                <c:pt idx="37">
                  <c:v>1357</c:v>
                </c:pt>
                <c:pt idx="38">
                  <c:v>1300</c:v>
                </c:pt>
                <c:pt idx="39">
                  <c:v>1510</c:v>
                </c:pt>
                <c:pt idx="40">
                  <c:v>1616</c:v>
                </c:pt>
                <c:pt idx="41">
                  <c:v>1690</c:v>
                </c:pt>
                <c:pt idx="42">
                  <c:v>1889</c:v>
                </c:pt>
                <c:pt idx="43">
                  <c:v>1815</c:v>
                </c:pt>
                <c:pt idx="44">
                  <c:v>1507</c:v>
                </c:pt>
                <c:pt idx="45">
                  <c:v>1320</c:v>
                </c:pt>
                <c:pt idx="46">
                  <c:v>1981</c:v>
                </c:pt>
                <c:pt idx="47">
                  <c:v>1949</c:v>
                </c:pt>
                <c:pt idx="48">
                  <c:v>1619</c:v>
                </c:pt>
                <c:pt idx="49">
                  <c:v>2190</c:v>
                </c:pt>
                <c:pt idx="50">
                  <c:v>1769</c:v>
                </c:pt>
                <c:pt idx="51">
                  <c:v>1888</c:v>
                </c:pt>
                <c:pt idx="52">
                  <c:v>1844</c:v>
                </c:pt>
                <c:pt idx="53">
                  <c:v>1905</c:v>
                </c:pt>
                <c:pt idx="54">
                  <c:v>1554</c:v>
                </c:pt>
                <c:pt idx="55">
                  <c:v>1392</c:v>
                </c:pt>
                <c:pt idx="56">
                  <c:v>1677</c:v>
                </c:pt>
                <c:pt idx="57">
                  <c:v>1621</c:v>
                </c:pt>
                <c:pt idx="58">
                  <c:v>1495</c:v>
                </c:pt>
                <c:pt idx="59">
                  <c:v>1975</c:v>
                </c:pt>
                <c:pt idx="60">
                  <c:v>1747</c:v>
                </c:pt>
                <c:pt idx="61">
                  <c:v>1395</c:v>
                </c:pt>
                <c:pt idx="62">
                  <c:v>1442</c:v>
                </c:pt>
                <c:pt idx="63">
                  <c:v>1894</c:v>
                </c:pt>
                <c:pt idx="64">
                  <c:v>1682</c:v>
                </c:pt>
                <c:pt idx="65">
                  <c:v>1738</c:v>
                </c:pt>
                <c:pt idx="66">
                  <c:v>1666</c:v>
                </c:pt>
                <c:pt idx="67">
                  <c:v>1367</c:v>
                </c:pt>
                <c:pt idx="68">
                  <c:v>1663</c:v>
                </c:pt>
                <c:pt idx="69">
                  <c:v>902</c:v>
                </c:pt>
                <c:pt idx="70">
                  <c:v>1908</c:v>
                </c:pt>
                <c:pt idx="71">
                  <c:v>2222</c:v>
                </c:pt>
                <c:pt idx="72">
                  <c:v>1495</c:v>
                </c:pt>
                <c:pt idx="73">
                  <c:v>1924</c:v>
                </c:pt>
                <c:pt idx="74">
                  <c:v>1671</c:v>
                </c:pt>
                <c:pt idx="75">
                  <c:v>1303</c:v>
                </c:pt>
                <c:pt idx="76">
                  <c:v>1651</c:v>
                </c:pt>
                <c:pt idx="77">
                  <c:v>1631</c:v>
                </c:pt>
                <c:pt idx="78">
                  <c:v>1472</c:v>
                </c:pt>
                <c:pt idx="79">
                  <c:v>1459</c:v>
                </c:pt>
                <c:pt idx="80">
                  <c:v>1309</c:v>
                </c:pt>
                <c:pt idx="81">
                  <c:v>1664</c:v>
                </c:pt>
                <c:pt idx="82">
                  <c:v>1618</c:v>
                </c:pt>
                <c:pt idx="83">
                  <c:v>1904</c:v>
                </c:pt>
                <c:pt idx="84">
                  <c:v>1571</c:v>
                </c:pt>
                <c:pt idx="85">
                  <c:v>1299</c:v>
                </c:pt>
                <c:pt idx="86">
                  <c:v>1453</c:v>
                </c:pt>
                <c:pt idx="87">
                  <c:v>1791</c:v>
                </c:pt>
                <c:pt idx="88">
                  <c:v>1819</c:v>
                </c:pt>
                <c:pt idx="89">
                  <c:v>1683</c:v>
                </c:pt>
                <c:pt idx="90">
                  <c:v>1673</c:v>
                </c:pt>
                <c:pt idx="91">
                  <c:v>1750</c:v>
                </c:pt>
                <c:pt idx="92">
                  <c:v>1451</c:v>
                </c:pt>
                <c:pt idx="93">
                  <c:v>1325</c:v>
                </c:pt>
                <c:pt idx="94">
                  <c:v>1456</c:v>
                </c:pt>
                <c:pt idx="95">
                  <c:v>998</c:v>
                </c:pt>
                <c:pt idx="96">
                  <c:v>2095</c:v>
                </c:pt>
                <c:pt idx="97">
                  <c:v>1924</c:v>
                </c:pt>
                <c:pt idx="98">
                  <c:v>1782</c:v>
                </c:pt>
                <c:pt idx="99">
                  <c:v>1605</c:v>
                </c:pt>
                <c:pt idx="100">
                  <c:v>1777</c:v>
                </c:pt>
                <c:pt idx="101">
                  <c:v>1554</c:v>
                </c:pt>
                <c:pt idx="102">
                  <c:v>1260</c:v>
                </c:pt>
                <c:pt idx="103">
                  <c:v>1730</c:v>
                </c:pt>
                <c:pt idx="104">
                  <c:v>1765</c:v>
                </c:pt>
                <c:pt idx="105">
                  <c:v>1740</c:v>
                </c:pt>
                <c:pt idx="106">
                  <c:v>1265</c:v>
                </c:pt>
                <c:pt idx="107">
                  <c:v>2021</c:v>
                </c:pt>
                <c:pt idx="108">
                  <c:v>1600</c:v>
                </c:pt>
                <c:pt idx="109">
                  <c:v>1492</c:v>
                </c:pt>
                <c:pt idx="110">
                  <c:v>1565</c:v>
                </c:pt>
                <c:pt idx="111">
                  <c:v>1320</c:v>
                </c:pt>
                <c:pt idx="112">
                  <c:v>1597</c:v>
                </c:pt>
                <c:pt idx="113">
                  <c:v>1323</c:v>
                </c:pt>
                <c:pt idx="114">
                  <c:v>1534</c:v>
                </c:pt>
                <c:pt idx="115">
                  <c:v>2019</c:v>
                </c:pt>
                <c:pt idx="116">
                  <c:v>1846</c:v>
                </c:pt>
                <c:pt idx="117">
                  <c:v>1909</c:v>
                </c:pt>
                <c:pt idx="118">
                  <c:v>1668</c:v>
                </c:pt>
                <c:pt idx="119">
                  <c:v>1033</c:v>
                </c:pt>
                <c:pt idx="120">
                  <c:v>2099</c:v>
                </c:pt>
                <c:pt idx="121">
                  <c:v>1284</c:v>
                </c:pt>
                <c:pt idx="122">
                  <c:v>1665</c:v>
                </c:pt>
                <c:pt idx="123">
                  <c:v>1495</c:v>
                </c:pt>
                <c:pt idx="124">
                  <c:v>1678</c:v>
                </c:pt>
                <c:pt idx="125">
                  <c:v>1221</c:v>
                </c:pt>
                <c:pt idx="126">
                  <c:v>1391</c:v>
                </c:pt>
                <c:pt idx="127">
                  <c:v>1210</c:v>
                </c:pt>
                <c:pt idx="128">
                  <c:v>2006</c:v>
                </c:pt>
                <c:pt idx="129">
                  <c:v>1858</c:v>
                </c:pt>
                <c:pt idx="130">
                  <c:v>1968</c:v>
                </c:pt>
                <c:pt idx="131">
                  <c:v>1899</c:v>
                </c:pt>
                <c:pt idx="132">
                  <c:v>1183</c:v>
                </c:pt>
                <c:pt idx="133">
                  <c:v>1907</c:v>
                </c:pt>
                <c:pt idx="134">
                  <c:v>1852</c:v>
                </c:pt>
                <c:pt idx="135">
                  <c:v>1317</c:v>
                </c:pt>
                <c:pt idx="136">
                  <c:v>1172</c:v>
                </c:pt>
                <c:pt idx="137">
                  <c:v>1642</c:v>
                </c:pt>
                <c:pt idx="138">
                  <c:v>1540</c:v>
                </c:pt>
                <c:pt idx="139">
                  <c:v>1377</c:v>
                </c:pt>
                <c:pt idx="140">
                  <c:v>1468</c:v>
                </c:pt>
                <c:pt idx="141">
                  <c:v>1319</c:v>
                </c:pt>
                <c:pt idx="142">
                  <c:v>1842</c:v>
                </c:pt>
                <c:pt idx="143">
                  <c:v>1342</c:v>
                </c:pt>
                <c:pt idx="144">
                  <c:v>1608</c:v>
                </c:pt>
                <c:pt idx="145">
                  <c:v>1658</c:v>
                </c:pt>
                <c:pt idx="146">
                  <c:v>1467</c:v>
                </c:pt>
                <c:pt idx="147">
                  <c:v>1368</c:v>
                </c:pt>
                <c:pt idx="148">
                  <c:v>1583</c:v>
                </c:pt>
                <c:pt idx="149">
                  <c:v>1378</c:v>
                </c:pt>
                <c:pt idx="150">
                  <c:v>1728</c:v>
                </c:pt>
                <c:pt idx="151">
                  <c:v>1609</c:v>
                </c:pt>
                <c:pt idx="152">
                  <c:v>1557</c:v>
                </c:pt>
                <c:pt idx="153">
                  <c:v>1851</c:v>
                </c:pt>
                <c:pt idx="154">
                  <c:v>1647</c:v>
                </c:pt>
                <c:pt idx="155">
                  <c:v>1693</c:v>
                </c:pt>
                <c:pt idx="156">
                  <c:v>1623</c:v>
                </c:pt>
                <c:pt idx="157">
                  <c:v>1474</c:v>
                </c:pt>
                <c:pt idx="158">
                  <c:v>1856</c:v>
                </c:pt>
                <c:pt idx="159">
                  <c:v>1421</c:v>
                </c:pt>
                <c:pt idx="160">
                  <c:v>1698</c:v>
                </c:pt>
                <c:pt idx="161">
                  <c:v>1511</c:v>
                </c:pt>
                <c:pt idx="162">
                  <c:v>1948</c:v>
                </c:pt>
                <c:pt idx="163">
                  <c:v>1414</c:v>
                </c:pt>
                <c:pt idx="164">
                  <c:v>1643</c:v>
                </c:pt>
                <c:pt idx="165">
                  <c:v>1944</c:v>
                </c:pt>
                <c:pt idx="166">
                  <c:v>1629</c:v>
                </c:pt>
                <c:pt idx="167">
                  <c:v>2135</c:v>
                </c:pt>
                <c:pt idx="168">
                  <c:v>1542</c:v>
                </c:pt>
                <c:pt idx="169">
                  <c:v>1458</c:v>
                </c:pt>
                <c:pt idx="170">
                  <c:v>1591</c:v>
                </c:pt>
                <c:pt idx="171">
                  <c:v>2015</c:v>
                </c:pt>
                <c:pt idx="172">
                  <c:v>1466</c:v>
                </c:pt>
                <c:pt idx="173">
                  <c:v>1374</c:v>
                </c:pt>
                <c:pt idx="174">
                  <c:v>1534</c:v>
                </c:pt>
                <c:pt idx="175">
                  <c:v>1087</c:v>
                </c:pt>
                <c:pt idx="176">
                  <c:v>2209</c:v>
                </c:pt>
                <c:pt idx="177">
                  <c:v>1183</c:v>
                </c:pt>
                <c:pt idx="178">
                  <c:v>1491</c:v>
                </c:pt>
                <c:pt idx="179">
                  <c:v>1271</c:v>
                </c:pt>
                <c:pt idx="180">
                  <c:v>1627</c:v>
                </c:pt>
                <c:pt idx="181">
                  <c:v>1349</c:v>
                </c:pt>
                <c:pt idx="182">
                  <c:v>1309</c:v>
                </c:pt>
                <c:pt idx="183">
                  <c:v>1709</c:v>
                </c:pt>
                <c:pt idx="184">
                  <c:v>1829</c:v>
                </c:pt>
                <c:pt idx="185">
                  <c:v>1676</c:v>
                </c:pt>
                <c:pt idx="186">
                  <c:v>1558</c:v>
                </c:pt>
                <c:pt idx="187">
                  <c:v>1476</c:v>
                </c:pt>
                <c:pt idx="188">
                  <c:v>1488</c:v>
                </c:pt>
                <c:pt idx="189">
                  <c:v>1506</c:v>
                </c:pt>
                <c:pt idx="190">
                  <c:v>1838</c:v>
                </c:pt>
                <c:pt idx="191">
                  <c:v>1609</c:v>
                </c:pt>
                <c:pt idx="192">
                  <c:v>1303</c:v>
                </c:pt>
                <c:pt idx="193">
                  <c:v>1577</c:v>
                </c:pt>
                <c:pt idx="194">
                  <c:v>1557</c:v>
                </c:pt>
                <c:pt idx="195">
                  <c:v>1599</c:v>
                </c:pt>
                <c:pt idx="196">
                  <c:v>1342</c:v>
                </c:pt>
                <c:pt idx="197">
                  <c:v>1339</c:v>
                </c:pt>
                <c:pt idx="198">
                  <c:v>1877</c:v>
                </c:pt>
                <c:pt idx="199">
                  <c:v>1570</c:v>
                </c:pt>
                <c:pt idx="200">
                  <c:v>1947</c:v>
                </c:pt>
                <c:pt idx="201">
                  <c:v>1461</c:v>
                </c:pt>
                <c:pt idx="202">
                  <c:v>1626</c:v>
                </c:pt>
                <c:pt idx="203">
                  <c:v>1415</c:v>
                </c:pt>
                <c:pt idx="204">
                  <c:v>1635</c:v>
                </c:pt>
                <c:pt idx="205">
                  <c:v>1678</c:v>
                </c:pt>
                <c:pt idx="206">
                  <c:v>1649</c:v>
                </c:pt>
                <c:pt idx="207">
                  <c:v>1483</c:v>
                </c:pt>
                <c:pt idx="208">
                  <c:v>2014</c:v>
                </c:pt>
                <c:pt idx="209">
                  <c:v>1818</c:v>
                </c:pt>
                <c:pt idx="210">
                  <c:v>1569</c:v>
                </c:pt>
                <c:pt idx="211">
                  <c:v>1333</c:v>
                </c:pt>
                <c:pt idx="212">
                  <c:v>1771</c:v>
                </c:pt>
                <c:pt idx="213">
                  <c:v>1843</c:v>
                </c:pt>
                <c:pt idx="214">
                  <c:v>1619</c:v>
                </c:pt>
                <c:pt idx="215">
                  <c:v>1562</c:v>
                </c:pt>
                <c:pt idx="216">
                  <c:v>1644</c:v>
                </c:pt>
                <c:pt idx="217">
                  <c:v>1935</c:v>
                </c:pt>
                <c:pt idx="218">
                  <c:v>1353</c:v>
                </c:pt>
                <c:pt idx="219">
                  <c:v>1705</c:v>
                </c:pt>
                <c:pt idx="220">
                  <c:v>1492</c:v>
                </c:pt>
                <c:pt idx="221">
                  <c:v>1600</c:v>
                </c:pt>
                <c:pt idx="222">
                  <c:v>1716</c:v>
                </c:pt>
                <c:pt idx="223">
                  <c:v>1437</c:v>
                </c:pt>
                <c:pt idx="224">
                  <c:v>1235</c:v>
                </c:pt>
                <c:pt idx="225">
                  <c:v>1769</c:v>
                </c:pt>
                <c:pt idx="226">
                  <c:v>2024</c:v>
                </c:pt>
                <c:pt idx="227">
                  <c:v>997</c:v>
                </c:pt>
                <c:pt idx="228">
                  <c:v>1999</c:v>
                </c:pt>
                <c:pt idx="229">
                  <c:v>1463</c:v>
                </c:pt>
                <c:pt idx="230">
                  <c:v>1359</c:v>
                </c:pt>
                <c:pt idx="231">
                  <c:v>1457</c:v>
                </c:pt>
                <c:pt idx="232">
                  <c:v>2056</c:v>
                </c:pt>
                <c:pt idx="233">
                  <c:v>1373</c:v>
                </c:pt>
                <c:pt idx="234">
                  <c:v>1986</c:v>
                </c:pt>
                <c:pt idx="235">
                  <c:v>1955</c:v>
                </c:pt>
                <c:pt idx="236">
                  <c:v>1840</c:v>
                </c:pt>
                <c:pt idx="237">
                  <c:v>1613</c:v>
                </c:pt>
                <c:pt idx="238">
                  <c:v>1409</c:v>
                </c:pt>
                <c:pt idx="239">
                  <c:v>1784</c:v>
                </c:pt>
                <c:pt idx="240">
                  <c:v>1922</c:v>
                </c:pt>
                <c:pt idx="241">
                  <c:v>1786</c:v>
                </c:pt>
                <c:pt idx="242">
                  <c:v>1663</c:v>
                </c:pt>
                <c:pt idx="243">
                  <c:v>1706</c:v>
                </c:pt>
                <c:pt idx="244">
                  <c:v>1486</c:v>
                </c:pt>
                <c:pt idx="245">
                  <c:v>1444</c:v>
                </c:pt>
                <c:pt idx="246">
                  <c:v>1717</c:v>
                </c:pt>
                <c:pt idx="247">
                  <c:v>1490</c:v>
                </c:pt>
                <c:pt idx="248">
                  <c:v>1961</c:v>
                </c:pt>
                <c:pt idx="249">
                  <c:v>1447</c:v>
                </c:pt>
                <c:pt idx="250">
                  <c:v>1775</c:v>
                </c:pt>
                <c:pt idx="251">
                  <c:v>1864</c:v>
                </c:pt>
                <c:pt idx="252">
                  <c:v>1529</c:v>
                </c:pt>
                <c:pt idx="253">
                  <c:v>2143</c:v>
                </c:pt>
                <c:pt idx="254">
                  <c:v>1583</c:v>
                </c:pt>
                <c:pt idx="255">
                  <c:v>1817</c:v>
                </c:pt>
                <c:pt idx="256">
                  <c:v>1212</c:v>
                </c:pt>
                <c:pt idx="257">
                  <c:v>2191</c:v>
                </c:pt>
                <c:pt idx="258">
                  <c:v>1243</c:v>
                </c:pt>
                <c:pt idx="259">
                  <c:v>1364</c:v>
                </c:pt>
                <c:pt idx="260">
                  <c:v>1899</c:v>
                </c:pt>
                <c:pt idx="261">
                  <c:v>1432</c:v>
                </c:pt>
                <c:pt idx="262">
                  <c:v>1188</c:v>
                </c:pt>
                <c:pt idx="263">
                  <c:v>1876</c:v>
                </c:pt>
                <c:pt idx="264">
                  <c:v>1330</c:v>
                </c:pt>
                <c:pt idx="265">
                  <c:v>1653</c:v>
                </c:pt>
                <c:pt idx="266">
                  <c:v>1935</c:v>
                </c:pt>
                <c:pt idx="267">
                  <c:v>1853</c:v>
                </c:pt>
                <c:pt idx="268">
                  <c:v>1728</c:v>
                </c:pt>
                <c:pt idx="269">
                  <c:v>1630</c:v>
                </c:pt>
                <c:pt idx="270">
                  <c:v>1617</c:v>
                </c:pt>
                <c:pt idx="271">
                  <c:v>1188</c:v>
                </c:pt>
                <c:pt idx="272">
                  <c:v>1737</c:v>
                </c:pt>
                <c:pt idx="273">
                  <c:v>910</c:v>
                </c:pt>
                <c:pt idx="274">
                  <c:v>835</c:v>
                </c:pt>
                <c:pt idx="275">
                  <c:v>668</c:v>
                </c:pt>
                <c:pt idx="276">
                  <c:v>592</c:v>
                </c:pt>
                <c:pt idx="277">
                  <c:v>634</c:v>
                </c:pt>
                <c:pt idx="278">
                  <c:v>487</c:v>
                </c:pt>
                <c:pt idx="279">
                  <c:v>390</c:v>
                </c:pt>
                <c:pt idx="280">
                  <c:v>359</c:v>
                </c:pt>
                <c:pt idx="281">
                  <c:v>431</c:v>
                </c:pt>
                <c:pt idx="282">
                  <c:v>274</c:v>
                </c:pt>
                <c:pt idx="283">
                  <c:v>195</c:v>
                </c:pt>
                <c:pt idx="284">
                  <c:v>80</c:v>
                </c:pt>
              </c:numCache>
            </c:numRef>
          </c:val>
          <c:smooth val="0"/>
          <c:extLst>
            <c:ext xmlns:c16="http://schemas.microsoft.com/office/drawing/2014/chart" uri="{C3380CC4-5D6E-409C-BE32-E72D297353CC}">
              <c16:uniqueId val="{00000001-3AA0-4A41-840B-4C591ED465CB}"/>
            </c:ext>
          </c:extLst>
        </c:ser>
        <c:ser>
          <c:idx val="2"/>
          <c:order val="2"/>
          <c:tx>
            <c:strRef>
              <c:f>带宽占用pKVS!$Z$1</c:f>
              <c:strCache>
                <c:ptCount val="1"/>
                <c:pt idx="0">
                  <c:v>total</c:v>
                </c:pt>
              </c:strCache>
            </c:strRef>
          </c:tx>
          <c:spPr>
            <a:ln w="28575" cap="rnd">
              <a:solidFill>
                <a:schemeClr val="accent3"/>
              </a:solidFill>
              <a:round/>
            </a:ln>
            <a:effectLst/>
          </c:spPr>
          <c:marker>
            <c:symbol val="none"/>
          </c:marker>
          <c:val>
            <c:numRef>
              <c:f>带宽占用pKVS!$Z$2:$Z$286</c:f>
              <c:numCache>
                <c:formatCode>General</c:formatCode>
                <c:ptCount val="285"/>
                <c:pt idx="0">
                  <c:v>0</c:v>
                </c:pt>
                <c:pt idx="1">
                  <c:v>471</c:v>
                </c:pt>
                <c:pt idx="2">
                  <c:v>471</c:v>
                </c:pt>
                <c:pt idx="3">
                  <c:v>420</c:v>
                </c:pt>
                <c:pt idx="4">
                  <c:v>923</c:v>
                </c:pt>
                <c:pt idx="5">
                  <c:v>1546</c:v>
                </c:pt>
                <c:pt idx="6">
                  <c:v>462</c:v>
                </c:pt>
                <c:pt idx="7">
                  <c:v>473</c:v>
                </c:pt>
                <c:pt idx="8">
                  <c:v>1005</c:v>
                </c:pt>
                <c:pt idx="9">
                  <c:v>1460</c:v>
                </c:pt>
                <c:pt idx="10">
                  <c:v>1544</c:v>
                </c:pt>
                <c:pt idx="11">
                  <c:v>1012</c:v>
                </c:pt>
                <c:pt idx="12">
                  <c:v>963</c:v>
                </c:pt>
                <c:pt idx="13">
                  <c:v>1436</c:v>
                </c:pt>
                <c:pt idx="14">
                  <c:v>1510</c:v>
                </c:pt>
                <c:pt idx="15">
                  <c:v>1321</c:v>
                </c:pt>
                <c:pt idx="16">
                  <c:v>1043</c:v>
                </c:pt>
                <c:pt idx="17">
                  <c:v>1653</c:v>
                </c:pt>
                <c:pt idx="18">
                  <c:v>1392</c:v>
                </c:pt>
                <c:pt idx="19">
                  <c:v>1313</c:v>
                </c:pt>
                <c:pt idx="20">
                  <c:v>1492</c:v>
                </c:pt>
                <c:pt idx="21">
                  <c:v>1588</c:v>
                </c:pt>
                <c:pt idx="22">
                  <c:v>1509</c:v>
                </c:pt>
                <c:pt idx="23">
                  <c:v>1560</c:v>
                </c:pt>
                <c:pt idx="24">
                  <c:v>1391</c:v>
                </c:pt>
                <c:pt idx="25">
                  <c:v>1593</c:v>
                </c:pt>
                <c:pt idx="26">
                  <c:v>1728</c:v>
                </c:pt>
                <c:pt idx="27">
                  <c:v>1701</c:v>
                </c:pt>
                <c:pt idx="28">
                  <c:v>1718</c:v>
                </c:pt>
                <c:pt idx="29">
                  <c:v>1533</c:v>
                </c:pt>
                <c:pt idx="30">
                  <c:v>1602</c:v>
                </c:pt>
                <c:pt idx="31">
                  <c:v>1421</c:v>
                </c:pt>
                <c:pt idx="32">
                  <c:v>1669</c:v>
                </c:pt>
                <c:pt idx="33">
                  <c:v>1567</c:v>
                </c:pt>
                <c:pt idx="34">
                  <c:v>1667</c:v>
                </c:pt>
                <c:pt idx="35">
                  <c:v>1474</c:v>
                </c:pt>
                <c:pt idx="36">
                  <c:v>1452</c:v>
                </c:pt>
                <c:pt idx="37">
                  <c:v>1357</c:v>
                </c:pt>
                <c:pt idx="38">
                  <c:v>1300</c:v>
                </c:pt>
                <c:pt idx="39">
                  <c:v>1510</c:v>
                </c:pt>
                <c:pt idx="40">
                  <c:v>1616</c:v>
                </c:pt>
                <c:pt idx="41">
                  <c:v>1690</c:v>
                </c:pt>
                <c:pt idx="42">
                  <c:v>1889</c:v>
                </c:pt>
                <c:pt idx="43">
                  <c:v>1815</c:v>
                </c:pt>
                <c:pt idx="44">
                  <c:v>1507</c:v>
                </c:pt>
                <c:pt idx="45">
                  <c:v>1353</c:v>
                </c:pt>
                <c:pt idx="46">
                  <c:v>2005</c:v>
                </c:pt>
                <c:pt idx="47">
                  <c:v>1964</c:v>
                </c:pt>
                <c:pt idx="48">
                  <c:v>1687</c:v>
                </c:pt>
                <c:pt idx="49">
                  <c:v>2314</c:v>
                </c:pt>
                <c:pt idx="50">
                  <c:v>2164</c:v>
                </c:pt>
                <c:pt idx="51">
                  <c:v>2351</c:v>
                </c:pt>
                <c:pt idx="52">
                  <c:v>2321</c:v>
                </c:pt>
                <c:pt idx="53">
                  <c:v>2312</c:v>
                </c:pt>
                <c:pt idx="54">
                  <c:v>1966</c:v>
                </c:pt>
                <c:pt idx="55">
                  <c:v>1649</c:v>
                </c:pt>
                <c:pt idx="56">
                  <c:v>1914</c:v>
                </c:pt>
                <c:pt idx="57">
                  <c:v>1964</c:v>
                </c:pt>
                <c:pt idx="58">
                  <c:v>1916</c:v>
                </c:pt>
                <c:pt idx="59">
                  <c:v>2353</c:v>
                </c:pt>
                <c:pt idx="60">
                  <c:v>2081</c:v>
                </c:pt>
                <c:pt idx="61">
                  <c:v>1955</c:v>
                </c:pt>
                <c:pt idx="62">
                  <c:v>1980</c:v>
                </c:pt>
                <c:pt idx="63">
                  <c:v>2346</c:v>
                </c:pt>
                <c:pt idx="64">
                  <c:v>2194</c:v>
                </c:pt>
                <c:pt idx="65">
                  <c:v>2161</c:v>
                </c:pt>
                <c:pt idx="66">
                  <c:v>2098</c:v>
                </c:pt>
                <c:pt idx="67">
                  <c:v>1846</c:v>
                </c:pt>
                <c:pt idx="68">
                  <c:v>2151</c:v>
                </c:pt>
                <c:pt idx="69">
                  <c:v>1841</c:v>
                </c:pt>
                <c:pt idx="70">
                  <c:v>2350</c:v>
                </c:pt>
                <c:pt idx="71">
                  <c:v>2304</c:v>
                </c:pt>
                <c:pt idx="72">
                  <c:v>2377</c:v>
                </c:pt>
                <c:pt idx="73">
                  <c:v>2330</c:v>
                </c:pt>
                <c:pt idx="74">
                  <c:v>2343</c:v>
                </c:pt>
                <c:pt idx="75">
                  <c:v>2369</c:v>
                </c:pt>
                <c:pt idx="76">
                  <c:v>2355</c:v>
                </c:pt>
                <c:pt idx="77">
                  <c:v>2359</c:v>
                </c:pt>
                <c:pt idx="78">
                  <c:v>1907</c:v>
                </c:pt>
                <c:pt idx="79">
                  <c:v>2090</c:v>
                </c:pt>
                <c:pt idx="80">
                  <c:v>1834</c:v>
                </c:pt>
                <c:pt idx="81">
                  <c:v>2097</c:v>
                </c:pt>
                <c:pt idx="82">
                  <c:v>2044</c:v>
                </c:pt>
                <c:pt idx="83">
                  <c:v>2192</c:v>
                </c:pt>
                <c:pt idx="84">
                  <c:v>1898</c:v>
                </c:pt>
                <c:pt idx="85">
                  <c:v>1719</c:v>
                </c:pt>
                <c:pt idx="86">
                  <c:v>1800</c:v>
                </c:pt>
                <c:pt idx="87">
                  <c:v>2323</c:v>
                </c:pt>
                <c:pt idx="88">
                  <c:v>2334</c:v>
                </c:pt>
                <c:pt idx="89">
                  <c:v>2309</c:v>
                </c:pt>
                <c:pt idx="90">
                  <c:v>2138</c:v>
                </c:pt>
                <c:pt idx="91">
                  <c:v>2149</c:v>
                </c:pt>
                <c:pt idx="92">
                  <c:v>1959</c:v>
                </c:pt>
                <c:pt idx="93">
                  <c:v>1687</c:v>
                </c:pt>
                <c:pt idx="94">
                  <c:v>1790</c:v>
                </c:pt>
                <c:pt idx="95">
                  <c:v>2010</c:v>
                </c:pt>
                <c:pt idx="96">
                  <c:v>2352</c:v>
                </c:pt>
                <c:pt idx="97">
                  <c:v>2336</c:v>
                </c:pt>
                <c:pt idx="98">
                  <c:v>2358</c:v>
                </c:pt>
                <c:pt idx="99">
                  <c:v>2357</c:v>
                </c:pt>
                <c:pt idx="100">
                  <c:v>2346</c:v>
                </c:pt>
                <c:pt idx="101">
                  <c:v>2341</c:v>
                </c:pt>
                <c:pt idx="102">
                  <c:v>2387</c:v>
                </c:pt>
                <c:pt idx="103">
                  <c:v>2357</c:v>
                </c:pt>
                <c:pt idx="104">
                  <c:v>2336</c:v>
                </c:pt>
                <c:pt idx="105">
                  <c:v>2338</c:v>
                </c:pt>
                <c:pt idx="106">
                  <c:v>2169</c:v>
                </c:pt>
                <c:pt idx="107">
                  <c:v>2341</c:v>
                </c:pt>
                <c:pt idx="108">
                  <c:v>2379</c:v>
                </c:pt>
                <c:pt idx="109">
                  <c:v>2171</c:v>
                </c:pt>
                <c:pt idx="110">
                  <c:v>2209</c:v>
                </c:pt>
                <c:pt idx="111">
                  <c:v>1740</c:v>
                </c:pt>
                <c:pt idx="112">
                  <c:v>2041</c:v>
                </c:pt>
                <c:pt idx="113">
                  <c:v>1786</c:v>
                </c:pt>
                <c:pt idx="114">
                  <c:v>1886</c:v>
                </c:pt>
                <c:pt idx="115">
                  <c:v>2358</c:v>
                </c:pt>
                <c:pt idx="116">
                  <c:v>2375</c:v>
                </c:pt>
                <c:pt idx="117">
                  <c:v>2348</c:v>
                </c:pt>
                <c:pt idx="118">
                  <c:v>2369</c:v>
                </c:pt>
                <c:pt idx="119">
                  <c:v>1603</c:v>
                </c:pt>
                <c:pt idx="120">
                  <c:v>2227</c:v>
                </c:pt>
                <c:pt idx="121">
                  <c:v>1882</c:v>
                </c:pt>
                <c:pt idx="122">
                  <c:v>2157</c:v>
                </c:pt>
                <c:pt idx="123">
                  <c:v>2032</c:v>
                </c:pt>
                <c:pt idx="124">
                  <c:v>2186</c:v>
                </c:pt>
                <c:pt idx="125">
                  <c:v>1816</c:v>
                </c:pt>
                <c:pt idx="126">
                  <c:v>1913</c:v>
                </c:pt>
                <c:pt idx="127">
                  <c:v>1823</c:v>
                </c:pt>
                <c:pt idx="128">
                  <c:v>2354</c:v>
                </c:pt>
                <c:pt idx="129">
                  <c:v>2345</c:v>
                </c:pt>
                <c:pt idx="130">
                  <c:v>2335</c:v>
                </c:pt>
                <c:pt idx="131">
                  <c:v>2337</c:v>
                </c:pt>
                <c:pt idx="132">
                  <c:v>2394</c:v>
                </c:pt>
                <c:pt idx="133">
                  <c:v>2293</c:v>
                </c:pt>
                <c:pt idx="134">
                  <c:v>2319</c:v>
                </c:pt>
                <c:pt idx="135">
                  <c:v>2378</c:v>
                </c:pt>
                <c:pt idx="136">
                  <c:v>2397</c:v>
                </c:pt>
                <c:pt idx="137">
                  <c:v>2353</c:v>
                </c:pt>
                <c:pt idx="138">
                  <c:v>2359</c:v>
                </c:pt>
                <c:pt idx="139">
                  <c:v>2352</c:v>
                </c:pt>
                <c:pt idx="140">
                  <c:v>2327</c:v>
                </c:pt>
                <c:pt idx="141">
                  <c:v>2364</c:v>
                </c:pt>
                <c:pt idx="142">
                  <c:v>2343</c:v>
                </c:pt>
                <c:pt idx="143">
                  <c:v>2376</c:v>
                </c:pt>
                <c:pt idx="144">
                  <c:v>2348</c:v>
                </c:pt>
                <c:pt idx="145">
                  <c:v>2367</c:v>
                </c:pt>
                <c:pt idx="146">
                  <c:v>2105</c:v>
                </c:pt>
                <c:pt idx="147">
                  <c:v>1648</c:v>
                </c:pt>
                <c:pt idx="148">
                  <c:v>2075</c:v>
                </c:pt>
                <c:pt idx="149">
                  <c:v>1901</c:v>
                </c:pt>
                <c:pt idx="150">
                  <c:v>2235</c:v>
                </c:pt>
                <c:pt idx="151">
                  <c:v>2110</c:v>
                </c:pt>
                <c:pt idx="152">
                  <c:v>2011</c:v>
                </c:pt>
                <c:pt idx="153">
                  <c:v>2334</c:v>
                </c:pt>
                <c:pt idx="154">
                  <c:v>2300</c:v>
                </c:pt>
                <c:pt idx="155">
                  <c:v>2341</c:v>
                </c:pt>
                <c:pt idx="156">
                  <c:v>2267</c:v>
                </c:pt>
                <c:pt idx="157">
                  <c:v>2240</c:v>
                </c:pt>
                <c:pt idx="158">
                  <c:v>2227</c:v>
                </c:pt>
                <c:pt idx="159">
                  <c:v>2018</c:v>
                </c:pt>
                <c:pt idx="160">
                  <c:v>2211</c:v>
                </c:pt>
                <c:pt idx="161">
                  <c:v>2186</c:v>
                </c:pt>
                <c:pt idx="162">
                  <c:v>2337</c:v>
                </c:pt>
                <c:pt idx="163">
                  <c:v>1955</c:v>
                </c:pt>
                <c:pt idx="164">
                  <c:v>2113</c:v>
                </c:pt>
                <c:pt idx="165">
                  <c:v>2313</c:v>
                </c:pt>
                <c:pt idx="166">
                  <c:v>2244</c:v>
                </c:pt>
                <c:pt idx="167">
                  <c:v>2327</c:v>
                </c:pt>
                <c:pt idx="168">
                  <c:v>2355</c:v>
                </c:pt>
                <c:pt idx="169">
                  <c:v>2359</c:v>
                </c:pt>
                <c:pt idx="170">
                  <c:v>2358</c:v>
                </c:pt>
                <c:pt idx="171">
                  <c:v>2336</c:v>
                </c:pt>
                <c:pt idx="172">
                  <c:v>2356</c:v>
                </c:pt>
                <c:pt idx="173">
                  <c:v>2327</c:v>
                </c:pt>
                <c:pt idx="174">
                  <c:v>2271</c:v>
                </c:pt>
                <c:pt idx="175">
                  <c:v>2441</c:v>
                </c:pt>
                <c:pt idx="176">
                  <c:v>2324</c:v>
                </c:pt>
                <c:pt idx="177">
                  <c:v>2372</c:v>
                </c:pt>
                <c:pt idx="178">
                  <c:v>2382</c:v>
                </c:pt>
                <c:pt idx="179">
                  <c:v>2028</c:v>
                </c:pt>
                <c:pt idx="180">
                  <c:v>2077</c:v>
                </c:pt>
                <c:pt idx="181">
                  <c:v>1772</c:v>
                </c:pt>
                <c:pt idx="182">
                  <c:v>2396</c:v>
                </c:pt>
                <c:pt idx="183">
                  <c:v>2379</c:v>
                </c:pt>
                <c:pt idx="184">
                  <c:v>2321</c:v>
                </c:pt>
                <c:pt idx="185">
                  <c:v>2330</c:v>
                </c:pt>
                <c:pt idx="186">
                  <c:v>2350</c:v>
                </c:pt>
                <c:pt idx="187">
                  <c:v>2367</c:v>
                </c:pt>
                <c:pt idx="188">
                  <c:v>2355</c:v>
                </c:pt>
                <c:pt idx="189">
                  <c:v>2353</c:v>
                </c:pt>
                <c:pt idx="190">
                  <c:v>2324</c:v>
                </c:pt>
                <c:pt idx="191">
                  <c:v>2231</c:v>
                </c:pt>
                <c:pt idx="192">
                  <c:v>1939</c:v>
                </c:pt>
                <c:pt idx="193">
                  <c:v>2000</c:v>
                </c:pt>
                <c:pt idx="194">
                  <c:v>2086</c:v>
                </c:pt>
                <c:pt idx="195">
                  <c:v>2189</c:v>
                </c:pt>
                <c:pt idx="196">
                  <c:v>1930</c:v>
                </c:pt>
                <c:pt idx="197">
                  <c:v>2010</c:v>
                </c:pt>
                <c:pt idx="198">
                  <c:v>2312</c:v>
                </c:pt>
                <c:pt idx="199">
                  <c:v>2015</c:v>
                </c:pt>
                <c:pt idx="200">
                  <c:v>2351</c:v>
                </c:pt>
                <c:pt idx="201">
                  <c:v>2114</c:v>
                </c:pt>
                <c:pt idx="202">
                  <c:v>2106</c:v>
                </c:pt>
                <c:pt idx="203">
                  <c:v>1982</c:v>
                </c:pt>
                <c:pt idx="204">
                  <c:v>2293</c:v>
                </c:pt>
                <c:pt idx="205">
                  <c:v>2374</c:v>
                </c:pt>
                <c:pt idx="206">
                  <c:v>2348</c:v>
                </c:pt>
                <c:pt idx="207">
                  <c:v>2383</c:v>
                </c:pt>
                <c:pt idx="208">
                  <c:v>2333</c:v>
                </c:pt>
                <c:pt idx="209">
                  <c:v>2363</c:v>
                </c:pt>
                <c:pt idx="210">
                  <c:v>2236</c:v>
                </c:pt>
                <c:pt idx="211">
                  <c:v>2271</c:v>
                </c:pt>
                <c:pt idx="212">
                  <c:v>2366</c:v>
                </c:pt>
                <c:pt idx="213">
                  <c:v>2363</c:v>
                </c:pt>
                <c:pt idx="214">
                  <c:v>2358</c:v>
                </c:pt>
                <c:pt idx="215">
                  <c:v>2380</c:v>
                </c:pt>
                <c:pt idx="216">
                  <c:v>2359</c:v>
                </c:pt>
                <c:pt idx="217">
                  <c:v>2354</c:v>
                </c:pt>
                <c:pt idx="218">
                  <c:v>1980</c:v>
                </c:pt>
                <c:pt idx="219">
                  <c:v>2263</c:v>
                </c:pt>
                <c:pt idx="220">
                  <c:v>2331</c:v>
                </c:pt>
                <c:pt idx="221">
                  <c:v>2281</c:v>
                </c:pt>
                <c:pt idx="222">
                  <c:v>2115</c:v>
                </c:pt>
                <c:pt idx="223">
                  <c:v>2312</c:v>
                </c:pt>
                <c:pt idx="224">
                  <c:v>2381</c:v>
                </c:pt>
                <c:pt idx="225">
                  <c:v>2385</c:v>
                </c:pt>
                <c:pt idx="226">
                  <c:v>2354</c:v>
                </c:pt>
                <c:pt idx="227">
                  <c:v>2441</c:v>
                </c:pt>
                <c:pt idx="228">
                  <c:v>2343</c:v>
                </c:pt>
                <c:pt idx="229">
                  <c:v>2348</c:v>
                </c:pt>
                <c:pt idx="230">
                  <c:v>2189</c:v>
                </c:pt>
                <c:pt idx="231">
                  <c:v>1981</c:v>
                </c:pt>
                <c:pt idx="232">
                  <c:v>2353</c:v>
                </c:pt>
                <c:pt idx="233">
                  <c:v>2214</c:v>
                </c:pt>
                <c:pt idx="234">
                  <c:v>2363</c:v>
                </c:pt>
                <c:pt idx="235">
                  <c:v>2363</c:v>
                </c:pt>
                <c:pt idx="236">
                  <c:v>2375</c:v>
                </c:pt>
                <c:pt idx="237">
                  <c:v>2067</c:v>
                </c:pt>
                <c:pt idx="238">
                  <c:v>1983</c:v>
                </c:pt>
                <c:pt idx="239">
                  <c:v>2302</c:v>
                </c:pt>
                <c:pt idx="240">
                  <c:v>2365</c:v>
                </c:pt>
                <c:pt idx="241">
                  <c:v>2293</c:v>
                </c:pt>
                <c:pt idx="242">
                  <c:v>2152</c:v>
                </c:pt>
                <c:pt idx="243">
                  <c:v>2247</c:v>
                </c:pt>
                <c:pt idx="244">
                  <c:v>2004</c:v>
                </c:pt>
                <c:pt idx="245">
                  <c:v>2104</c:v>
                </c:pt>
                <c:pt idx="246">
                  <c:v>2393</c:v>
                </c:pt>
                <c:pt idx="247">
                  <c:v>2402</c:v>
                </c:pt>
                <c:pt idx="248">
                  <c:v>2342</c:v>
                </c:pt>
                <c:pt idx="249">
                  <c:v>2397</c:v>
                </c:pt>
                <c:pt idx="250">
                  <c:v>2365</c:v>
                </c:pt>
                <c:pt idx="251">
                  <c:v>2372</c:v>
                </c:pt>
                <c:pt idx="252">
                  <c:v>2335</c:v>
                </c:pt>
                <c:pt idx="253">
                  <c:v>2349</c:v>
                </c:pt>
                <c:pt idx="254">
                  <c:v>2370</c:v>
                </c:pt>
                <c:pt idx="255">
                  <c:v>2372</c:v>
                </c:pt>
                <c:pt idx="256">
                  <c:v>2439</c:v>
                </c:pt>
                <c:pt idx="257">
                  <c:v>2335</c:v>
                </c:pt>
                <c:pt idx="258">
                  <c:v>2384</c:v>
                </c:pt>
                <c:pt idx="259">
                  <c:v>2393</c:v>
                </c:pt>
                <c:pt idx="260">
                  <c:v>2363</c:v>
                </c:pt>
                <c:pt idx="261">
                  <c:v>2170</c:v>
                </c:pt>
                <c:pt idx="262">
                  <c:v>2336</c:v>
                </c:pt>
                <c:pt idx="263">
                  <c:v>2378</c:v>
                </c:pt>
                <c:pt idx="264">
                  <c:v>2411</c:v>
                </c:pt>
                <c:pt idx="265">
                  <c:v>2369</c:v>
                </c:pt>
                <c:pt idx="266">
                  <c:v>2364</c:v>
                </c:pt>
                <c:pt idx="267">
                  <c:v>2348</c:v>
                </c:pt>
                <c:pt idx="268">
                  <c:v>2380</c:v>
                </c:pt>
                <c:pt idx="269">
                  <c:v>2372</c:v>
                </c:pt>
                <c:pt idx="270">
                  <c:v>2371</c:v>
                </c:pt>
                <c:pt idx="271">
                  <c:v>1912</c:v>
                </c:pt>
                <c:pt idx="272">
                  <c:v>2219</c:v>
                </c:pt>
                <c:pt idx="273">
                  <c:v>1599</c:v>
                </c:pt>
                <c:pt idx="274">
                  <c:v>1476</c:v>
                </c:pt>
                <c:pt idx="275">
                  <c:v>1178</c:v>
                </c:pt>
                <c:pt idx="276">
                  <c:v>1018</c:v>
                </c:pt>
                <c:pt idx="277">
                  <c:v>1070</c:v>
                </c:pt>
                <c:pt idx="278">
                  <c:v>873</c:v>
                </c:pt>
                <c:pt idx="279">
                  <c:v>737</c:v>
                </c:pt>
                <c:pt idx="280">
                  <c:v>703</c:v>
                </c:pt>
                <c:pt idx="281">
                  <c:v>737</c:v>
                </c:pt>
                <c:pt idx="282">
                  <c:v>415</c:v>
                </c:pt>
                <c:pt idx="283">
                  <c:v>385</c:v>
                </c:pt>
                <c:pt idx="284">
                  <c:v>96</c:v>
                </c:pt>
              </c:numCache>
            </c:numRef>
          </c:val>
          <c:smooth val="0"/>
          <c:extLst>
            <c:ext xmlns:c16="http://schemas.microsoft.com/office/drawing/2014/chart" uri="{C3380CC4-5D6E-409C-BE32-E72D297353CC}">
              <c16:uniqueId val="{00000002-3AA0-4A41-840B-4C591ED465CB}"/>
            </c:ext>
          </c:extLst>
        </c:ser>
        <c:dLbls>
          <c:showLegendKey val="0"/>
          <c:showVal val="0"/>
          <c:showCatName val="0"/>
          <c:showSerName val="0"/>
          <c:showPercent val="0"/>
          <c:showBubbleSize val="0"/>
        </c:dLbls>
        <c:smooth val="0"/>
        <c:axId val="1289908416"/>
        <c:axId val="1539397824"/>
      </c:lineChart>
      <c:catAx>
        <c:axId val="1289908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39397824"/>
        <c:crosses val="autoZero"/>
        <c:auto val="1"/>
        <c:lblAlgn val="ctr"/>
        <c:lblOffset val="100"/>
        <c:noMultiLvlLbl val="0"/>
      </c:catAx>
      <c:valAx>
        <c:axId val="1539397824"/>
        <c:scaling>
          <c:orientation val="minMax"/>
          <c:max val="2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8990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顺序写</a:t>
            </a:r>
            <a:r>
              <a:rPr lang="en-US" altLang="zh-CN"/>
              <a:t>10M</a:t>
            </a:r>
            <a:r>
              <a:rPr lang="zh-CN" altLang="en-US"/>
              <a:t>条</a:t>
            </a:r>
            <a:r>
              <a:rPr lang="en-US" altLang="zh-CN"/>
              <a:t>KV </a:t>
            </a:r>
            <a:r>
              <a:rPr lang="zh-CN" altLang="en-US"/>
              <a:t>不开</a:t>
            </a:r>
            <a:r>
              <a:rPr lang="en-US" altLang="zh-CN"/>
              <a:t>directIO </a:t>
            </a:r>
            <a:r>
              <a:rPr lang="zh-CN" altLang="en-US"/>
              <a:t>底层</a:t>
            </a:r>
            <a:r>
              <a:rPr lang="en-US" altLang="zh-CN"/>
              <a:t>throughput</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带宽占用pKVS!$K$55</c:f>
              <c:strCache>
                <c:ptCount val="1"/>
                <c:pt idx="0">
                  <c:v>8q32b</c:v>
                </c:pt>
              </c:strCache>
            </c:strRef>
          </c:tx>
          <c:spPr>
            <a:ln w="28575" cap="rnd">
              <a:solidFill>
                <a:schemeClr val="accent1"/>
              </a:solidFill>
              <a:round/>
            </a:ln>
            <a:effectLst/>
          </c:spPr>
          <c:marker>
            <c:symbol val="none"/>
          </c:marker>
          <c:val>
            <c:numRef>
              <c:f>带宽占用pKVS!$K$56:$K$72</c:f>
              <c:numCache>
                <c:formatCode>General</c:formatCode>
                <c:ptCount val="17"/>
                <c:pt idx="0">
                  <c:v>834</c:v>
                </c:pt>
                <c:pt idx="1">
                  <c:v>1314</c:v>
                </c:pt>
                <c:pt idx="2">
                  <c:v>1320</c:v>
                </c:pt>
                <c:pt idx="3">
                  <c:v>1551</c:v>
                </c:pt>
                <c:pt idx="4">
                  <c:v>1373</c:v>
                </c:pt>
                <c:pt idx="5">
                  <c:v>1345</c:v>
                </c:pt>
                <c:pt idx="6">
                  <c:v>1434</c:v>
                </c:pt>
                <c:pt idx="7">
                  <c:v>1455</c:v>
                </c:pt>
                <c:pt idx="8">
                  <c:v>1649</c:v>
                </c:pt>
                <c:pt idx="9">
                  <c:v>1304</c:v>
                </c:pt>
                <c:pt idx="10">
                  <c:v>1411</c:v>
                </c:pt>
                <c:pt idx="11">
                  <c:v>1390</c:v>
                </c:pt>
                <c:pt idx="12">
                  <c:v>1163</c:v>
                </c:pt>
                <c:pt idx="13">
                  <c:v>1331</c:v>
                </c:pt>
                <c:pt idx="14">
                  <c:v>1195</c:v>
                </c:pt>
                <c:pt idx="15">
                  <c:v>1201</c:v>
                </c:pt>
                <c:pt idx="16">
                  <c:v>1113</c:v>
                </c:pt>
              </c:numCache>
            </c:numRef>
          </c:val>
          <c:smooth val="0"/>
          <c:extLst>
            <c:ext xmlns:c16="http://schemas.microsoft.com/office/drawing/2014/chart" uri="{C3380CC4-5D6E-409C-BE32-E72D297353CC}">
              <c16:uniqueId val="{00000000-6C7A-4E4F-85AC-AF24A38FB8DD}"/>
            </c:ext>
          </c:extLst>
        </c:ser>
        <c:ser>
          <c:idx val="1"/>
          <c:order val="1"/>
          <c:tx>
            <c:strRef>
              <c:f>带宽占用pKVS!$L$55</c:f>
              <c:strCache>
                <c:ptCount val="1"/>
                <c:pt idx="0">
                  <c:v>12q32b</c:v>
                </c:pt>
              </c:strCache>
            </c:strRef>
          </c:tx>
          <c:spPr>
            <a:ln w="28575" cap="rnd">
              <a:solidFill>
                <a:schemeClr val="accent2"/>
              </a:solidFill>
              <a:round/>
            </a:ln>
            <a:effectLst/>
          </c:spPr>
          <c:marker>
            <c:symbol val="none"/>
          </c:marker>
          <c:val>
            <c:numRef>
              <c:f>带宽占用pKVS!$L$56:$L$72</c:f>
              <c:numCache>
                <c:formatCode>General</c:formatCode>
                <c:ptCount val="17"/>
                <c:pt idx="0">
                  <c:v>728</c:v>
                </c:pt>
                <c:pt idx="1">
                  <c:v>1354</c:v>
                </c:pt>
                <c:pt idx="2">
                  <c:v>1354</c:v>
                </c:pt>
                <c:pt idx="3">
                  <c:v>1329</c:v>
                </c:pt>
                <c:pt idx="4">
                  <c:v>1948</c:v>
                </c:pt>
                <c:pt idx="5">
                  <c:v>1412</c:v>
                </c:pt>
                <c:pt idx="6">
                  <c:v>1463</c:v>
                </c:pt>
                <c:pt idx="7">
                  <c:v>1520</c:v>
                </c:pt>
                <c:pt idx="8">
                  <c:v>1447</c:v>
                </c:pt>
                <c:pt idx="9">
                  <c:v>1438</c:v>
                </c:pt>
                <c:pt idx="10">
                  <c:v>1463</c:v>
                </c:pt>
                <c:pt idx="11">
                  <c:v>1508</c:v>
                </c:pt>
                <c:pt idx="12">
                  <c:v>1306</c:v>
                </c:pt>
                <c:pt idx="13">
                  <c:v>1435</c:v>
                </c:pt>
                <c:pt idx="14">
                  <c:v>1692</c:v>
                </c:pt>
                <c:pt idx="15">
                  <c:v>57</c:v>
                </c:pt>
              </c:numCache>
            </c:numRef>
          </c:val>
          <c:smooth val="0"/>
          <c:extLst>
            <c:ext xmlns:c16="http://schemas.microsoft.com/office/drawing/2014/chart" uri="{C3380CC4-5D6E-409C-BE32-E72D297353CC}">
              <c16:uniqueId val="{00000001-6C7A-4E4F-85AC-AF24A38FB8DD}"/>
            </c:ext>
          </c:extLst>
        </c:ser>
        <c:ser>
          <c:idx val="2"/>
          <c:order val="2"/>
          <c:tx>
            <c:strRef>
              <c:f>带宽占用pKVS!$M$55</c:f>
              <c:strCache>
                <c:ptCount val="1"/>
                <c:pt idx="0">
                  <c:v>16q32b</c:v>
                </c:pt>
              </c:strCache>
            </c:strRef>
          </c:tx>
          <c:spPr>
            <a:ln w="28575" cap="rnd">
              <a:solidFill>
                <a:schemeClr val="accent3"/>
              </a:solidFill>
              <a:round/>
            </a:ln>
            <a:effectLst/>
          </c:spPr>
          <c:marker>
            <c:symbol val="none"/>
          </c:marker>
          <c:val>
            <c:numRef>
              <c:f>带宽占用pKVS!$M$56:$M$72</c:f>
              <c:numCache>
                <c:formatCode>General</c:formatCode>
                <c:ptCount val="17"/>
                <c:pt idx="0">
                  <c:v>500</c:v>
                </c:pt>
                <c:pt idx="1">
                  <c:v>1427</c:v>
                </c:pt>
                <c:pt idx="2">
                  <c:v>1504</c:v>
                </c:pt>
                <c:pt idx="3">
                  <c:v>1248</c:v>
                </c:pt>
                <c:pt idx="4">
                  <c:v>1556</c:v>
                </c:pt>
                <c:pt idx="5">
                  <c:v>1185</c:v>
                </c:pt>
                <c:pt idx="6">
                  <c:v>1416</c:v>
                </c:pt>
                <c:pt idx="7">
                  <c:v>1301</c:v>
                </c:pt>
                <c:pt idx="8">
                  <c:v>1355</c:v>
                </c:pt>
                <c:pt idx="9">
                  <c:v>1569</c:v>
                </c:pt>
                <c:pt idx="10">
                  <c:v>1000</c:v>
                </c:pt>
                <c:pt idx="11">
                  <c:v>1566</c:v>
                </c:pt>
                <c:pt idx="12">
                  <c:v>1320</c:v>
                </c:pt>
                <c:pt idx="13">
                  <c:v>1621</c:v>
                </c:pt>
                <c:pt idx="14">
                  <c:v>1738</c:v>
                </c:pt>
                <c:pt idx="15">
                  <c:v>488</c:v>
                </c:pt>
              </c:numCache>
            </c:numRef>
          </c:val>
          <c:smooth val="0"/>
          <c:extLst>
            <c:ext xmlns:c16="http://schemas.microsoft.com/office/drawing/2014/chart" uri="{C3380CC4-5D6E-409C-BE32-E72D297353CC}">
              <c16:uniqueId val="{00000002-6C7A-4E4F-85AC-AF24A38FB8DD}"/>
            </c:ext>
          </c:extLst>
        </c:ser>
        <c:dLbls>
          <c:showLegendKey val="0"/>
          <c:showVal val="0"/>
          <c:showCatName val="0"/>
          <c:showSerName val="0"/>
          <c:showPercent val="0"/>
          <c:showBubbleSize val="0"/>
        </c:dLbls>
        <c:smooth val="0"/>
        <c:axId val="822583504"/>
        <c:axId val="877363328"/>
      </c:lineChart>
      <c:catAx>
        <c:axId val="822583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77363328"/>
        <c:crosses val="autoZero"/>
        <c:auto val="1"/>
        <c:lblAlgn val="ctr"/>
        <c:lblOffset val="100"/>
        <c:noMultiLvlLbl val="0"/>
      </c:catAx>
      <c:valAx>
        <c:axId val="877363328"/>
        <c:scaling>
          <c:orientation val="minMax"/>
          <c:max val="23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22583504"/>
        <c:crosses val="autoZero"/>
        <c:crossBetween val="between"/>
      </c:valAx>
      <c:spPr>
        <a:noFill/>
        <a:ln>
          <a:solidFill>
            <a:schemeClr val="accent4"/>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altLang="en-US" sz="1400" b="0" i="0" u="none" strike="noStrike" kern="1200" spc="0" baseline="0">
                <a:solidFill>
                  <a:schemeClr val="tx1"/>
                </a:solidFill>
                <a:latin typeface="+mn-lt"/>
                <a:ea typeface="+mn-ea"/>
                <a:cs typeface="+mn-cs"/>
              </a:defRPr>
            </a:pPr>
            <a:r>
              <a:rPr lang="zh-CN" altLang="zh-CN" sz="1400" b="0" i="0" baseline="0">
                <a:effectLst/>
              </a:rPr>
              <a:t>顺序写</a:t>
            </a:r>
            <a:r>
              <a:rPr lang="en-US" altLang="zh-CN" sz="1400" b="0" i="0" baseline="0">
                <a:effectLst/>
              </a:rPr>
              <a:t>10M</a:t>
            </a:r>
            <a:r>
              <a:rPr lang="zh-CN" altLang="zh-CN" sz="1400" b="0" i="0" baseline="0">
                <a:effectLst/>
              </a:rPr>
              <a:t>条</a:t>
            </a:r>
            <a:r>
              <a:rPr lang="en-US" altLang="zh-CN" sz="1400" b="0" i="0" baseline="0">
                <a:effectLst/>
              </a:rPr>
              <a:t>KV </a:t>
            </a:r>
            <a:r>
              <a:rPr lang="zh-CN" altLang="zh-CN" sz="1400" b="0" i="0" baseline="0">
                <a:effectLst/>
              </a:rPr>
              <a:t>开</a:t>
            </a:r>
            <a:r>
              <a:rPr lang="en-US" altLang="zh-CN" sz="1400" b="0" i="0" baseline="0">
                <a:effectLst/>
              </a:rPr>
              <a:t>directIO </a:t>
            </a:r>
            <a:r>
              <a:rPr lang="zh-CN" altLang="en-US" sz="1400" b="0" i="0" baseline="0">
                <a:effectLst/>
              </a:rPr>
              <a:t>底层</a:t>
            </a:r>
            <a:r>
              <a:rPr lang="en-US" altLang="zh-CN" sz="1400" b="0" i="0" baseline="0">
                <a:effectLst/>
              </a:rPr>
              <a:t>throughput</a:t>
            </a:r>
            <a:endParaRPr lang="zh-CN" altLang="zh-CN" sz="1400">
              <a:effectLst/>
            </a:endParaRPr>
          </a:p>
        </c:rich>
      </c:tx>
      <c:overlay val="0"/>
      <c:spPr>
        <a:noFill/>
        <a:ln>
          <a:noFill/>
        </a:ln>
        <a:effectLst/>
      </c:spPr>
      <c:txPr>
        <a:bodyPr rot="0" spcFirstLastPara="1" vertOverflow="ellipsis" vert="horz" wrap="square" anchor="ctr" anchorCtr="1"/>
        <a:lstStyle/>
        <a:p>
          <a:pPr>
            <a:defRPr lang="zh-CN" altLang="en-US" sz="1400" b="0" i="0" u="none" strike="noStrike" kern="1200" spc="0" baseline="0">
              <a:solidFill>
                <a:schemeClr val="tx1"/>
              </a:solidFill>
              <a:latin typeface="+mn-lt"/>
              <a:ea typeface="+mn-ea"/>
              <a:cs typeface="+mn-cs"/>
            </a:defRPr>
          </a:pPr>
          <a:endParaRPr lang="zh-CN"/>
        </a:p>
      </c:txPr>
    </c:title>
    <c:autoTitleDeleted val="0"/>
    <c:plotArea>
      <c:layout/>
      <c:lineChart>
        <c:grouping val="standard"/>
        <c:varyColors val="0"/>
        <c:ser>
          <c:idx val="0"/>
          <c:order val="0"/>
          <c:tx>
            <c:strRef>
              <c:f>带宽占用pKVS!$N$55</c:f>
              <c:strCache>
                <c:ptCount val="1"/>
                <c:pt idx="0">
                  <c:v>8q32b</c:v>
                </c:pt>
              </c:strCache>
            </c:strRef>
          </c:tx>
          <c:spPr>
            <a:ln w="28575" cap="rnd">
              <a:solidFill>
                <a:schemeClr val="accent1"/>
              </a:solidFill>
              <a:round/>
            </a:ln>
            <a:effectLst/>
          </c:spPr>
          <c:marker>
            <c:symbol val="none"/>
          </c:marker>
          <c:val>
            <c:numRef>
              <c:f>带宽占用pKVS!$N$56:$N$70</c:f>
              <c:numCache>
                <c:formatCode>General</c:formatCode>
                <c:ptCount val="15"/>
                <c:pt idx="0">
                  <c:v>405</c:v>
                </c:pt>
                <c:pt idx="1">
                  <c:v>1216</c:v>
                </c:pt>
                <c:pt idx="2">
                  <c:v>1350</c:v>
                </c:pt>
                <c:pt idx="3">
                  <c:v>1528</c:v>
                </c:pt>
                <c:pt idx="4">
                  <c:v>1507</c:v>
                </c:pt>
                <c:pt idx="5">
                  <c:v>1656</c:v>
                </c:pt>
                <c:pt idx="6">
                  <c:v>1739</c:v>
                </c:pt>
                <c:pt idx="7">
                  <c:v>1708</c:v>
                </c:pt>
                <c:pt idx="8">
                  <c:v>1713</c:v>
                </c:pt>
                <c:pt idx="9">
                  <c:v>1707</c:v>
                </c:pt>
                <c:pt idx="10">
                  <c:v>1700</c:v>
                </c:pt>
                <c:pt idx="11">
                  <c:v>1596</c:v>
                </c:pt>
                <c:pt idx="12">
                  <c:v>1703</c:v>
                </c:pt>
                <c:pt idx="13">
                  <c:v>1300</c:v>
                </c:pt>
                <c:pt idx="14">
                  <c:v>36</c:v>
                </c:pt>
              </c:numCache>
            </c:numRef>
          </c:val>
          <c:smooth val="0"/>
          <c:extLst>
            <c:ext xmlns:c16="http://schemas.microsoft.com/office/drawing/2014/chart" uri="{C3380CC4-5D6E-409C-BE32-E72D297353CC}">
              <c16:uniqueId val="{00000000-FD72-4419-A212-5983C0BB3763}"/>
            </c:ext>
          </c:extLst>
        </c:ser>
        <c:ser>
          <c:idx val="1"/>
          <c:order val="1"/>
          <c:tx>
            <c:strRef>
              <c:f>带宽占用pKVS!$O$55</c:f>
              <c:strCache>
                <c:ptCount val="1"/>
                <c:pt idx="0">
                  <c:v>12q32b</c:v>
                </c:pt>
              </c:strCache>
            </c:strRef>
          </c:tx>
          <c:spPr>
            <a:ln w="28575" cap="rnd">
              <a:solidFill>
                <a:schemeClr val="accent2"/>
              </a:solidFill>
              <a:round/>
            </a:ln>
            <a:effectLst/>
          </c:spPr>
          <c:marker>
            <c:symbol val="none"/>
          </c:marker>
          <c:val>
            <c:numRef>
              <c:f>带宽占用pKVS!$O$56:$O$70</c:f>
              <c:numCache>
                <c:formatCode>General</c:formatCode>
                <c:ptCount val="15"/>
                <c:pt idx="0">
                  <c:v>11</c:v>
                </c:pt>
                <c:pt idx="1">
                  <c:v>1244</c:v>
                </c:pt>
                <c:pt idx="2">
                  <c:v>1883</c:v>
                </c:pt>
                <c:pt idx="3">
                  <c:v>2000</c:v>
                </c:pt>
                <c:pt idx="4">
                  <c:v>2207</c:v>
                </c:pt>
                <c:pt idx="5">
                  <c:v>2160</c:v>
                </c:pt>
                <c:pt idx="6">
                  <c:v>2270</c:v>
                </c:pt>
                <c:pt idx="7">
                  <c:v>2249</c:v>
                </c:pt>
                <c:pt idx="8">
                  <c:v>2280</c:v>
                </c:pt>
                <c:pt idx="9">
                  <c:v>2265</c:v>
                </c:pt>
                <c:pt idx="10">
                  <c:v>2262</c:v>
                </c:pt>
                <c:pt idx="11">
                  <c:v>463</c:v>
                </c:pt>
              </c:numCache>
            </c:numRef>
          </c:val>
          <c:smooth val="0"/>
          <c:extLst>
            <c:ext xmlns:c16="http://schemas.microsoft.com/office/drawing/2014/chart" uri="{C3380CC4-5D6E-409C-BE32-E72D297353CC}">
              <c16:uniqueId val="{00000001-FD72-4419-A212-5983C0BB3763}"/>
            </c:ext>
          </c:extLst>
        </c:ser>
        <c:ser>
          <c:idx val="2"/>
          <c:order val="2"/>
          <c:tx>
            <c:strRef>
              <c:f>带宽占用pKVS!$P$55</c:f>
              <c:strCache>
                <c:ptCount val="1"/>
                <c:pt idx="0">
                  <c:v>16q32b</c:v>
                </c:pt>
              </c:strCache>
            </c:strRef>
          </c:tx>
          <c:spPr>
            <a:ln w="28575" cap="rnd">
              <a:solidFill>
                <a:schemeClr val="accent3"/>
              </a:solidFill>
              <a:round/>
            </a:ln>
            <a:effectLst/>
          </c:spPr>
          <c:marker>
            <c:symbol val="none"/>
          </c:marker>
          <c:val>
            <c:numRef>
              <c:f>带宽占用pKVS!$P$56:$P$70</c:f>
              <c:numCache>
                <c:formatCode>General</c:formatCode>
                <c:ptCount val="15"/>
                <c:pt idx="0">
                  <c:v>13</c:v>
                </c:pt>
                <c:pt idx="1">
                  <c:v>686</c:v>
                </c:pt>
                <c:pt idx="2">
                  <c:v>2028</c:v>
                </c:pt>
                <c:pt idx="3">
                  <c:v>2254</c:v>
                </c:pt>
                <c:pt idx="4">
                  <c:v>2290</c:v>
                </c:pt>
                <c:pt idx="5">
                  <c:v>2298</c:v>
                </c:pt>
                <c:pt idx="6">
                  <c:v>2278</c:v>
                </c:pt>
                <c:pt idx="7">
                  <c:v>2296</c:v>
                </c:pt>
                <c:pt idx="8">
                  <c:v>2290</c:v>
                </c:pt>
                <c:pt idx="9">
                  <c:v>2283</c:v>
                </c:pt>
                <c:pt idx="10">
                  <c:v>1723</c:v>
                </c:pt>
              </c:numCache>
            </c:numRef>
          </c:val>
          <c:smooth val="0"/>
          <c:extLst>
            <c:ext xmlns:c16="http://schemas.microsoft.com/office/drawing/2014/chart" uri="{C3380CC4-5D6E-409C-BE32-E72D297353CC}">
              <c16:uniqueId val="{00000002-FD72-4419-A212-5983C0BB3763}"/>
            </c:ext>
          </c:extLst>
        </c:ser>
        <c:dLbls>
          <c:showLegendKey val="0"/>
          <c:showVal val="0"/>
          <c:showCatName val="0"/>
          <c:showSerName val="0"/>
          <c:showPercent val="0"/>
          <c:showBubbleSize val="0"/>
        </c:dLbls>
        <c:smooth val="0"/>
        <c:axId val="820905040"/>
        <c:axId val="819293472"/>
      </c:lineChart>
      <c:catAx>
        <c:axId val="8209050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altLang="en-US" sz="1000" b="0" i="0" u="none" strike="noStrike" kern="1200" baseline="0">
                <a:solidFill>
                  <a:schemeClr val="tx1"/>
                </a:solidFill>
                <a:latin typeface="+mn-lt"/>
                <a:ea typeface="+mn-ea"/>
                <a:cs typeface="+mn-cs"/>
              </a:defRPr>
            </a:pPr>
            <a:endParaRPr lang="zh-CN"/>
          </a:p>
        </c:txPr>
        <c:crossAx val="819293472"/>
        <c:crosses val="autoZero"/>
        <c:auto val="1"/>
        <c:lblAlgn val="ctr"/>
        <c:lblOffset val="100"/>
        <c:noMultiLvlLbl val="0"/>
      </c:catAx>
      <c:valAx>
        <c:axId val="819293472"/>
        <c:scaling>
          <c:orientation val="minMax"/>
          <c:max val="2300"/>
          <c:min val="0"/>
        </c:scaling>
        <c:delete val="0"/>
        <c:axPos val="l"/>
        <c:majorGridlines>
          <c:spPr>
            <a:ln w="9525" cap="flat" cmpd="sng" algn="ctr">
              <a:solidFill>
                <a:schemeClr val="bg1">
                  <a:lumMod val="85000"/>
                  <a:alpha val="98000"/>
                </a:schemeClr>
              </a:solidFill>
              <a:round/>
            </a:ln>
            <a:effectLst/>
          </c:spPr>
        </c:majorGridlines>
        <c:numFmt formatCode="General" sourceLinked="1"/>
        <c:majorTickMark val="none"/>
        <c:minorTickMark val="none"/>
        <c:tickLblPos val="nextTo"/>
        <c:spPr>
          <a:noFill/>
          <a:ln>
            <a:solidFill>
              <a:schemeClr val="accent4"/>
            </a:solidFill>
          </a:ln>
          <a:effectLst/>
        </c:spPr>
        <c:txPr>
          <a:bodyPr rot="-60000000" spcFirstLastPara="1" vertOverflow="ellipsis" vert="horz" wrap="square" anchor="ctr" anchorCtr="1"/>
          <a:lstStyle/>
          <a:p>
            <a:pPr>
              <a:defRPr lang="zh-CN" altLang="en-US" sz="1000" b="0" i="0" u="none" strike="noStrike" kern="1200" baseline="0">
                <a:solidFill>
                  <a:schemeClr val="tx1"/>
                </a:solidFill>
                <a:latin typeface="+mn-lt"/>
                <a:ea typeface="+mn-ea"/>
                <a:cs typeface="+mn-cs"/>
              </a:defRPr>
            </a:pPr>
            <a:endParaRPr lang="zh-CN"/>
          </a:p>
        </c:txPr>
        <c:crossAx val="820905040"/>
        <c:crosses val="autoZero"/>
        <c:crossBetween val="between"/>
      </c:valAx>
      <c:spPr>
        <a:noFill/>
        <a:ln>
          <a:solidFill>
            <a:schemeClr val="accent4"/>
          </a:solidFill>
        </a:ln>
        <a:effectLst/>
      </c:spPr>
    </c:plotArea>
    <c:legend>
      <c:legendPos val="b"/>
      <c:overlay val="0"/>
      <c:spPr>
        <a:noFill/>
        <a:ln>
          <a:noFill/>
        </a:ln>
        <a:effectLst/>
      </c:spPr>
      <c:txPr>
        <a:bodyPr rot="0" spcFirstLastPara="1" vertOverflow="ellipsis" vert="horz" wrap="square" anchor="ctr" anchorCtr="1"/>
        <a:lstStyle/>
        <a:p>
          <a:pPr>
            <a:defRPr lang="zh-CN" altLang="en-US" sz="1000" b="0" i="0" u="none" strike="noStrike" kern="1200" baseline="0">
              <a:solidFill>
                <a:schemeClr val="tx1"/>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zh-CN" altLang="en-US" sz="1000" b="0" i="0" u="none" strike="noStrike" kern="1200" baseline="0">
          <a:solidFill>
            <a:schemeClr val="tx1"/>
          </a:solidFill>
          <a:latin typeface="+mn-lt"/>
          <a:ea typeface="+mn-ea"/>
          <a:cs typeface="+mn-cs"/>
        </a:defRPr>
      </a:pPr>
      <a:endParaRPr lang="zh-CN"/>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延迟</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scan测试!$G$3</c:f>
              <c:strCache>
                <c:ptCount val="1"/>
                <c:pt idx="0">
                  <c:v>0</c:v>
                </c:pt>
              </c:strCache>
            </c:strRef>
          </c:tx>
          <c:spPr>
            <a:solidFill>
              <a:schemeClr val="accent1"/>
            </a:solidFill>
            <a:ln>
              <a:noFill/>
            </a:ln>
            <a:effectLst/>
          </c:spPr>
          <c:invertIfNegative val="0"/>
          <c:cat>
            <c:strRef>
              <c:f>scan测试!$H$2:$J$2</c:f>
              <c:strCache>
                <c:ptCount val="3"/>
                <c:pt idx="0">
                  <c:v>单库</c:v>
                </c:pt>
                <c:pt idx="1">
                  <c:v>4库</c:v>
                </c:pt>
                <c:pt idx="2">
                  <c:v>8库</c:v>
                </c:pt>
              </c:strCache>
            </c:strRef>
          </c:cat>
          <c:val>
            <c:numRef>
              <c:f>scan测试!$H$3:$J$3</c:f>
              <c:numCache>
                <c:formatCode>General</c:formatCode>
                <c:ptCount val="3"/>
                <c:pt idx="0">
                  <c:v>21729</c:v>
                </c:pt>
                <c:pt idx="1">
                  <c:v>29376</c:v>
                </c:pt>
                <c:pt idx="2">
                  <c:v>10414</c:v>
                </c:pt>
              </c:numCache>
            </c:numRef>
          </c:val>
          <c:extLst>
            <c:ext xmlns:c16="http://schemas.microsoft.com/office/drawing/2014/chart" uri="{C3380CC4-5D6E-409C-BE32-E72D297353CC}">
              <c16:uniqueId val="{00000000-D213-4B80-956F-04CE0D69AC07}"/>
            </c:ext>
          </c:extLst>
        </c:ser>
        <c:ser>
          <c:idx val="1"/>
          <c:order val="1"/>
          <c:tx>
            <c:strRef>
              <c:f>scan测试!$G$4</c:f>
              <c:strCache>
                <c:ptCount val="1"/>
                <c:pt idx="0">
                  <c:v>1</c:v>
                </c:pt>
              </c:strCache>
            </c:strRef>
          </c:tx>
          <c:spPr>
            <a:solidFill>
              <a:schemeClr val="accent2"/>
            </a:solidFill>
            <a:ln>
              <a:noFill/>
            </a:ln>
            <a:effectLst/>
          </c:spPr>
          <c:invertIfNegative val="0"/>
          <c:cat>
            <c:strRef>
              <c:f>scan测试!$H$2:$J$2</c:f>
              <c:strCache>
                <c:ptCount val="3"/>
                <c:pt idx="0">
                  <c:v>单库</c:v>
                </c:pt>
                <c:pt idx="1">
                  <c:v>4库</c:v>
                </c:pt>
                <c:pt idx="2">
                  <c:v>8库</c:v>
                </c:pt>
              </c:strCache>
            </c:strRef>
          </c:cat>
          <c:val>
            <c:numRef>
              <c:f>scan测试!$H$4:$J$4</c:f>
              <c:numCache>
                <c:formatCode>General</c:formatCode>
                <c:ptCount val="3"/>
                <c:pt idx="0">
                  <c:v>21536</c:v>
                </c:pt>
                <c:pt idx="1">
                  <c:v>29976</c:v>
                </c:pt>
                <c:pt idx="2">
                  <c:v>10243</c:v>
                </c:pt>
              </c:numCache>
            </c:numRef>
          </c:val>
          <c:extLst>
            <c:ext xmlns:c16="http://schemas.microsoft.com/office/drawing/2014/chart" uri="{C3380CC4-5D6E-409C-BE32-E72D297353CC}">
              <c16:uniqueId val="{00000001-D213-4B80-956F-04CE0D69AC07}"/>
            </c:ext>
          </c:extLst>
        </c:ser>
        <c:ser>
          <c:idx val="2"/>
          <c:order val="2"/>
          <c:tx>
            <c:strRef>
              <c:f>scan测试!$G$5</c:f>
              <c:strCache>
                <c:ptCount val="1"/>
                <c:pt idx="0">
                  <c:v>20</c:v>
                </c:pt>
              </c:strCache>
            </c:strRef>
          </c:tx>
          <c:spPr>
            <a:solidFill>
              <a:schemeClr val="accent3"/>
            </a:solidFill>
            <a:ln>
              <a:noFill/>
            </a:ln>
            <a:effectLst/>
          </c:spPr>
          <c:invertIfNegative val="0"/>
          <c:cat>
            <c:strRef>
              <c:f>scan测试!$H$2:$J$2</c:f>
              <c:strCache>
                <c:ptCount val="3"/>
                <c:pt idx="0">
                  <c:v>单库</c:v>
                </c:pt>
                <c:pt idx="1">
                  <c:v>4库</c:v>
                </c:pt>
                <c:pt idx="2">
                  <c:v>8库</c:v>
                </c:pt>
              </c:strCache>
            </c:strRef>
          </c:cat>
          <c:val>
            <c:numRef>
              <c:f>scan测试!$H$5:$J$5</c:f>
              <c:numCache>
                <c:formatCode>General</c:formatCode>
                <c:ptCount val="3"/>
                <c:pt idx="0">
                  <c:v>25989</c:v>
                </c:pt>
                <c:pt idx="1">
                  <c:v>34977</c:v>
                </c:pt>
                <c:pt idx="2">
                  <c:v>16236</c:v>
                </c:pt>
              </c:numCache>
            </c:numRef>
          </c:val>
          <c:extLst>
            <c:ext xmlns:c16="http://schemas.microsoft.com/office/drawing/2014/chart" uri="{C3380CC4-5D6E-409C-BE32-E72D297353CC}">
              <c16:uniqueId val="{00000002-D213-4B80-956F-04CE0D69AC07}"/>
            </c:ext>
          </c:extLst>
        </c:ser>
        <c:ser>
          <c:idx val="3"/>
          <c:order val="3"/>
          <c:tx>
            <c:strRef>
              <c:f>scan测试!$G$6</c:f>
              <c:strCache>
                <c:ptCount val="1"/>
                <c:pt idx="0">
                  <c:v>50</c:v>
                </c:pt>
              </c:strCache>
            </c:strRef>
          </c:tx>
          <c:spPr>
            <a:solidFill>
              <a:schemeClr val="accent4"/>
            </a:solidFill>
            <a:ln>
              <a:noFill/>
            </a:ln>
            <a:effectLst/>
          </c:spPr>
          <c:invertIfNegative val="0"/>
          <c:cat>
            <c:strRef>
              <c:f>scan测试!$H$2:$J$2</c:f>
              <c:strCache>
                <c:ptCount val="3"/>
                <c:pt idx="0">
                  <c:v>单库</c:v>
                </c:pt>
                <c:pt idx="1">
                  <c:v>4库</c:v>
                </c:pt>
                <c:pt idx="2">
                  <c:v>8库</c:v>
                </c:pt>
              </c:strCache>
            </c:strRef>
          </c:cat>
          <c:val>
            <c:numRef>
              <c:f>scan测试!$H$6:$J$6</c:f>
              <c:numCache>
                <c:formatCode>General</c:formatCode>
                <c:ptCount val="3"/>
                <c:pt idx="0">
                  <c:v>32094</c:v>
                </c:pt>
                <c:pt idx="1">
                  <c:v>44413</c:v>
                </c:pt>
                <c:pt idx="2">
                  <c:v>23124</c:v>
                </c:pt>
              </c:numCache>
            </c:numRef>
          </c:val>
          <c:extLst>
            <c:ext xmlns:c16="http://schemas.microsoft.com/office/drawing/2014/chart" uri="{C3380CC4-5D6E-409C-BE32-E72D297353CC}">
              <c16:uniqueId val="{00000003-D213-4B80-956F-04CE0D69AC07}"/>
            </c:ext>
          </c:extLst>
        </c:ser>
        <c:ser>
          <c:idx val="4"/>
          <c:order val="4"/>
          <c:tx>
            <c:strRef>
              <c:f>scan测试!$G$7</c:f>
              <c:strCache>
                <c:ptCount val="1"/>
                <c:pt idx="0">
                  <c:v>100</c:v>
                </c:pt>
              </c:strCache>
            </c:strRef>
          </c:tx>
          <c:spPr>
            <a:solidFill>
              <a:schemeClr val="accent5"/>
            </a:solidFill>
            <a:ln>
              <a:noFill/>
            </a:ln>
            <a:effectLst/>
          </c:spPr>
          <c:invertIfNegative val="0"/>
          <c:cat>
            <c:strRef>
              <c:f>scan测试!$H$2:$J$2</c:f>
              <c:strCache>
                <c:ptCount val="3"/>
                <c:pt idx="0">
                  <c:v>单库</c:v>
                </c:pt>
                <c:pt idx="1">
                  <c:v>4库</c:v>
                </c:pt>
                <c:pt idx="2">
                  <c:v>8库</c:v>
                </c:pt>
              </c:strCache>
            </c:strRef>
          </c:cat>
          <c:val>
            <c:numRef>
              <c:f>scan测试!$H$7:$J$7</c:f>
              <c:numCache>
                <c:formatCode>General</c:formatCode>
                <c:ptCount val="3"/>
                <c:pt idx="0">
                  <c:v>42526</c:v>
                </c:pt>
                <c:pt idx="1">
                  <c:v>55517</c:v>
                </c:pt>
                <c:pt idx="2">
                  <c:v>35456</c:v>
                </c:pt>
              </c:numCache>
            </c:numRef>
          </c:val>
          <c:extLst>
            <c:ext xmlns:c16="http://schemas.microsoft.com/office/drawing/2014/chart" uri="{C3380CC4-5D6E-409C-BE32-E72D297353CC}">
              <c16:uniqueId val="{00000004-D213-4B80-956F-04CE0D69AC07}"/>
            </c:ext>
          </c:extLst>
        </c:ser>
        <c:dLbls>
          <c:showLegendKey val="0"/>
          <c:showVal val="0"/>
          <c:showCatName val="0"/>
          <c:showSerName val="0"/>
          <c:showPercent val="0"/>
          <c:showBubbleSize val="0"/>
        </c:dLbls>
        <c:gapWidth val="219"/>
        <c:overlap val="-27"/>
        <c:axId val="673151855"/>
        <c:axId val="812041967"/>
      </c:barChart>
      <c:catAx>
        <c:axId val="67315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12041967"/>
        <c:crosses val="autoZero"/>
        <c:auto val="1"/>
        <c:lblAlgn val="ctr"/>
        <c:lblOffset val="100"/>
        <c:noMultiLvlLbl val="0"/>
      </c:catAx>
      <c:valAx>
        <c:axId val="81204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73151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scan测试!$A$3</c:f>
              <c:strCache>
                <c:ptCount val="1"/>
                <c:pt idx="0">
                  <c:v>0</c:v>
                </c:pt>
              </c:strCache>
            </c:strRef>
          </c:tx>
          <c:spPr>
            <a:solidFill>
              <a:schemeClr val="accent1"/>
            </a:solidFill>
            <a:ln>
              <a:noFill/>
            </a:ln>
            <a:effectLst/>
          </c:spPr>
          <c:invertIfNegative val="0"/>
          <c:cat>
            <c:strRef>
              <c:f>scan测试!$B$2:$D$2</c:f>
              <c:strCache>
                <c:ptCount val="3"/>
                <c:pt idx="0">
                  <c:v>单库</c:v>
                </c:pt>
                <c:pt idx="1">
                  <c:v>4库</c:v>
                </c:pt>
                <c:pt idx="2">
                  <c:v>8库</c:v>
                </c:pt>
              </c:strCache>
            </c:strRef>
          </c:cat>
          <c:val>
            <c:numRef>
              <c:f>scan测试!$B$3:$D$3</c:f>
              <c:numCache>
                <c:formatCode>General</c:formatCode>
                <c:ptCount val="3"/>
                <c:pt idx="0">
                  <c:v>46020</c:v>
                </c:pt>
                <c:pt idx="1">
                  <c:v>34040</c:v>
                </c:pt>
                <c:pt idx="2">
                  <c:v>96020</c:v>
                </c:pt>
              </c:numCache>
            </c:numRef>
          </c:val>
          <c:extLst>
            <c:ext xmlns:c16="http://schemas.microsoft.com/office/drawing/2014/chart" uri="{C3380CC4-5D6E-409C-BE32-E72D297353CC}">
              <c16:uniqueId val="{00000000-4426-4BAA-8182-5EBCEF59F4E8}"/>
            </c:ext>
          </c:extLst>
        </c:ser>
        <c:ser>
          <c:idx val="1"/>
          <c:order val="1"/>
          <c:tx>
            <c:strRef>
              <c:f>scan测试!$A$4</c:f>
              <c:strCache>
                <c:ptCount val="1"/>
                <c:pt idx="0">
                  <c:v>1</c:v>
                </c:pt>
              </c:strCache>
            </c:strRef>
          </c:tx>
          <c:spPr>
            <a:solidFill>
              <a:schemeClr val="accent2"/>
            </a:solidFill>
            <a:ln>
              <a:noFill/>
            </a:ln>
            <a:effectLst/>
          </c:spPr>
          <c:invertIfNegative val="0"/>
          <c:cat>
            <c:strRef>
              <c:f>scan测试!$B$2:$D$2</c:f>
              <c:strCache>
                <c:ptCount val="3"/>
                <c:pt idx="0">
                  <c:v>单库</c:v>
                </c:pt>
                <c:pt idx="1">
                  <c:v>4库</c:v>
                </c:pt>
                <c:pt idx="2">
                  <c:v>8库</c:v>
                </c:pt>
              </c:strCache>
            </c:strRef>
          </c:cat>
          <c:val>
            <c:numRef>
              <c:f>scan测试!$B$4:$D$4</c:f>
              <c:numCache>
                <c:formatCode>General</c:formatCode>
                <c:ptCount val="3"/>
                <c:pt idx="0">
                  <c:v>46432</c:v>
                </c:pt>
                <c:pt idx="1">
                  <c:v>33359</c:v>
                </c:pt>
                <c:pt idx="2">
                  <c:v>97627</c:v>
                </c:pt>
              </c:numCache>
            </c:numRef>
          </c:val>
          <c:extLst>
            <c:ext xmlns:c16="http://schemas.microsoft.com/office/drawing/2014/chart" uri="{C3380CC4-5D6E-409C-BE32-E72D297353CC}">
              <c16:uniqueId val="{00000001-4426-4BAA-8182-5EBCEF59F4E8}"/>
            </c:ext>
          </c:extLst>
        </c:ser>
        <c:ser>
          <c:idx val="2"/>
          <c:order val="2"/>
          <c:tx>
            <c:strRef>
              <c:f>scan测试!$A$5</c:f>
              <c:strCache>
                <c:ptCount val="1"/>
                <c:pt idx="0">
                  <c:v>20</c:v>
                </c:pt>
              </c:strCache>
            </c:strRef>
          </c:tx>
          <c:spPr>
            <a:solidFill>
              <a:schemeClr val="accent3"/>
            </a:solidFill>
            <a:ln>
              <a:noFill/>
            </a:ln>
            <a:effectLst/>
          </c:spPr>
          <c:invertIfNegative val="0"/>
          <c:cat>
            <c:strRef>
              <c:f>scan测试!$B$2:$D$2</c:f>
              <c:strCache>
                <c:ptCount val="3"/>
                <c:pt idx="0">
                  <c:v>单库</c:v>
                </c:pt>
                <c:pt idx="1">
                  <c:v>4库</c:v>
                </c:pt>
                <c:pt idx="2">
                  <c:v>8库</c:v>
                </c:pt>
              </c:strCache>
            </c:strRef>
          </c:cat>
          <c:val>
            <c:numRef>
              <c:f>scan测试!$B$5:$D$5</c:f>
              <c:numCache>
                <c:formatCode>General</c:formatCode>
                <c:ptCount val="3"/>
                <c:pt idx="0">
                  <c:v>38476</c:v>
                </c:pt>
                <c:pt idx="1">
                  <c:v>28589</c:v>
                </c:pt>
                <c:pt idx="2">
                  <c:v>61589</c:v>
                </c:pt>
              </c:numCache>
            </c:numRef>
          </c:val>
          <c:extLst>
            <c:ext xmlns:c16="http://schemas.microsoft.com/office/drawing/2014/chart" uri="{C3380CC4-5D6E-409C-BE32-E72D297353CC}">
              <c16:uniqueId val="{00000002-4426-4BAA-8182-5EBCEF59F4E8}"/>
            </c:ext>
          </c:extLst>
        </c:ser>
        <c:ser>
          <c:idx val="3"/>
          <c:order val="3"/>
          <c:tx>
            <c:strRef>
              <c:f>scan测试!$A$6</c:f>
              <c:strCache>
                <c:ptCount val="1"/>
                <c:pt idx="0">
                  <c:v>50</c:v>
                </c:pt>
              </c:strCache>
            </c:strRef>
          </c:tx>
          <c:spPr>
            <a:solidFill>
              <a:schemeClr val="accent4"/>
            </a:solidFill>
            <a:ln>
              <a:noFill/>
            </a:ln>
            <a:effectLst/>
          </c:spPr>
          <c:invertIfNegative val="0"/>
          <c:cat>
            <c:strRef>
              <c:f>scan测试!$B$2:$D$2</c:f>
              <c:strCache>
                <c:ptCount val="3"/>
                <c:pt idx="0">
                  <c:v>单库</c:v>
                </c:pt>
                <c:pt idx="1">
                  <c:v>4库</c:v>
                </c:pt>
                <c:pt idx="2">
                  <c:v>8库</c:v>
                </c:pt>
              </c:strCache>
            </c:strRef>
          </c:cat>
          <c:val>
            <c:numRef>
              <c:f>scan测试!$B$6:$D$6</c:f>
              <c:numCache>
                <c:formatCode>General</c:formatCode>
                <c:ptCount val="3"/>
                <c:pt idx="0">
                  <c:v>31158</c:v>
                </c:pt>
                <c:pt idx="1">
                  <c:v>22515</c:v>
                </c:pt>
                <c:pt idx="2">
                  <c:v>43244</c:v>
                </c:pt>
              </c:numCache>
            </c:numRef>
          </c:val>
          <c:extLst>
            <c:ext xmlns:c16="http://schemas.microsoft.com/office/drawing/2014/chart" uri="{C3380CC4-5D6E-409C-BE32-E72D297353CC}">
              <c16:uniqueId val="{00000003-4426-4BAA-8182-5EBCEF59F4E8}"/>
            </c:ext>
          </c:extLst>
        </c:ser>
        <c:ser>
          <c:idx val="4"/>
          <c:order val="4"/>
          <c:tx>
            <c:strRef>
              <c:f>scan测试!$A$7</c:f>
              <c:strCache>
                <c:ptCount val="1"/>
                <c:pt idx="0">
                  <c:v>100</c:v>
                </c:pt>
              </c:strCache>
            </c:strRef>
          </c:tx>
          <c:spPr>
            <a:solidFill>
              <a:schemeClr val="accent5"/>
            </a:solidFill>
            <a:ln>
              <a:noFill/>
            </a:ln>
            <a:effectLst/>
          </c:spPr>
          <c:invertIfNegative val="0"/>
          <c:cat>
            <c:strRef>
              <c:f>scan测试!$B$2:$D$2</c:f>
              <c:strCache>
                <c:ptCount val="3"/>
                <c:pt idx="0">
                  <c:v>单库</c:v>
                </c:pt>
                <c:pt idx="1">
                  <c:v>4库</c:v>
                </c:pt>
                <c:pt idx="2">
                  <c:v>8库</c:v>
                </c:pt>
              </c:strCache>
            </c:strRef>
          </c:cat>
          <c:val>
            <c:numRef>
              <c:f>scan测试!$B$7:$D$7</c:f>
              <c:numCache>
                <c:formatCode>General</c:formatCode>
                <c:ptCount val="3"/>
                <c:pt idx="0">
                  <c:v>23514</c:v>
                </c:pt>
                <c:pt idx="1">
                  <c:v>18012</c:v>
                </c:pt>
                <c:pt idx="2">
                  <c:v>28203</c:v>
                </c:pt>
              </c:numCache>
            </c:numRef>
          </c:val>
          <c:extLst>
            <c:ext xmlns:c16="http://schemas.microsoft.com/office/drawing/2014/chart" uri="{C3380CC4-5D6E-409C-BE32-E72D297353CC}">
              <c16:uniqueId val="{00000004-4426-4BAA-8182-5EBCEF59F4E8}"/>
            </c:ext>
          </c:extLst>
        </c:ser>
        <c:dLbls>
          <c:showLegendKey val="0"/>
          <c:showVal val="0"/>
          <c:showCatName val="0"/>
          <c:showSerName val="0"/>
          <c:showPercent val="0"/>
          <c:showBubbleSize val="0"/>
        </c:dLbls>
        <c:gapWidth val="219"/>
        <c:overlap val="-27"/>
        <c:axId val="673938271"/>
        <c:axId val="812051951"/>
      </c:barChart>
      <c:catAx>
        <c:axId val="67393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12051951"/>
        <c:crosses val="autoZero"/>
        <c:auto val="1"/>
        <c:lblAlgn val="ctr"/>
        <c:lblOffset val="100"/>
        <c:noMultiLvlLbl val="0"/>
      </c:catAx>
      <c:valAx>
        <c:axId val="81205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73938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scan测试!$A$24</c:f>
              <c:strCache>
                <c:ptCount val="1"/>
                <c:pt idx="0">
                  <c:v>0</c:v>
                </c:pt>
              </c:strCache>
            </c:strRef>
          </c:tx>
          <c:spPr>
            <a:solidFill>
              <a:schemeClr val="accent1"/>
            </a:solidFill>
            <a:ln>
              <a:noFill/>
            </a:ln>
            <a:effectLst/>
          </c:spPr>
          <c:invertIfNegative val="0"/>
          <c:cat>
            <c:strRef>
              <c:extLst>
                <c:ext xmlns:c15="http://schemas.microsoft.com/office/drawing/2012/chart" uri="{02D57815-91ED-43cb-92C2-25804820EDAC}">
                  <c15:fullRef>
                    <c15:sqref>scan测试!$A$23:$D$23</c15:sqref>
                  </c15:fullRef>
                </c:ext>
              </c:extLst>
              <c:f>scan测试!$B$23:$D$23</c:f>
              <c:strCache>
                <c:ptCount val="3"/>
                <c:pt idx="0">
                  <c:v>单库</c:v>
                </c:pt>
                <c:pt idx="1">
                  <c:v>4库</c:v>
                </c:pt>
                <c:pt idx="2">
                  <c:v>8库</c:v>
                </c:pt>
              </c:strCache>
            </c:strRef>
          </c:cat>
          <c:val>
            <c:numRef>
              <c:extLst>
                <c:ext xmlns:c15="http://schemas.microsoft.com/office/drawing/2012/chart" uri="{02D57815-91ED-43cb-92C2-25804820EDAC}">
                  <c15:fullRef>
                    <c15:sqref>scan测试!$A$24:$D$24</c15:sqref>
                  </c15:fullRef>
                </c:ext>
              </c:extLst>
              <c:f>scan测试!$B$24:$D$24</c:f>
              <c:numCache>
                <c:formatCode>General</c:formatCode>
                <c:ptCount val="3"/>
                <c:pt idx="0">
                  <c:v>46020</c:v>
                </c:pt>
                <c:pt idx="1">
                  <c:v>40376</c:v>
                </c:pt>
                <c:pt idx="2">
                  <c:v>35059</c:v>
                </c:pt>
              </c:numCache>
            </c:numRef>
          </c:val>
          <c:extLst>
            <c:ext xmlns:c16="http://schemas.microsoft.com/office/drawing/2014/chart" uri="{C3380CC4-5D6E-409C-BE32-E72D297353CC}">
              <c16:uniqueId val="{00000000-3CDF-4DE7-BE6E-9EDBB2203EA7}"/>
            </c:ext>
          </c:extLst>
        </c:ser>
        <c:ser>
          <c:idx val="1"/>
          <c:order val="1"/>
          <c:tx>
            <c:strRef>
              <c:f>scan测试!$A$25</c:f>
              <c:strCache>
                <c:ptCount val="1"/>
                <c:pt idx="0">
                  <c:v>1</c:v>
                </c:pt>
              </c:strCache>
            </c:strRef>
          </c:tx>
          <c:spPr>
            <a:solidFill>
              <a:schemeClr val="accent2"/>
            </a:solidFill>
            <a:ln>
              <a:noFill/>
            </a:ln>
            <a:effectLst/>
          </c:spPr>
          <c:invertIfNegative val="0"/>
          <c:cat>
            <c:strRef>
              <c:extLst>
                <c:ext xmlns:c15="http://schemas.microsoft.com/office/drawing/2012/chart" uri="{02D57815-91ED-43cb-92C2-25804820EDAC}">
                  <c15:fullRef>
                    <c15:sqref>scan测试!$A$23:$D$23</c15:sqref>
                  </c15:fullRef>
                </c:ext>
              </c:extLst>
              <c:f>scan测试!$B$23:$D$23</c:f>
              <c:strCache>
                <c:ptCount val="3"/>
                <c:pt idx="0">
                  <c:v>单库</c:v>
                </c:pt>
                <c:pt idx="1">
                  <c:v>4库</c:v>
                </c:pt>
                <c:pt idx="2">
                  <c:v>8库</c:v>
                </c:pt>
              </c:strCache>
            </c:strRef>
          </c:cat>
          <c:val>
            <c:numRef>
              <c:extLst>
                <c:ext xmlns:c15="http://schemas.microsoft.com/office/drawing/2012/chart" uri="{02D57815-91ED-43cb-92C2-25804820EDAC}">
                  <c15:fullRef>
                    <c15:sqref>scan测试!$A$25:$D$25</c15:sqref>
                  </c15:fullRef>
                </c:ext>
              </c:extLst>
              <c:f>scan测试!$B$25:$D$25</c:f>
              <c:numCache>
                <c:formatCode>General</c:formatCode>
                <c:ptCount val="3"/>
                <c:pt idx="0">
                  <c:v>46432</c:v>
                </c:pt>
                <c:pt idx="1">
                  <c:v>38998</c:v>
                </c:pt>
                <c:pt idx="2">
                  <c:v>35068</c:v>
                </c:pt>
              </c:numCache>
            </c:numRef>
          </c:val>
          <c:extLst>
            <c:ext xmlns:c16="http://schemas.microsoft.com/office/drawing/2014/chart" uri="{C3380CC4-5D6E-409C-BE32-E72D297353CC}">
              <c16:uniqueId val="{00000001-3CDF-4DE7-BE6E-9EDBB2203EA7}"/>
            </c:ext>
          </c:extLst>
        </c:ser>
        <c:ser>
          <c:idx val="2"/>
          <c:order val="2"/>
          <c:tx>
            <c:strRef>
              <c:f>scan测试!$A$26</c:f>
              <c:strCache>
                <c:ptCount val="1"/>
                <c:pt idx="0">
                  <c:v>20</c:v>
                </c:pt>
              </c:strCache>
            </c:strRef>
          </c:tx>
          <c:spPr>
            <a:solidFill>
              <a:schemeClr val="accent3"/>
            </a:solidFill>
            <a:ln>
              <a:noFill/>
            </a:ln>
            <a:effectLst/>
          </c:spPr>
          <c:invertIfNegative val="0"/>
          <c:cat>
            <c:strRef>
              <c:extLst>
                <c:ext xmlns:c15="http://schemas.microsoft.com/office/drawing/2012/chart" uri="{02D57815-91ED-43cb-92C2-25804820EDAC}">
                  <c15:fullRef>
                    <c15:sqref>scan测试!$A$23:$D$23</c15:sqref>
                  </c15:fullRef>
                </c:ext>
              </c:extLst>
              <c:f>scan测试!$B$23:$D$23</c:f>
              <c:strCache>
                <c:ptCount val="3"/>
                <c:pt idx="0">
                  <c:v>单库</c:v>
                </c:pt>
                <c:pt idx="1">
                  <c:v>4库</c:v>
                </c:pt>
                <c:pt idx="2">
                  <c:v>8库</c:v>
                </c:pt>
              </c:strCache>
            </c:strRef>
          </c:cat>
          <c:val>
            <c:numRef>
              <c:extLst>
                <c:ext xmlns:c15="http://schemas.microsoft.com/office/drawing/2012/chart" uri="{02D57815-91ED-43cb-92C2-25804820EDAC}">
                  <c15:fullRef>
                    <c15:sqref>scan测试!$A$26:$D$26</c15:sqref>
                  </c15:fullRef>
                </c:ext>
              </c:extLst>
              <c:f>scan测试!$B$26:$D$26</c:f>
              <c:numCache>
                <c:formatCode>General</c:formatCode>
                <c:ptCount val="3"/>
                <c:pt idx="0">
                  <c:v>38476</c:v>
                </c:pt>
                <c:pt idx="1">
                  <c:v>32568</c:v>
                </c:pt>
                <c:pt idx="2">
                  <c:v>28809</c:v>
                </c:pt>
              </c:numCache>
            </c:numRef>
          </c:val>
          <c:extLst>
            <c:ext xmlns:c16="http://schemas.microsoft.com/office/drawing/2014/chart" uri="{C3380CC4-5D6E-409C-BE32-E72D297353CC}">
              <c16:uniqueId val="{00000005-3CDF-4DE7-BE6E-9EDBB2203EA7}"/>
            </c:ext>
          </c:extLst>
        </c:ser>
        <c:ser>
          <c:idx val="3"/>
          <c:order val="3"/>
          <c:tx>
            <c:strRef>
              <c:f>scan测试!$A$27</c:f>
              <c:strCache>
                <c:ptCount val="1"/>
                <c:pt idx="0">
                  <c:v>50</c:v>
                </c:pt>
              </c:strCache>
            </c:strRef>
          </c:tx>
          <c:spPr>
            <a:solidFill>
              <a:schemeClr val="accent4"/>
            </a:solidFill>
            <a:ln>
              <a:noFill/>
            </a:ln>
            <a:effectLst/>
          </c:spPr>
          <c:invertIfNegative val="0"/>
          <c:cat>
            <c:strRef>
              <c:extLst>
                <c:ext xmlns:c15="http://schemas.microsoft.com/office/drawing/2012/chart" uri="{02D57815-91ED-43cb-92C2-25804820EDAC}">
                  <c15:fullRef>
                    <c15:sqref>scan测试!$A$23:$D$23</c15:sqref>
                  </c15:fullRef>
                </c:ext>
              </c:extLst>
              <c:f>scan测试!$B$23:$D$23</c:f>
              <c:strCache>
                <c:ptCount val="3"/>
                <c:pt idx="0">
                  <c:v>单库</c:v>
                </c:pt>
                <c:pt idx="1">
                  <c:v>4库</c:v>
                </c:pt>
                <c:pt idx="2">
                  <c:v>8库</c:v>
                </c:pt>
              </c:strCache>
            </c:strRef>
          </c:cat>
          <c:val>
            <c:numRef>
              <c:extLst>
                <c:ext xmlns:c15="http://schemas.microsoft.com/office/drawing/2012/chart" uri="{02D57815-91ED-43cb-92C2-25804820EDAC}">
                  <c15:fullRef>
                    <c15:sqref>scan测试!$A$27:$D$27</c15:sqref>
                  </c15:fullRef>
                </c:ext>
              </c:extLst>
              <c:f>scan测试!$B$27:$D$27</c:f>
              <c:numCache>
                <c:formatCode>General</c:formatCode>
                <c:ptCount val="3"/>
                <c:pt idx="0">
                  <c:v>31158</c:v>
                </c:pt>
                <c:pt idx="1">
                  <c:v>26454</c:v>
                </c:pt>
                <c:pt idx="2">
                  <c:v>23159</c:v>
                </c:pt>
              </c:numCache>
            </c:numRef>
          </c:val>
          <c:extLst>
            <c:ext xmlns:c16="http://schemas.microsoft.com/office/drawing/2014/chart" uri="{C3380CC4-5D6E-409C-BE32-E72D297353CC}">
              <c16:uniqueId val="{00000006-3CDF-4DE7-BE6E-9EDBB2203EA7}"/>
            </c:ext>
          </c:extLst>
        </c:ser>
        <c:ser>
          <c:idx val="4"/>
          <c:order val="4"/>
          <c:tx>
            <c:strRef>
              <c:f>scan测试!$A$28</c:f>
              <c:strCache>
                <c:ptCount val="1"/>
                <c:pt idx="0">
                  <c:v>100</c:v>
                </c:pt>
              </c:strCache>
            </c:strRef>
          </c:tx>
          <c:spPr>
            <a:solidFill>
              <a:schemeClr val="accent5"/>
            </a:solidFill>
            <a:ln>
              <a:noFill/>
            </a:ln>
            <a:effectLst/>
          </c:spPr>
          <c:invertIfNegative val="0"/>
          <c:cat>
            <c:strRef>
              <c:extLst>
                <c:ext xmlns:c15="http://schemas.microsoft.com/office/drawing/2012/chart" uri="{02D57815-91ED-43cb-92C2-25804820EDAC}">
                  <c15:fullRef>
                    <c15:sqref>scan测试!$A$23:$D$23</c15:sqref>
                  </c15:fullRef>
                </c:ext>
              </c:extLst>
              <c:f>scan测试!$B$23:$D$23</c:f>
              <c:strCache>
                <c:ptCount val="3"/>
                <c:pt idx="0">
                  <c:v>单库</c:v>
                </c:pt>
                <c:pt idx="1">
                  <c:v>4库</c:v>
                </c:pt>
                <c:pt idx="2">
                  <c:v>8库</c:v>
                </c:pt>
              </c:strCache>
            </c:strRef>
          </c:cat>
          <c:val>
            <c:numRef>
              <c:extLst>
                <c:ext xmlns:c15="http://schemas.microsoft.com/office/drawing/2012/chart" uri="{02D57815-91ED-43cb-92C2-25804820EDAC}">
                  <c15:fullRef>
                    <c15:sqref>scan测试!$A$28:$D$28</c15:sqref>
                  </c15:fullRef>
                </c:ext>
              </c:extLst>
              <c:f>scan测试!$B$28:$D$28</c:f>
              <c:numCache>
                <c:formatCode>General</c:formatCode>
                <c:ptCount val="3"/>
                <c:pt idx="0">
                  <c:v>23514</c:v>
                </c:pt>
                <c:pt idx="1">
                  <c:v>20057</c:v>
                </c:pt>
                <c:pt idx="2">
                  <c:v>17632</c:v>
                </c:pt>
              </c:numCache>
            </c:numRef>
          </c:val>
          <c:extLst>
            <c:ext xmlns:c16="http://schemas.microsoft.com/office/drawing/2014/chart" uri="{C3380CC4-5D6E-409C-BE32-E72D297353CC}">
              <c16:uniqueId val="{00000007-3CDF-4DE7-BE6E-9EDBB2203EA7}"/>
            </c:ext>
          </c:extLst>
        </c:ser>
        <c:dLbls>
          <c:showLegendKey val="0"/>
          <c:showVal val="0"/>
          <c:showCatName val="0"/>
          <c:showSerName val="0"/>
          <c:showPercent val="0"/>
          <c:showBubbleSize val="0"/>
        </c:dLbls>
        <c:gapWidth val="219"/>
        <c:overlap val="-27"/>
        <c:axId val="673938271"/>
        <c:axId val="812051951"/>
      </c:barChart>
      <c:catAx>
        <c:axId val="67393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12051951"/>
        <c:crosses val="autoZero"/>
        <c:auto val="1"/>
        <c:lblAlgn val="ctr"/>
        <c:lblOffset val="100"/>
        <c:noMultiLvlLbl val="0"/>
      </c:catAx>
      <c:valAx>
        <c:axId val="81205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739382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延迟</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scan测试!$F$24</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scan测试!$G$23:$I$23</c:f>
              <c:strCache>
                <c:ptCount val="3"/>
                <c:pt idx="0">
                  <c:v>单库</c:v>
                </c:pt>
                <c:pt idx="1">
                  <c:v>4库</c:v>
                </c:pt>
                <c:pt idx="2">
                  <c:v>8库</c:v>
                </c:pt>
              </c:strCache>
            </c:strRef>
          </c:cat>
          <c:val>
            <c:numRef>
              <c:f>scan测试!$G$24:$I$24</c:f>
              <c:numCache>
                <c:formatCode>General</c:formatCode>
                <c:ptCount val="3"/>
                <c:pt idx="0">
                  <c:v>21729</c:v>
                </c:pt>
                <c:pt idx="1">
                  <c:v>24767</c:v>
                </c:pt>
                <c:pt idx="2">
                  <c:v>28523</c:v>
                </c:pt>
              </c:numCache>
            </c:numRef>
          </c:val>
          <c:extLst>
            <c:ext xmlns:c16="http://schemas.microsoft.com/office/drawing/2014/chart" uri="{C3380CC4-5D6E-409C-BE32-E72D297353CC}">
              <c16:uniqueId val="{00000000-88E8-4BFF-9713-02C54F898E34}"/>
            </c:ext>
          </c:extLst>
        </c:ser>
        <c:ser>
          <c:idx val="1"/>
          <c:order val="1"/>
          <c:tx>
            <c:strRef>
              <c:f>scan测试!$F$25</c:f>
              <c:strCache>
                <c:ptCount val="1"/>
                <c:pt idx="0">
                  <c:v>1</c:v>
                </c:pt>
              </c:strCache>
            </c:strRef>
          </c:tx>
          <c:spPr>
            <a:solidFill>
              <a:schemeClr val="accent2"/>
            </a:solidFill>
            <a:ln>
              <a:noFill/>
            </a:ln>
            <a:effectLst/>
          </c:spPr>
          <c:invertIfNegative val="0"/>
          <c:cat>
            <c:strRef>
              <c:f>scan测试!$G$23:$I$23</c:f>
              <c:strCache>
                <c:ptCount val="3"/>
                <c:pt idx="0">
                  <c:v>单库</c:v>
                </c:pt>
                <c:pt idx="1">
                  <c:v>4库</c:v>
                </c:pt>
                <c:pt idx="2">
                  <c:v>8库</c:v>
                </c:pt>
              </c:strCache>
            </c:strRef>
          </c:cat>
          <c:val>
            <c:numRef>
              <c:f>scan测试!$G$25:$I$25</c:f>
              <c:numCache>
                <c:formatCode>General</c:formatCode>
                <c:ptCount val="3"/>
                <c:pt idx="0">
                  <c:v>21536</c:v>
                </c:pt>
                <c:pt idx="1">
                  <c:v>25641</c:v>
                </c:pt>
                <c:pt idx="2">
                  <c:v>28515</c:v>
                </c:pt>
              </c:numCache>
            </c:numRef>
          </c:val>
          <c:extLst>
            <c:ext xmlns:c16="http://schemas.microsoft.com/office/drawing/2014/chart" uri="{C3380CC4-5D6E-409C-BE32-E72D297353CC}">
              <c16:uniqueId val="{00000001-88E8-4BFF-9713-02C54F898E34}"/>
            </c:ext>
          </c:extLst>
        </c:ser>
        <c:ser>
          <c:idx val="2"/>
          <c:order val="2"/>
          <c:tx>
            <c:strRef>
              <c:f>scan测试!$F$26</c:f>
              <c:strCache>
                <c:ptCount val="1"/>
                <c:pt idx="0">
                  <c:v>20</c:v>
                </c:pt>
              </c:strCache>
            </c:strRef>
          </c:tx>
          <c:spPr>
            <a:solidFill>
              <a:schemeClr val="accent3"/>
            </a:solidFill>
            <a:ln>
              <a:noFill/>
            </a:ln>
            <a:effectLst/>
          </c:spPr>
          <c:invertIfNegative val="0"/>
          <c:cat>
            <c:strRef>
              <c:f>scan测试!$G$23:$I$23</c:f>
              <c:strCache>
                <c:ptCount val="3"/>
                <c:pt idx="0">
                  <c:v>单库</c:v>
                </c:pt>
                <c:pt idx="1">
                  <c:v>4库</c:v>
                </c:pt>
                <c:pt idx="2">
                  <c:v>8库</c:v>
                </c:pt>
              </c:strCache>
            </c:strRef>
          </c:cat>
          <c:val>
            <c:numRef>
              <c:f>scan测试!$G$26:$I$26</c:f>
              <c:numCache>
                <c:formatCode>General</c:formatCode>
                <c:ptCount val="3"/>
                <c:pt idx="0">
                  <c:v>25989</c:v>
                </c:pt>
                <c:pt idx="1">
                  <c:v>30704</c:v>
                </c:pt>
                <c:pt idx="2">
                  <c:v>34710</c:v>
                </c:pt>
              </c:numCache>
            </c:numRef>
          </c:val>
          <c:extLst>
            <c:ext xmlns:c16="http://schemas.microsoft.com/office/drawing/2014/chart" uri="{C3380CC4-5D6E-409C-BE32-E72D297353CC}">
              <c16:uniqueId val="{00000002-88E8-4BFF-9713-02C54F898E34}"/>
            </c:ext>
          </c:extLst>
        </c:ser>
        <c:ser>
          <c:idx val="3"/>
          <c:order val="3"/>
          <c:tx>
            <c:strRef>
              <c:f>scan测试!$F$27</c:f>
              <c:strCache>
                <c:ptCount val="1"/>
                <c:pt idx="0">
                  <c:v>50</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scan测试!$G$23:$I$23</c:f>
              <c:strCache>
                <c:ptCount val="3"/>
                <c:pt idx="0">
                  <c:v>单库</c:v>
                </c:pt>
                <c:pt idx="1">
                  <c:v>4库</c:v>
                </c:pt>
                <c:pt idx="2">
                  <c:v>8库</c:v>
                </c:pt>
              </c:strCache>
            </c:strRef>
          </c:cat>
          <c:val>
            <c:numRef>
              <c:f>scan测试!$G$27:$I$27</c:f>
              <c:numCache>
                <c:formatCode>General</c:formatCode>
                <c:ptCount val="3"/>
                <c:pt idx="0">
                  <c:v>32094</c:v>
                </c:pt>
                <c:pt idx="1">
                  <c:v>37800</c:v>
                </c:pt>
                <c:pt idx="2">
                  <c:v>43178</c:v>
                </c:pt>
              </c:numCache>
            </c:numRef>
          </c:val>
          <c:extLst>
            <c:ext xmlns:c16="http://schemas.microsoft.com/office/drawing/2014/chart" uri="{C3380CC4-5D6E-409C-BE32-E72D297353CC}">
              <c16:uniqueId val="{00000003-88E8-4BFF-9713-02C54F898E34}"/>
            </c:ext>
          </c:extLst>
        </c:ser>
        <c:ser>
          <c:idx val="4"/>
          <c:order val="4"/>
          <c:tx>
            <c:strRef>
              <c:f>scan测试!$F$28</c:f>
              <c:strCache>
                <c:ptCount val="1"/>
                <c:pt idx="0">
                  <c:v>100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scan测试!$G$23:$I$23</c:f>
              <c:strCache>
                <c:ptCount val="3"/>
                <c:pt idx="0">
                  <c:v>单库</c:v>
                </c:pt>
                <c:pt idx="1">
                  <c:v>4库</c:v>
                </c:pt>
                <c:pt idx="2">
                  <c:v>8库</c:v>
                </c:pt>
              </c:strCache>
            </c:strRef>
          </c:cat>
          <c:val>
            <c:numRef>
              <c:f>scan测试!$G$28:$I$28</c:f>
              <c:numCache>
                <c:formatCode>General</c:formatCode>
                <c:ptCount val="3"/>
                <c:pt idx="0">
                  <c:v>42526</c:v>
                </c:pt>
                <c:pt idx="1">
                  <c:v>49855</c:v>
                </c:pt>
                <c:pt idx="2">
                  <c:v>56714</c:v>
                </c:pt>
              </c:numCache>
            </c:numRef>
          </c:val>
          <c:extLst>
            <c:ext xmlns:c16="http://schemas.microsoft.com/office/drawing/2014/chart" uri="{C3380CC4-5D6E-409C-BE32-E72D297353CC}">
              <c16:uniqueId val="{00000004-88E8-4BFF-9713-02C54F898E34}"/>
            </c:ext>
          </c:extLst>
        </c:ser>
        <c:dLbls>
          <c:showLegendKey val="0"/>
          <c:showVal val="0"/>
          <c:showCatName val="0"/>
          <c:showSerName val="0"/>
          <c:showPercent val="0"/>
          <c:showBubbleSize val="0"/>
        </c:dLbls>
        <c:gapWidth val="219"/>
        <c:overlap val="-27"/>
        <c:axId val="673151855"/>
        <c:axId val="812041967"/>
      </c:barChart>
      <c:catAx>
        <c:axId val="67315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12041967"/>
        <c:crosses val="autoZero"/>
        <c:auto val="1"/>
        <c:lblAlgn val="ctr"/>
        <c:lblOffset val="100"/>
        <c:noMultiLvlLbl val="0"/>
      </c:catAx>
      <c:valAx>
        <c:axId val="81204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73151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scan测试!$F$48</c:f>
              <c:strCache>
                <c:ptCount val="1"/>
                <c:pt idx="0">
                  <c:v>0</c:v>
                </c:pt>
              </c:strCache>
            </c:strRef>
          </c:tx>
          <c:spPr>
            <a:solidFill>
              <a:schemeClr val="accent1"/>
            </a:solidFill>
            <a:ln>
              <a:noFill/>
            </a:ln>
            <a:effectLst/>
          </c:spPr>
          <c:invertIfNegative val="0"/>
          <c:cat>
            <c:strRef>
              <c:f>scan测试!$G$47:$J$47</c:f>
              <c:strCache>
                <c:ptCount val="4"/>
                <c:pt idx="0">
                  <c:v>单库</c:v>
                </c:pt>
                <c:pt idx="1">
                  <c:v>4库</c:v>
                </c:pt>
                <c:pt idx="2">
                  <c:v>8库</c:v>
                </c:pt>
                <c:pt idx="3">
                  <c:v>8库均摊</c:v>
                </c:pt>
              </c:strCache>
            </c:strRef>
          </c:cat>
          <c:val>
            <c:numRef>
              <c:f>scan测试!$G$48:$J$48</c:f>
              <c:numCache>
                <c:formatCode>General</c:formatCode>
                <c:ptCount val="4"/>
                <c:pt idx="0">
                  <c:v>32002</c:v>
                </c:pt>
                <c:pt idx="1">
                  <c:v>35800</c:v>
                </c:pt>
                <c:pt idx="2">
                  <c:v>34107</c:v>
                </c:pt>
                <c:pt idx="3">
                  <c:v>21397</c:v>
                </c:pt>
              </c:numCache>
            </c:numRef>
          </c:val>
          <c:extLst>
            <c:ext xmlns:c16="http://schemas.microsoft.com/office/drawing/2014/chart" uri="{C3380CC4-5D6E-409C-BE32-E72D297353CC}">
              <c16:uniqueId val="{00000000-1E91-4D9B-9C4C-B8244EF1BB99}"/>
            </c:ext>
          </c:extLst>
        </c:ser>
        <c:ser>
          <c:idx val="1"/>
          <c:order val="1"/>
          <c:tx>
            <c:strRef>
              <c:f>scan测试!$F$49</c:f>
              <c:strCache>
                <c:ptCount val="1"/>
                <c:pt idx="0">
                  <c:v>25</c:v>
                </c:pt>
              </c:strCache>
            </c:strRef>
          </c:tx>
          <c:spPr>
            <a:solidFill>
              <a:schemeClr val="accent2"/>
            </a:solidFill>
            <a:ln>
              <a:noFill/>
            </a:ln>
            <a:effectLst/>
          </c:spPr>
          <c:invertIfNegative val="0"/>
          <c:cat>
            <c:strRef>
              <c:f>scan测试!$G$47:$J$47</c:f>
              <c:strCache>
                <c:ptCount val="4"/>
                <c:pt idx="0">
                  <c:v>单库</c:v>
                </c:pt>
                <c:pt idx="1">
                  <c:v>4库</c:v>
                </c:pt>
                <c:pt idx="2">
                  <c:v>8库</c:v>
                </c:pt>
                <c:pt idx="3">
                  <c:v>8库均摊</c:v>
                </c:pt>
              </c:strCache>
            </c:strRef>
          </c:cat>
          <c:val>
            <c:numRef>
              <c:f>scan测试!$G$49:$J$49</c:f>
              <c:numCache>
                <c:formatCode>General</c:formatCode>
                <c:ptCount val="4"/>
                <c:pt idx="0">
                  <c:v>44950</c:v>
                </c:pt>
                <c:pt idx="1">
                  <c:v>52277</c:v>
                </c:pt>
                <c:pt idx="2">
                  <c:v>51875</c:v>
                </c:pt>
                <c:pt idx="3">
                  <c:v>30370</c:v>
                </c:pt>
              </c:numCache>
            </c:numRef>
          </c:val>
          <c:extLst>
            <c:ext xmlns:c16="http://schemas.microsoft.com/office/drawing/2014/chart" uri="{C3380CC4-5D6E-409C-BE32-E72D297353CC}">
              <c16:uniqueId val="{00000001-1E91-4D9B-9C4C-B8244EF1BB99}"/>
            </c:ext>
          </c:extLst>
        </c:ser>
        <c:ser>
          <c:idx val="2"/>
          <c:order val="2"/>
          <c:tx>
            <c:strRef>
              <c:f>scan测试!$F$50</c:f>
              <c:strCache>
                <c:ptCount val="1"/>
                <c:pt idx="0">
                  <c:v>50</c:v>
                </c:pt>
              </c:strCache>
            </c:strRef>
          </c:tx>
          <c:spPr>
            <a:solidFill>
              <a:schemeClr val="accent3"/>
            </a:solidFill>
            <a:ln>
              <a:noFill/>
            </a:ln>
            <a:effectLst/>
          </c:spPr>
          <c:invertIfNegative val="0"/>
          <c:cat>
            <c:strRef>
              <c:f>scan测试!$G$47:$J$47</c:f>
              <c:strCache>
                <c:ptCount val="4"/>
                <c:pt idx="0">
                  <c:v>单库</c:v>
                </c:pt>
                <c:pt idx="1">
                  <c:v>4库</c:v>
                </c:pt>
                <c:pt idx="2">
                  <c:v>8库</c:v>
                </c:pt>
                <c:pt idx="3">
                  <c:v>8库均摊</c:v>
                </c:pt>
              </c:strCache>
            </c:strRef>
          </c:cat>
          <c:val>
            <c:numRef>
              <c:f>scan测试!$G$50:$J$50</c:f>
              <c:numCache>
                <c:formatCode>General</c:formatCode>
                <c:ptCount val="4"/>
                <c:pt idx="0">
                  <c:v>57600</c:v>
                </c:pt>
                <c:pt idx="1">
                  <c:v>62901</c:v>
                </c:pt>
                <c:pt idx="2">
                  <c:v>64807</c:v>
                </c:pt>
                <c:pt idx="3">
                  <c:v>35411</c:v>
                </c:pt>
              </c:numCache>
            </c:numRef>
          </c:val>
          <c:extLst>
            <c:ext xmlns:c16="http://schemas.microsoft.com/office/drawing/2014/chart" uri="{C3380CC4-5D6E-409C-BE32-E72D297353CC}">
              <c16:uniqueId val="{00000002-1E91-4D9B-9C4C-B8244EF1BB99}"/>
            </c:ext>
          </c:extLst>
        </c:ser>
        <c:ser>
          <c:idx val="3"/>
          <c:order val="3"/>
          <c:tx>
            <c:strRef>
              <c:f>scan测试!$F$51</c:f>
              <c:strCache>
                <c:ptCount val="1"/>
                <c:pt idx="0">
                  <c:v>100</c:v>
                </c:pt>
              </c:strCache>
            </c:strRef>
          </c:tx>
          <c:spPr>
            <a:solidFill>
              <a:schemeClr val="accent4"/>
            </a:solidFill>
            <a:ln>
              <a:noFill/>
            </a:ln>
            <a:effectLst/>
          </c:spPr>
          <c:invertIfNegative val="0"/>
          <c:cat>
            <c:strRef>
              <c:f>scan测试!$G$47:$J$47</c:f>
              <c:strCache>
                <c:ptCount val="4"/>
                <c:pt idx="0">
                  <c:v>单库</c:v>
                </c:pt>
                <c:pt idx="1">
                  <c:v>4库</c:v>
                </c:pt>
                <c:pt idx="2">
                  <c:v>8库</c:v>
                </c:pt>
                <c:pt idx="3">
                  <c:v>8库均摊</c:v>
                </c:pt>
              </c:strCache>
            </c:strRef>
          </c:cat>
          <c:val>
            <c:numRef>
              <c:f>scan测试!$G$51:$J$51</c:f>
              <c:numCache>
                <c:formatCode>General</c:formatCode>
                <c:ptCount val="4"/>
                <c:pt idx="0">
                  <c:v>69631</c:v>
                </c:pt>
                <c:pt idx="1">
                  <c:v>80359</c:v>
                </c:pt>
                <c:pt idx="2">
                  <c:v>83085</c:v>
                </c:pt>
                <c:pt idx="3">
                  <c:v>50667</c:v>
                </c:pt>
              </c:numCache>
            </c:numRef>
          </c:val>
          <c:extLst>
            <c:ext xmlns:c16="http://schemas.microsoft.com/office/drawing/2014/chart" uri="{C3380CC4-5D6E-409C-BE32-E72D297353CC}">
              <c16:uniqueId val="{00000003-1E91-4D9B-9C4C-B8244EF1BB99}"/>
            </c:ext>
          </c:extLst>
        </c:ser>
        <c:dLbls>
          <c:showLegendKey val="0"/>
          <c:showVal val="0"/>
          <c:showCatName val="0"/>
          <c:showSerName val="0"/>
          <c:showPercent val="0"/>
          <c:showBubbleSize val="0"/>
        </c:dLbls>
        <c:gapWidth val="219"/>
        <c:overlap val="-27"/>
        <c:axId val="815940335"/>
        <c:axId val="560876959"/>
      </c:barChart>
      <c:catAx>
        <c:axId val="81594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60876959"/>
        <c:crosses val="autoZero"/>
        <c:auto val="1"/>
        <c:lblAlgn val="ctr"/>
        <c:lblOffset val="100"/>
        <c:noMultiLvlLbl val="0"/>
      </c:catAx>
      <c:valAx>
        <c:axId val="560876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159403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QPS of scan or range query</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scan测试!$O$60</c:f>
              <c:strCache>
                <c:ptCount val="1"/>
                <c:pt idx="0">
                  <c:v>RocksDB</c:v>
                </c:pt>
              </c:strCache>
            </c:strRef>
          </c:tx>
          <c:spPr>
            <a:solidFill>
              <a:schemeClr val="accent1"/>
            </a:solidFill>
            <a:ln>
              <a:noFill/>
            </a:ln>
            <a:effectLst/>
          </c:spPr>
          <c:invertIfNegative val="0"/>
          <c:cat>
            <c:strRef>
              <c:f>scan测试!$N$61:$N$65</c:f>
              <c:strCache>
                <c:ptCount val="5"/>
                <c:pt idx="0">
                  <c:v>rangequery 100</c:v>
                </c:pt>
                <c:pt idx="1">
                  <c:v>scan 25</c:v>
                </c:pt>
                <c:pt idx="2">
                  <c:v>scan 50</c:v>
                </c:pt>
                <c:pt idx="3">
                  <c:v>scan 100</c:v>
                </c:pt>
                <c:pt idx="4">
                  <c:v>scan 1000</c:v>
                </c:pt>
              </c:strCache>
            </c:strRef>
          </c:cat>
          <c:val>
            <c:numRef>
              <c:f>scan测试!$O$61:$O$65</c:f>
              <c:numCache>
                <c:formatCode>General</c:formatCode>
                <c:ptCount val="5"/>
                <c:pt idx="0">
                  <c:v>12177</c:v>
                </c:pt>
                <c:pt idx="1">
                  <c:v>17048</c:v>
                </c:pt>
                <c:pt idx="2">
                  <c:v>14915</c:v>
                </c:pt>
                <c:pt idx="3">
                  <c:v>11323</c:v>
                </c:pt>
                <c:pt idx="4">
                  <c:v>3848</c:v>
                </c:pt>
              </c:numCache>
            </c:numRef>
          </c:val>
          <c:extLst>
            <c:ext xmlns:c16="http://schemas.microsoft.com/office/drawing/2014/chart" uri="{C3380CC4-5D6E-409C-BE32-E72D297353CC}">
              <c16:uniqueId val="{00000000-2176-48FA-B087-E7562705F85F}"/>
            </c:ext>
          </c:extLst>
        </c:ser>
        <c:ser>
          <c:idx val="1"/>
          <c:order val="1"/>
          <c:tx>
            <c:strRef>
              <c:f>scan测试!$P$60</c:f>
              <c:strCache>
                <c:ptCount val="1"/>
                <c:pt idx="0">
                  <c:v>xxx-4</c:v>
                </c:pt>
              </c:strCache>
            </c:strRef>
          </c:tx>
          <c:spPr>
            <a:solidFill>
              <a:schemeClr val="accent2"/>
            </a:solidFill>
            <a:ln>
              <a:noFill/>
            </a:ln>
            <a:effectLst/>
          </c:spPr>
          <c:invertIfNegative val="0"/>
          <c:cat>
            <c:strRef>
              <c:f>scan测试!$N$61:$N$65</c:f>
              <c:strCache>
                <c:ptCount val="5"/>
                <c:pt idx="0">
                  <c:v>rangequery 100</c:v>
                </c:pt>
                <c:pt idx="1">
                  <c:v>scan 25</c:v>
                </c:pt>
                <c:pt idx="2">
                  <c:v>scan 50</c:v>
                </c:pt>
                <c:pt idx="3">
                  <c:v>scan 100</c:v>
                </c:pt>
                <c:pt idx="4">
                  <c:v>scan 1000</c:v>
                </c:pt>
              </c:strCache>
            </c:strRef>
          </c:cat>
          <c:val>
            <c:numRef>
              <c:f>scan测试!$P$61:$P$65</c:f>
              <c:numCache>
                <c:formatCode>General</c:formatCode>
                <c:ptCount val="5"/>
                <c:pt idx="0">
                  <c:v>23724</c:v>
                </c:pt>
                <c:pt idx="1">
                  <c:v>23806</c:v>
                </c:pt>
                <c:pt idx="2">
                  <c:v>18384</c:v>
                </c:pt>
                <c:pt idx="3">
                  <c:v>14675</c:v>
                </c:pt>
                <c:pt idx="4">
                  <c:v>3731</c:v>
                </c:pt>
              </c:numCache>
            </c:numRef>
          </c:val>
          <c:extLst>
            <c:ext xmlns:c16="http://schemas.microsoft.com/office/drawing/2014/chart" uri="{C3380CC4-5D6E-409C-BE32-E72D297353CC}">
              <c16:uniqueId val="{00000001-2176-48FA-B087-E7562705F85F}"/>
            </c:ext>
          </c:extLst>
        </c:ser>
        <c:ser>
          <c:idx val="2"/>
          <c:order val="2"/>
          <c:tx>
            <c:strRef>
              <c:f>scan测试!$Q$60</c:f>
              <c:strCache>
                <c:ptCount val="1"/>
                <c:pt idx="0">
                  <c:v>xxx-8</c:v>
                </c:pt>
              </c:strCache>
            </c:strRef>
          </c:tx>
          <c:spPr>
            <a:solidFill>
              <a:schemeClr val="accent3"/>
            </a:solidFill>
            <a:ln>
              <a:noFill/>
            </a:ln>
            <a:effectLst/>
          </c:spPr>
          <c:invertIfNegative val="0"/>
          <c:cat>
            <c:strRef>
              <c:f>scan测试!$N$61:$N$65</c:f>
              <c:strCache>
                <c:ptCount val="5"/>
                <c:pt idx="0">
                  <c:v>rangequery 100</c:v>
                </c:pt>
                <c:pt idx="1">
                  <c:v>scan 25</c:v>
                </c:pt>
                <c:pt idx="2">
                  <c:v>scan 50</c:v>
                </c:pt>
                <c:pt idx="3">
                  <c:v>scan 100</c:v>
                </c:pt>
                <c:pt idx="4">
                  <c:v>scan 1000</c:v>
                </c:pt>
              </c:strCache>
            </c:strRef>
          </c:cat>
          <c:val>
            <c:numRef>
              <c:f>scan测试!$Q$61:$Q$65</c:f>
              <c:numCache>
                <c:formatCode>General</c:formatCode>
                <c:ptCount val="5"/>
                <c:pt idx="0">
                  <c:v>28837</c:v>
                </c:pt>
                <c:pt idx="1">
                  <c:v>24757</c:v>
                </c:pt>
                <c:pt idx="2">
                  <c:v>20931</c:v>
                </c:pt>
                <c:pt idx="3">
                  <c:v>16471</c:v>
                </c:pt>
                <c:pt idx="4">
                  <c:v>3433</c:v>
                </c:pt>
              </c:numCache>
            </c:numRef>
          </c:val>
          <c:extLst>
            <c:ext xmlns:c16="http://schemas.microsoft.com/office/drawing/2014/chart" uri="{C3380CC4-5D6E-409C-BE32-E72D297353CC}">
              <c16:uniqueId val="{00000002-2176-48FA-B087-E7562705F85F}"/>
            </c:ext>
          </c:extLst>
        </c:ser>
        <c:dLbls>
          <c:showLegendKey val="0"/>
          <c:showVal val="0"/>
          <c:showCatName val="0"/>
          <c:showSerName val="0"/>
          <c:showPercent val="0"/>
          <c:showBubbleSize val="0"/>
        </c:dLbls>
        <c:gapWidth val="219"/>
        <c:overlap val="-27"/>
        <c:axId val="1066540176"/>
        <c:axId val="1024975488"/>
      </c:barChart>
      <c:catAx>
        <c:axId val="106654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24975488"/>
        <c:crosses val="autoZero"/>
        <c:auto val="1"/>
        <c:lblAlgn val="ctr"/>
        <c:lblOffset val="100"/>
        <c:noMultiLvlLbl val="0"/>
      </c:catAx>
      <c:valAx>
        <c:axId val="102497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66540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82522132919915"/>
          <c:y val="7.2314776854302029E-2"/>
          <c:w val="0.75617477867080085"/>
          <c:h val="0.76728928809544517"/>
        </c:manualLayout>
      </c:layout>
      <c:barChart>
        <c:barDir val="col"/>
        <c:grouping val="clustered"/>
        <c:varyColors val="0"/>
        <c:ser>
          <c:idx val="0"/>
          <c:order val="0"/>
          <c:tx>
            <c:strRef>
              <c:f>多介质下KV不同!$H$53</c:f>
              <c:strCache>
                <c:ptCount val="1"/>
                <c:pt idx="0">
                  <c:v>HDD</c:v>
                </c:pt>
              </c:strCache>
            </c:strRef>
          </c:tx>
          <c:spPr>
            <a:solidFill>
              <a:schemeClr val="accent1"/>
            </a:solidFill>
            <a:ln>
              <a:noFill/>
            </a:ln>
            <a:effectLst/>
          </c:spPr>
          <c:invertIfNegative val="0"/>
          <c:cat>
            <c:strRef>
              <c:f>多介质下KV不同!$L$52</c:f>
              <c:strCache>
                <c:ptCount val="1"/>
                <c:pt idx="0">
                  <c:v>Seq Read</c:v>
                </c:pt>
              </c:strCache>
            </c:strRef>
          </c:cat>
          <c:val>
            <c:numRef>
              <c:f>多介质下KV不同!$L$53</c:f>
              <c:numCache>
                <c:formatCode>General</c:formatCode>
                <c:ptCount val="1"/>
                <c:pt idx="0">
                  <c:v>433</c:v>
                </c:pt>
              </c:numCache>
            </c:numRef>
          </c:val>
          <c:extLst>
            <c:ext xmlns:c16="http://schemas.microsoft.com/office/drawing/2014/chart" uri="{C3380CC4-5D6E-409C-BE32-E72D297353CC}">
              <c16:uniqueId val="{00000000-12E1-4408-9F64-BC805D7E0E2E}"/>
            </c:ext>
          </c:extLst>
        </c:ser>
        <c:ser>
          <c:idx val="1"/>
          <c:order val="1"/>
          <c:tx>
            <c:strRef>
              <c:f>多介质下KV不同!$H$54</c:f>
              <c:strCache>
                <c:ptCount val="1"/>
                <c:pt idx="0">
                  <c:v>Flash-based SSD</c:v>
                </c:pt>
              </c:strCache>
            </c:strRef>
          </c:tx>
          <c:spPr>
            <a:solidFill>
              <a:schemeClr val="accent2"/>
            </a:solidFill>
            <a:ln>
              <a:noFill/>
            </a:ln>
            <a:effectLst/>
          </c:spPr>
          <c:invertIfNegative val="0"/>
          <c:cat>
            <c:strRef>
              <c:f>多介质下KV不同!$L$52</c:f>
              <c:strCache>
                <c:ptCount val="1"/>
                <c:pt idx="0">
                  <c:v>Seq Read</c:v>
                </c:pt>
              </c:strCache>
            </c:strRef>
          </c:cat>
          <c:val>
            <c:numRef>
              <c:f>多介质下KV不同!$L$57</c:f>
              <c:numCache>
                <c:formatCode>General</c:formatCode>
                <c:ptCount val="1"/>
                <c:pt idx="0">
                  <c:v>2203</c:v>
                </c:pt>
              </c:numCache>
            </c:numRef>
          </c:val>
          <c:extLst>
            <c:ext xmlns:c16="http://schemas.microsoft.com/office/drawing/2014/chart" uri="{C3380CC4-5D6E-409C-BE32-E72D297353CC}">
              <c16:uniqueId val="{00000004-12E1-4408-9F64-BC805D7E0E2E}"/>
            </c:ext>
          </c:extLst>
        </c:ser>
        <c:ser>
          <c:idx val="2"/>
          <c:order val="2"/>
          <c:tx>
            <c:strRef>
              <c:f>多介质下KV不同!$H$55</c:f>
              <c:strCache>
                <c:ptCount val="1"/>
                <c:pt idx="0">
                  <c:v>Optane SSD</c:v>
                </c:pt>
              </c:strCache>
            </c:strRef>
          </c:tx>
          <c:spPr>
            <a:solidFill>
              <a:schemeClr val="accent3"/>
            </a:solidFill>
            <a:ln>
              <a:noFill/>
            </a:ln>
            <a:effectLst/>
          </c:spPr>
          <c:invertIfNegative val="0"/>
          <c:cat>
            <c:strRef>
              <c:f>多介质下KV不同!$L$52</c:f>
              <c:strCache>
                <c:ptCount val="1"/>
                <c:pt idx="0">
                  <c:v>Seq Read</c:v>
                </c:pt>
              </c:strCache>
            </c:strRef>
          </c:cat>
          <c:val>
            <c:numRef>
              <c:f>多介质下KV不同!$L$55</c:f>
              <c:numCache>
                <c:formatCode>General</c:formatCode>
                <c:ptCount val="1"/>
                <c:pt idx="0">
                  <c:v>1972</c:v>
                </c:pt>
              </c:numCache>
            </c:numRef>
          </c:val>
          <c:extLst>
            <c:ext xmlns:c16="http://schemas.microsoft.com/office/drawing/2014/chart" uri="{C3380CC4-5D6E-409C-BE32-E72D297353CC}">
              <c16:uniqueId val="{00000005-12E1-4408-9F64-BC805D7E0E2E}"/>
            </c:ext>
          </c:extLst>
        </c:ser>
        <c:dLbls>
          <c:showLegendKey val="0"/>
          <c:showVal val="0"/>
          <c:showCatName val="0"/>
          <c:showSerName val="0"/>
          <c:showPercent val="0"/>
          <c:showBubbleSize val="0"/>
        </c:dLbls>
        <c:gapWidth val="219"/>
        <c:overlap val="-27"/>
        <c:axId val="339772720"/>
        <c:axId val="475430480"/>
      </c:barChart>
      <c:catAx>
        <c:axId val="33977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altLang="en-US" sz="900" b="0" i="0" u="none" strike="noStrike" kern="1200" baseline="0">
                <a:solidFill>
                  <a:schemeClr val="tx2"/>
                </a:solidFill>
                <a:latin typeface="+mn-lt"/>
                <a:ea typeface="+mn-ea"/>
                <a:cs typeface="+mn-cs"/>
              </a:defRPr>
            </a:pPr>
            <a:endParaRPr lang="zh-CN"/>
          </a:p>
        </c:txPr>
        <c:crossAx val="475430480"/>
        <c:crosses val="autoZero"/>
        <c:auto val="1"/>
        <c:lblAlgn val="ctr"/>
        <c:lblOffset val="100"/>
        <c:noMultiLvlLbl val="0"/>
      </c:catAx>
      <c:valAx>
        <c:axId val="47543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altLang="en-US" sz="900" b="0" i="0" u="none" strike="noStrike" kern="1200" baseline="0">
                <a:solidFill>
                  <a:schemeClr val="tx2"/>
                </a:solidFill>
                <a:latin typeface="+mn-lt"/>
                <a:ea typeface="+mn-ea"/>
                <a:cs typeface="+mn-cs"/>
              </a:defRPr>
            </a:pPr>
            <a:endParaRPr lang="zh-CN"/>
          </a:p>
        </c:txPr>
        <c:crossAx val="33977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27000"/>
    </a:effectLst>
  </c:spPr>
  <c:txPr>
    <a:bodyPr/>
    <a:lstStyle/>
    <a:p>
      <a:pPr>
        <a:defRPr lang="zh-CN" altLang="en-US" sz="900" b="0" i="0" u="none" strike="noStrike" kern="1200" baseline="0">
          <a:solidFill>
            <a:schemeClr val="tx2"/>
          </a:solidFill>
          <a:latin typeface="+mn-lt"/>
          <a:ea typeface="+mn-ea"/>
          <a:cs typeface="+mn-cs"/>
        </a:defRPr>
      </a:pPr>
      <a:endParaRPr lang="zh-CN"/>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Bandwidth utilization</a:t>
            </a:r>
            <a:r>
              <a:rPr lang="en-US" altLang="zh-CN" baseline="0"/>
              <a:t> (</a:t>
            </a:r>
            <a:r>
              <a:rPr lang="en-US" altLang="zh-CN"/>
              <a:t>MB/s)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6.5829955091278966E-2"/>
          <c:y val="0.12635638761339538"/>
          <c:w val="0.91307756128815099"/>
          <c:h val="0.66639311049308114"/>
        </c:manualLayout>
      </c:layout>
      <c:lineChart>
        <c:grouping val="standard"/>
        <c:varyColors val="0"/>
        <c:ser>
          <c:idx val="0"/>
          <c:order val="0"/>
          <c:tx>
            <c:strRef>
              <c:f>新带宽占用pKVS!$E$3</c:f>
              <c:strCache>
                <c:ptCount val="1"/>
                <c:pt idx="0">
                  <c:v>RocksDB</c:v>
                </c:pt>
              </c:strCache>
            </c:strRef>
          </c:tx>
          <c:spPr>
            <a:ln w="28575" cap="rnd">
              <a:solidFill>
                <a:schemeClr val="accent1"/>
              </a:solidFill>
              <a:round/>
            </a:ln>
            <a:effectLst/>
          </c:spPr>
          <c:marker>
            <c:symbol val="none"/>
          </c:marker>
          <c:val>
            <c:numRef>
              <c:f>新带宽占用pKVS!$E$4:$E$23</c:f>
              <c:numCache>
                <c:formatCode>General</c:formatCode>
                <c:ptCount val="20"/>
                <c:pt idx="0">
                  <c:v>0</c:v>
                </c:pt>
                <c:pt idx="1">
                  <c:v>30</c:v>
                </c:pt>
                <c:pt idx="2">
                  <c:v>112</c:v>
                </c:pt>
                <c:pt idx="3">
                  <c:v>108</c:v>
                </c:pt>
                <c:pt idx="4">
                  <c:v>112</c:v>
                </c:pt>
                <c:pt idx="5">
                  <c:v>112</c:v>
                </c:pt>
                <c:pt idx="6">
                  <c:v>112</c:v>
                </c:pt>
                <c:pt idx="7">
                  <c:v>112</c:v>
                </c:pt>
                <c:pt idx="8">
                  <c:v>112</c:v>
                </c:pt>
                <c:pt idx="9">
                  <c:v>112</c:v>
                </c:pt>
                <c:pt idx="10">
                  <c:v>138</c:v>
                </c:pt>
                <c:pt idx="11">
                  <c:v>133</c:v>
                </c:pt>
                <c:pt idx="12">
                  <c:v>112</c:v>
                </c:pt>
                <c:pt idx="13">
                  <c:v>112</c:v>
                </c:pt>
                <c:pt idx="14">
                  <c:v>108</c:v>
                </c:pt>
                <c:pt idx="15">
                  <c:v>112</c:v>
                </c:pt>
                <c:pt idx="16">
                  <c:v>112</c:v>
                </c:pt>
                <c:pt idx="17">
                  <c:v>112</c:v>
                </c:pt>
                <c:pt idx="18">
                  <c:v>112</c:v>
                </c:pt>
                <c:pt idx="19">
                  <c:v>112</c:v>
                </c:pt>
              </c:numCache>
            </c:numRef>
          </c:val>
          <c:smooth val="0"/>
          <c:extLst>
            <c:ext xmlns:c16="http://schemas.microsoft.com/office/drawing/2014/chart" uri="{C3380CC4-5D6E-409C-BE32-E72D297353CC}">
              <c16:uniqueId val="{00000000-C6CA-423F-96FB-90C96314D6FD}"/>
            </c:ext>
          </c:extLst>
        </c:ser>
        <c:ser>
          <c:idx val="1"/>
          <c:order val="1"/>
          <c:tx>
            <c:strRef>
              <c:f>新带宽占用pKVS!$F$3</c:f>
              <c:strCache>
                <c:ptCount val="1"/>
                <c:pt idx="0">
                  <c:v>pKVS-4</c:v>
                </c:pt>
              </c:strCache>
            </c:strRef>
          </c:tx>
          <c:spPr>
            <a:ln w="28575" cap="rnd">
              <a:solidFill>
                <a:schemeClr val="accent2"/>
              </a:solidFill>
              <a:round/>
            </a:ln>
            <a:effectLst/>
          </c:spPr>
          <c:marker>
            <c:symbol val="none"/>
          </c:marker>
          <c:val>
            <c:numRef>
              <c:f>新带宽占用pKVS!$F$4:$F$23</c:f>
              <c:numCache>
                <c:formatCode>General</c:formatCode>
                <c:ptCount val="20"/>
                <c:pt idx="0">
                  <c:v>0</c:v>
                </c:pt>
                <c:pt idx="1">
                  <c:v>1316</c:v>
                </c:pt>
                <c:pt idx="2">
                  <c:v>1628</c:v>
                </c:pt>
                <c:pt idx="3">
                  <c:v>1495</c:v>
                </c:pt>
                <c:pt idx="4">
                  <c:v>1687</c:v>
                </c:pt>
                <c:pt idx="5">
                  <c:v>1658</c:v>
                </c:pt>
                <c:pt idx="6">
                  <c:v>1596</c:v>
                </c:pt>
                <c:pt idx="7">
                  <c:v>1666</c:v>
                </c:pt>
                <c:pt idx="8">
                  <c:v>1651</c:v>
                </c:pt>
                <c:pt idx="9">
                  <c:v>1619</c:v>
                </c:pt>
                <c:pt idx="10">
                  <c:v>1737</c:v>
                </c:pt>
                <c:pt idx="11">
                  <c:v>1680</c:v>
                </c:pt>
                <c:pt idx="12">
                  <c:v>1731</c:v>
                </c:pt>
                <c:pt idx="13">
                  <c:v>1739</c:v>
                </c:pt>
                <c:pt idx="14">
                  <c:v>1697</c:v>
                </c:pt>
                <c:pt idx="15">
                  <c:v>1564</c:v>
                </c:pt>
                <c:pt idx="16">
                  <c:v>166</c:v>
                </c:pt>
                <c:pt idx="17">
                  <c:v>0</c:v>
                </c:pt>
                <c:pt idx="19">
                  <c:v>24630</c:v>
                </c:pt>
              </c:numCache>
            </c:numRef>
          </c:val>
          <c:smooth val="0"/>
          <c:extLst>
            <c:ext xmlns:c16="http://schemas.microsoft.com/office/drawing/2014/chart" uri="{C3380CC4-5D6E-409C-BE32-E72D297353CC}">
              <c16:uniqueId val="{00000001-C6CA-423F-96FB-90C96314D6FD}"/>
            </c:ext>
          </c:extLst>
        </c:ser>
        <c:ser>
          <c:idx val="2"/>
          <c:order val="2"/>
          <c:tx>
            <c:strRef>
              <c:f>新带宽占用pKVS!$G$3</c:f>
              <c:strCache>
                <c:ptCount val="1"/>
                <c:pt idx="0">
                  <c:v>pKVS-8</c:v>
                </c:pt>
              </c:strCache>
            </c:strRef>
          </c:tx>
          <c:spPr>
            <a:ln w="28575" cap="rnd">
              <a:solidFill>
                <a:schemeClr val="accent3"/>
              </a:solidFill>
              <a:round/>
            </a:ln>
            <a:effectLst/>
          </c:spPr>
          <c:marker>
            <c:symbol val="none"/>
          </c:marker>
          <c:val>
            <c:numRef>
              <c:f>新带宽占用pKVS!$G$4:$G$23</c:f>
              <c:numCache>
                <c:formatCode>General</c:formatCode>
                <c:ptCount val="20"/>
                <c:pt idx="0">
                  <c:v>0</c:v>
                </c:pt>
                <c:pt idx="1">
                  <c:v>1297</c:v>
                </c:pt>
                <c:pt idx="2">
                  <c:v>2102</c:v>
                </c:pt>
                <c:pt idx="3">
                  <c:v>2108</c:v>
                </c:pt>
                <c:pt idx="4">
                  <c:v>2249</c:v>
                </c:pt>
                <c:pt idx="5">
                  <c:v>2308</c:v>
                </c:pt>
                <c:pt idx="6">
                  <c:v>2280</c:v>
                </c:pt>
                <c:pt idx="7">
                  <c:v>2309</c:v>
                </c:pt>
                <c:pt idx="8">
                  <c:v>2291</c:v>
                </c:pt>
                <c:pt idx="9">
                  <c:v>2304</c:v>
                </c:pt>
                <c:pt idx="10">
                  <c:v>2242</c:v>
                </c:pt>
                <c:pt idx="11">
                  <c:v>2234</c:v>
                </c:pt>
                <c:pt idx="12">
                  <c:v>744</c:v>
                </c:pt>
                <c:pt idx="13">
                  <c:v>0</c:v>
                </c:pt>
                <c:pt idx="19">
                  <c:v>24468</c:v>
                </c:pt>
              </c:numCache>
            </c:numRef>
          </c:val>
          <c:smooth val="0"/>
          <c:extLst>
            <c:ext xmlns:c16="http://schemas.microsoft.com/office/drawing/2014/chart" uri="{C3380CC4-5D6E-409C-BE32-E72D297353CC}">
              <c16:uniqueId val="{00000002-C6CA-423F-96FB-90C96314D6FD}"/>
            </c:ext>
          </c:extLst>
        </c:ser>
        <c:dLbls>
          <c:showLegendKey val="0"/>
          <c:showVal val="0"/>
          <c:showCatName val="0"/>
          <c:showSerName val="0"/>
          <c:showPercent val="0"/>
          <c:showBubbleSize val="0"/>
        </c:dLbls>
        <c:smooth val="0"/>
        <c:axId val="2086582336"/>
        <c:axId val="1934123136"/>
      </c:lineChart>
      <c:catAx>
        <c:axId val="20865823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4123136"/>
        <c:crosses val="autoZero"/>
        <c:auto val="1"/>
        <c:lblAlgn val="ctr"/>
        <c:lblOffset val="100"/>
        <c:noMultiLvlLbl val="0"/>
      </c:catAx>
      <c:valAx>
        <c:axId val="1934123136"/>
        <c:scaling>
          <c:orientation val="minMax"/>
          <c:max val="2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6582336"/>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Bandwidth utilization</a:t>
            </a:r>
            <a:r>
              <a:rPr lang="en-US" altLang="zh-CN" baseline="0"/>
              <a:t> (</a:t>
            </a:r>
            <a:r>
              <a:rPr lang="en-US" altLang="zh-CN"/>
              <a:t>MB/s)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9.205195610844831E-2"/>
          <c:y val="0.17356733429333224"/>
          <c:w val="0.88415326425508323"/>
          <c:h val="0.66230233185403098"/>
        </c:manualLayout>
      </c:layout>
      <c:lineChart>
        <c:grouping val="standard"/>
        <c:varyColors val="0"/>
        <c:ser>
          <c:idx val="0"/>
          <c:order val="0"/>
          <c:tx>
            <c:strRef>
              <c:f>新带宽占用pKVS!$R$2</c:f>
              <c:strCache>
                <c:ptCount val="1"/>
                <c:pt idx="0">
                  <c:v>RocksDB</c:v>
                </c:pt>
              </c:strCache>
            </c:strRef>
          </c:tx>
          <c:spPr>
            <a:ln w="28575" cap="rnd">
              <a:solidFill>
                <a:schemeClr val="accent1"/>
              </a:solidFill>
              <a:round/>
            </a:ln>
            <a:effectLst/>
          </c:spPr>
          <c:marker>
            <c:symbol val="none"/>
          </c:marker>
          <c:val>
            <c:numRef>
              <c:f>新带宽占用pKVS!$R$3:$R$80</c:f>
              <c:numCache>
                <c:formatCode>General</c:formatCode>
                <c:ptCount val="78"/>
                <c:pt idx="0">
                  <c:v>0</c:v>
                </c:pt>
                <c:pt idx="1">
                  <c:v>40</c:v>
                </c:pt>
                <c:pt idx="2">
                  <c:v>89</c:v>
                </c:pt>
                <c:pt idx="3">
                  <c:v>93</c:v>
                </c:pt>
                <c:pt idx="4">
                  <c:v>36</c:v>
                </c:pt>
                <c:pt idx="5">
                  <c:v>93</c:v>
                </c:pt>
                <c:pt idx="6">
                  <c:v>188</c:v>
                </c:pt>
                <c:pt idx="7">
                  <c:v>354</c:v>
                </c:pt>
                <c:pt idx="8">
                  <c:v>89</c:v>
                </c:pt>
                <c:pt idx="9">
                  <c:v>89</c:v>
                </c:pt>
                <c:pt idx="10">
                  <c:v>36</c:v>
                </c:pt>
                <c:pt idx="11">
                  <c:v>89</c:v>
                </c:pt>
                <c:pt idx="12">
                  <c:v>87</c:v>
                </c:pt>
                <c:pt idx="13">
                  <c:v>562</c:v>
                </c:pt>
                <c:pt idx="14">
                  <c:v>395</c:v>
                </c:pt>
                <c:pt idx="15">
                  <c:v>36</c:v>
                </c:pt>
                <c:pt idx="16">
                  <c:v>85</c:v>
                </c:pt>
                <c:pt idx="17">
                  <c:v>89</c:v>
                </c:pt>
                <c:pt idx="18">
                  <c:v>36</c:v>
                </c:pt>
                <c:pt idx="19">
                  <c:v>355</c:v>
                </c:pt>
                <c:pt idx="20">
                  <c:v>606</c:v>
                </c:pt>
                <c:pt idx="21">
                  <c:v>104</c:v>
                </c:pt>
                <c:pt idx="22">
                  <c:v>89</c:v>
                </c:pt>
                <c:pt idx="23">
                  <c:v>36</c:v>
                </c:pt>
                <c:pt idx="24">
                  <c:v>85</c:v>
                </c:pt>
                <c:pt idx="25">
                  <c:v>79</c:v>
                </c:pt>
                <c:pt idx="26">
                  <c:v>562</c:v>
                </c:pt>
                <c:pt idx="27">
                  <c:v>624</c:v>
                </c:pt>
                <c:pt idx="28">
                  <c:v>520</c:v>
                </c:pt>
                <c:pt idx="29">
                  <c:v>89</c:v>
                </c:pt>
                <c:pt idx="30">
                  <c:v>85</c:v>
                </c:pt>
                <c:pt idx="31">
                  <c:v>36</c:v>
                </c:pt>
                <c:pt idx="32">
                  <c:v>407</c:v>
                </c:pt>
                <c:pt idx="33">
                  <c:v>650</c:v>
                </c:pt>
                <c:pt idx="34">
                  <c:v>622</c:v>
                </c:pt>
                <c:pt idx="35">
                  <c:v>470</c:v>
                </c:pt>
                <c:pt idx="36">
                  <c:v>54</c:v>
                </c:pt>
                <c:pt idx="37">
                  <c:v>67</c:v>
                </c:pt>
                <c:pt idx="38">
                  <c:v>232</c:v>
                </c:pt>
                <c:pt idx="39">
                  <c:v>568</c:v>
                </c:pt>
                <c:pt idx="40">
                  <c:v>684</c:v>
                </c:pt>
                <c:pt idx="41">
                  <c:v>692</c:v>
                </c:pt>
                <c:pt idx="42">
                  <c:v>68</c:v>
                </c:pt>
                <c:pt idx="43">
                  <c:v>94</c:v>
                </c:pt>
                <c:pt idx="44">
                  <c:v>168</c:v>
                </c:pt>
                <c:pt idx="45">
                  <c:v>609</c:v>
                </c:pt>
                <c:pt idx="46">
                  <c:v>695</c:v>
                </c:pt>
                <c:pt idx="47">
                  <c:v>701</c:v>
                </c:pt>
                <c:pt idx="48">
                  <c:v>271</c:v>
                </c:pt>
                <c:pt idx="49">
                  <c:v>89</c:v>
                </c:pt>
                <c:pt idx="50">
                  <c:v>125</c:v>
                </c:pt>
                <c:pt idx="51">
                  <c:v>618</c:v>
                </c:pt>
                <c:pt idx="52">
                  <c:v>684</c:v>
                </c:pt>
                <c:pt idx="53">
                  <c:v>687</c:v>
                </c:pt>
                <c:pt idx="54">
                  <c:v>492</c:v>
                </c:pt>
                <c:pt idx="55">
                  <c:v>89</c:v>
                </c:pt>
                <c:pt idx="56">
                  <c:v>84</c:v>
                </c:pt>
                <c:pt idx="57">
                  <c:v>583</c:v>
                </c:pt>
                <c:pt idx="58">
                  <c:v>679</c:v>
                </c:pt>
                <c:pt idx="59">
                  <c:v>670</c:v>
                </c:pt>
                <c:pt idx="60">
                  <c:v>671</c:v>
                </c:pt>
                <c:pt idx="61">
                  <c:v>658</c:v>
                </c:pt>
                <c:pt idx="62">
                  <c:v>163</c:v>
                </c:pt>
                <c:pt idx="63">
                  <c:v>440</c:v>
                </c:pt>
                <c:pt idx="64">
                  <c:v>652</c:v>
                </c:pt>
                <c:pt idx="65">
                  <c:v>642</c:v>
                </c:pt>
                <c:pt idx="66">
                  <c:v>656</c:v>
                </c:pt>
                <c:pt idx="67">
                  <c:v>640</c:v>
                </c:pt>
                <c:pt idx="68">
                  <c:v>139</c:v>
                </c:pt>
                <c:pt idx="69">
                  <c:v>136</c:v>
                </c:pt>
                <c:pt idx="70">
                  <c:v>612</c:v>
                </c:pt>
                <c:pt idx="71">
                  <c:v>677</c:v>
                </c:pt>
                <c:pt idx="72">
                  <c:v>648</c:v>
                </c:pt>
                <c:pt idx="73">
                  <c:v>695</c:v>
                </c:pt>
                <c:pt idx="74">
                  <c:v>517</c:v>
                </c:pt>
                <c:pt idx="75">
                  <c:v>36</c:v>
                </c:pt>
                <c:pt idx="76">
                  <c:v>388</c:v>
                </c:pt>
                <c:pt idx="77">
                  <c:v>653</c:v>
                </c:pt>
              </c:numCache>
            </c:numRef>
          </c:val>
          <c:smooth val="0"/>
          <c:extLst>
            <c:ext xmlns:c16="http://schemas.microsoft.com/office/drawing/2014/chart" uri="{C3380CC4-5D6E-409C-BE32-E72D297353CC}">
              <c16:uniqueId val="{00000000-47E9-4AE0-8FF5-75D598F084E5}"/>
            </c:ext>
          </c:extLst>
        </c:ser>
        <c:ser>
          <c:idx val="1"/>
          <c:order val="1"/>
          <c:tx>
            <c:strRef>
              <c:f>新带宽占用pKVS!$S$2</c:f>
              <c:strCache>
                <c:ptCount val="1"/>
                <c:pt idx="0">
                  <c:v>pKVS-4</c:v>
                </c:pt>
              </c:strCache>
            </c:strRef>
          </c:tx>
          <c:spPr>
            <a:ln w="28575" cap="rnd">
              <a:solidFill>
                <a:schemeClr val="accent2"/>
              </a:solidFill>
              <a:round/>
            </a:ln>
            <a:effectLst/>
          </c:spPr>
          <c:marker>
            <c:symbol val="none"/>
          </c:marker>
          <c:val>
            <c:numRef>
              <c:f>新带宽占用pKVS!$S$3:$S$80</c:f>
              <c:numCache>
                <c:formatCode>General</c:formatCode>
                <c:ptCount val="78"/>
                <c:pt idx="0">
                  <c:v>0</c:v>
                </c:pt>
                <c:pt idx="1">
                  <c:v>184</c:v>
                </c:pt>
                <c:pt idx="2">
                  <c:v>614</c:v>
                </c:pt>
                <c:pt idx="3">
                  <c:v>515</c:v>
                </c:pt>
                <c:pt idx="4">
                  <c:v>1107</c:v>
                </c:pt>
                <c:pt idx="5">
                  <c:v>1515</c:v>
                </c:pt>
                <c:pt idx="6">
                  <c:v>504</c:v>
                </c:pt>
                <c:pt idx="7">
                  <c:v>866</c:v>
                </c:pt>
                <c:pt idx="8">
                  <c:v>2087</c:v>
                </c:pt>
                <c:pt idx="9">
                  <c:v>1875</c:v>
                </c:pt>
                <c:pt idx="10">
                  <c:v>617</c:v>
                </c:pt>
                <c:pt idx="11">
                  <c:v>1844</c:v>
                </c:pt>
                <c:pt idx="12">
                  <c:v>1966</c:v>
                </c:pt>
                <c:pt idx="13">
                  <c:v>905</c:v>
                </c:pt>
                <c:pt idx="14">
                  <c:v>1147</c:v>
                </c:pt>
                <c:pt idx="15">
                  <c:v>2054</c:v>
                </c:pt>
                <c:pt idx="16">
                  <c:v>2042</c:v>
                </c:pt>
                <c:pt idx="17">
                  <c:v>1964</c:v>
                </c:pt>
                <c:pt idx="18">
                  <c:v>2006</c:v>
                </c:pt>
                <c:pt idx="19">
                  <c:v>2070</c:v>
                </c:pt>
                <c:pt idx="20">
                  <c:v>2046</c:v>
                </c:pt>
                <c:pt idx="21">
                  <c:v>2081</c:v>
                </c:pt>
                <c:pt idx="22">
                  <c:v>2100</c:v>
                </c:pt>
                <c:pt idx="23">
                  <c:v>1960</c:v>
                </c:pt>
                <c:pt idx="24">
                  <c:v>2102</c:v>
                </c:pt>
                <c:pt idx="25">
                  <c:v>2031</c:v>
                </c:pt>
                <c:pt idx="26">
                  <c:v>2102</c:v>
                </c:pt>
                <c:pt idx="27">
                  <c:v>2074</c:v>
                </c:pt>
                <c:pt idx="28">
                  <c:v>2115</c:v>
                </c:pt>
                <c:pt idx="29">
                  <c:v>2039</c:v>
                </c:pt>
                <c:pt idx="30">
                  <c:v>2198</c:v>
                </c:pt>
                <c:pt idx="31">
                  <c:v>2118</c:v>
                </c:pt>
                <c:pt idx="32">
                  <c:v>2124</c:v>
                </c:pt>
                <c:pt idx="33">
                  <c:v>2106</c:v>
                </c:pt>
                <c:pt idx="34">
                  <c:v>2069</c:v>
                </c:pt>
                <c:pt idx="35">
                  <c:v>2006</c:v>
                </c:pt>
                <c:pt idx="36">
                  <c:v>2211</c:v>
                </c:pt>
                <c:pt idx="37">
                  <c:v>2220</c:v>
                </c:pt>
                <c:pt idx="38">
                  <c:v>2253</c:v>
                </c:pt>
                <c:pt idx="39">
                  <c:v>2101</c:v>
                </c:pt>
                <c:pt idx="40">
                  <c:v>2075</c:v>
                </c:pt>
                <c:pt idx="41">
                  <c:v>2087</c:v>
                </c:pt>
                <c:pt idx="42">
                  <c:v>2057</c:v>
                </c:pt>
                <c:pt idx="43">
                  <c:v>2045</c:v>
                </c:pt>
                <c:pt idx="44">
                  <c:v>2285</c:v>
                </c:pt>
                <c:pt idx="45">
                  <c:v>2325</c:v>
                </c:pt>
                <c:pt idx="46">
                  <c:v>2170</c:v>
                </c:pt>
                <c:pt idx="47">
                  <c:v>2283</c:v>
                </c:pt>
                <c:pt idx="48">
                  <c:v>2085</c:v>
                </c:pt>
                <c:pt idx="49">
                  <c:v>2069</c:v>
                </c:pt>
                <c:pt idx="50">
                  <c:v>2279</c:v>
                </c:pt>
                <c:pt idx="51">
                  <c:v>2379</c:v>
                </c:pt>
                <c:pt idx="52">
                  <c:v>2348</c:v>
                </c:pt>
                <c:pt idx="53">
                  <c:v>2348</c:v>
                </c:pt>
                <c:pt idx="54">
                  <c:v>2359</c:v>
                </c:pt>
                <c:pt idx="55">
                  <c:v>2360</c:v>
                </c:pt>
                <c:pt idx="56">
                  <c:v>2318</c:v>
                </c:pt>
                <c:pt idx="57">
                  <c:v>50</c:v>
                </c:pt>
                <c:pt idx="58">
                  <c:v>0</c:v>
                </c:pt>
                <c:pt idx="60">
                  <c:v>105860</c:v>
                </c:pt>
                <c:pt idx="61">
                  <c:v>8.2703124999999993</c:v>
                </c:pt>
              </c:numCache>
            </c:numRef>
          </c:val>
          <c:smooth val="0"/>
          <c:extLst>
            <c:ext xmlns:c16="http://schemas.microsoft.com/office/drawing/2014/chart" uri="{C3380CC4-5D6E-409C-BE32-E72D297353CC}">
              <c16:uniqueId val="{00000001-47E9-4AE0-8FF5-75D598F084E5}"/>
            </c:ext>
          </c:extLst>
        </c:ser>
        <c:ser>
          <c:idx val="2"/>
          <c:order val="2"/>
          <c:tx>
            <c:strRef>
              <c:f>新带宽占用pKVS!$T$2</c:f>
              <c:strCache>
                <c:ptCount val="1"/>
                <c:pt idx="0">
                  <c:v>pKVS-8</c:v>
                </c:pt>
              </c:strCache>
            </c:strRef>
          </c:tx>
          <c:spPr>
            <a:ln w="28575" cap="rnd">
              <a:solidFill>
                <a:schemeClr val="accent3"/>
              </a:solidFill>
              <a:round/>
            </a:ln>
            <a:effectLst/>
          </c:spPr>
          <c:marker>
            <c:symbol val="none"/>
          </c:marker>
          <c:val>
            <c:numRef>
              <c:f>新带宽占用pKVS!$T$3:$T$80</c:f>
              <c:numCache>
                <c:formatCode>General</c:formatCode>
                <c:ptCount val="78"/>
                <c:pt idx="0">
                  <c:v>0</c:v>
                </c:pt>
                <c:pt idx="1">
                  <c:v>324</c:v>
                </c:pt>
                <c:pt idx="2">
                  <c:v>834</c:v>
                </c:pt>
                <c:pt idx="3">
                  <c:v>862</c:v>
                </c:pt>
                <c:pt idx="4">
                  <c:v>945</c:v>
                </c:pt>
                <c:pt idx="5">
                  <c:v>2289</c:v>
                </c:pt>
                <c:pt idx="6">
                  <c:v>2355</c:v>
                </c:pt>
                <c:pt idx="7">
                  <c:v>1222</c:v>
                </c:pt>
                <c:pt idx="8">
                  <c:v>1011</c:v>
                </c:pt>
                <c:pt idx="9">
                  <c:v>2314</c:v>
                </c:pt>
                <c:pt idx="10">
                  <c:v>2353</c:v>
                </c:pt>
                <c:pt idx="11">
                  <c:v>2331</c:v>
                </c:pt>
                <c:pt idx="12">
                  <c:v>2325</c:v>
                </c:pt>
                <c:pt idx="13">
                  <c:v>2338</c:v>
                </c:pt>
                <c:pt idx="14">
                  <c:v>2326</c:v>
                </c:pt>
                <c:pt idx="15">
                  <c:v>2334</c:v>
                </c:pt>
                <c:pt idx="16">
                  <c:v>2317</c:v>
                </c:pt>
                <c:pt idx="17">
                  <c:v>2324</c:v>
                </c:pt>
                <c:pt idx="18">
                  <c:v>2316</c:v>
                </c:pt>
                <c:pt idx="19">
                  <c:v>2309</c:v>
                </c:pt>
                <c:pt idx="20">
                  <c:v>2311</c:v>
                </c:pt>
                <c:pt idx="21">
                  <c:v>2310</c:v>
                </c:pt>
                <c:pt idx="22">
                  <c:v>2310</c:v>
                </c:pt>
                <c:pt idx="23">
                  <c:v>2314</c:v>
                </c:pt>
                <c:pt idx="24">
                  <c:v>2326</c:v>
                </c:pt>
                <c:pt idx="25">
                  <c:v>2309</c:v>
                </c:pt>
                <c:pt idx="26">
                  <c:v>2304</c:v>
                </c:pt>
                <c:pt idx="27">
                  <c:v>2302</c:v>
                </c:pt>
                <c:pt idx="28">
                  <c:v>2309</c:v>
                </c:pt>
                <c:pt idx="29">
                  <c:v>2307</c:v>
                </c:pt>
                <c:pt idx="30">
                  <c:v>2303</c:v>
                </c:pt>
                <c:pt idx="31">
                  <c:v>2315</c:v>
                </c:pt>
                <c:pt idx="32">
                  <c:v>2341</c:v>
                </c:pt>
                <c:pt idx="33">
                  <c:v>1664</c:v>
                </c:pt>
                <c:pt idx="34">
                  <c:v>0</c:v>
                </c:pt>
                <c:pt idx="36">
                  <c:v>67154</c:v>
                </c:pt>
                <c:pt idx="37">
                  <c:v>5.2464062499999997</c:v>
                </c:pt>
              </c:numCache>
            </c:numRef>
          </c:val>
          <c:smooth val="0"/>
          <c:extLst>
            <c:ext xmlns:c16="http://schemas.microsoft.com/office/drawing/2014/chart" uri="{C3380CC4-5D6E-409C-BE32-E72D297353CC}">
              <c16:uniqueId val="{00000002-47E9-4AE0-8FF5-75D598F084E5}"/>
            </c:ext>
          </c:extLst>
        </c:ser>
        <c:dLbls>
          <c:showLegendKey val="0"/>
          <c:showVal val="0"/>
          <c:showCatName val="0"/>
          <c:showSerName val="0"/>
          <c:showPercent val="0"/>
          <c:showBubbleSize val="0"/>
        </c:dLbls>
        <c:smooth val="0"/>
        <c:axId val="2086582336"/>
        <c:axId val="1934123136"/>
      </c:lineChart>
      <c:catAx>
        <c:axId val="20865823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4123136"/>
        <c:crosses val="autoZero"/>
        <c:auto val="1"/>
        <c:lblAlgn val="ctr"/>
        <c:lblOffset val="100"/>
        <c:tickLblSkip val="10"/>
        <c:noMultiLvlLbl val="0"/>
      </c:catAx>
      <c:valAx>
        <c:axId val="1934123136"/>
        <c:scaling>
          <c:orientation val="minMax"/>
          <c:max val="26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6582336"/>
        <c:crosses val="autoZero"/>
        <c:crossBetween val="between"/>
      </c:valAx>
      <c:spPr>
        <a:noFill/>
        <a:ln>
          <a:solidFill>
            <a:schemeClr val="tx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42978970480513"/>
          <c:y val="5.1703858654900244E-2"/>
          <c:w val="0.82055408880570957"/>
          <c:h val="0.74159152080512225"/>
        </c:manualLayout>
      </c:layout>
      <c:scatterChart>
        <c:scatterStyle val="lineMarker"/>
        <c:varyColors val="0"/>
        <c:ser>
          <c:idx val="0"/>
          <c:order val="0"/>
          <c:tx>
            <c:strRef>
              <c:f>延迟!$A$5</c:f>
              <c:strCache>
                <c:ptCount val="1"/>
                <c:pt idx="0">
                  <c:v>pkv-8</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延迟!$B$4:$N$4</c:f>
              <c:numCache>
                <c:formatCode>General</c:formatCode>
                <c:ptCount val="13"/>
                <c:pt idx="0">
                  <c:v>5</c:v>
                </c:pt>
                <c:pt idx="1">
                  <c:v>10</c:v>
                </c:pt>
                <c:pt idx="2">
                  <c:v>50</c:v>
                </c:pt>
                <c:pt idx="3">
                  <c:v>57.142857142857146</c:v>
                </c:pt>
                <c:pt idx="4">
                  <c:v>66.666666666666671</c:v>
                </c:pt>
                <c:pt idx="5">
                  <c:v>80</c:v>
                </c:pt>
                <c:pt idx="6">
                  <c:v>100</c:v>
                </c:pt>
                <c:pt idx="7">
                  <c:v>125</c:v>
                </c:pt>
                <c:pt idx="8">
                  <c:v>166.66666666666666</c:v>
                </c:pt>
                <c:pt idx="9">
                  <c:v>250</c:v>
                </c:pt>
                <c:pt idx="10">
                  <c:v>500</c:v>
                </c:pt>
                <c:pt idx="11">
                  <c:v>1000</c:v>
                </c:pt>
                <c:pt idx="12">
                  <c:v>10000</c:v>
                </c:pt>
              </c:numCache>
            </c:numRef>
          </c:xVal>
          <c:yVal>
            <c:numRef>
              <c:f>延迟!$B$5:$N$5</c:f>
              <c:numCache>
                <c:formatCode>General</c:formatCode>
                <c:ptCount val="13"/>
                <c:pt idx="0">
                  <c:v>5.16</c:v>
                </c:pt>
                <c:pt idx="1">
                  <c:v>4.6429999999999998</c:v>
                </c:pt>
                <c:pt idx="2">
                  <c:v>5.1260000000000003</c:v>
                </c:pt>
                <c:pt idx="3">
                  <c:v>5.0750000000000002</c:v>
                </c:pt>
                <c:pt idx="4">
                  <c:v>5.3550000000000004</c:v>
                </c:pt>
                <c:pt idx="5">
                  <c:v>5.6289999999999996</c:v>
                </c:pt>
                <c:pt idx="6">
                  <c:v>5.8280000000000003</c:v>
                </c:pt>
                <c:pt idx="7">
                  <c:v>6.6459999999999999</c:v>
                </c:pt>
                <c:pt idx="8">
                  <c:v>8.8559999999999999</c:v>
                </c:pt>
                <c:pt idx="9">
                  <c:v>17.512</c:v>
                </c:pt>
                <c:pt idx="10">
                  <c:v>24.704999999999998</c:v>
                </c:pt>
                <c:pt idx="11">
                  <c:v>101.288</c:v>
                </c:pt>
                <c:pt idx="12">
                  <c:v>47566.178999999996</c:v>
                </c:pt>
              </c:numCache>
            </c:numRef>
          </c:yVal>
          <c:smooth val="0"/>
          <c:extLst>
            <c:ext xmlns:c16="http://schemas.microsoft.com/office/drawing/2014/chart" uri="{C3380CC4-5D6E-409C-BE32-E72D297353CC}">
              <c16:uniqueId val="{00000000-6A2F-44E9-8807-E6DE456A2646}"/>
            </c:ext>
          </c:extLst>
        </c:ser>
        <c:ser>
          <c:idx val="1"/>
          <c:order val="1"/>
          <c:tx>
            <c:strRef>
              <c:f>延迟!$A$11</c:f>
              <c:strCache>
                <c:ptCount val="1"/>
                <c:pt idx="0">
                  <c:v>rocksdb</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延迟!$B$10:$N$10</c:f>
              <c:numCache>
                <c:formatCode>General</c:formatCode>
                <c:ptCount val="13"/>
                <c:pt idx="0">
                  <c:v>5</c:v>
                </c:pt>
                <c:pt idx="1">
                  <c:v>10</c:v>
                </c:pt>
                <c:pt idx="2">
                  <c:v>50</c:v>
                </c:pt>
                <c:pt idx="3">
                  <c:v>57.142857142857146</c:v>
                </c:pt>
                <c:pt idx="4">
                  <c:v>66.666666666666671</c:v>
                </c:pt>
                <c:pt idx="5">
                  <c:v>80</c:v>
                </c:pt>
                <c:pt idx="6">
                  <c:v>100</c:v>
                </c:pt>
                <c:pt idx="7">
                  <c:v>125</c:v>
                </c:pt>
                <c:pt idx="8">
                  <c:v>166.66666666666666</c:v>
                </c:pt>
                <c:pt idx="9">
                  <c:v>250</c:v>
                </c:pt>
                <c:pt idx="10">
                  <c:v>500</c:v>
                </c:pt>
                <c:pt idx="11">
                  <c:v>1000</c:v>
                </c:pt>
                <c:pt idx="12">
                  <c:v>10000</c:v>
                </c:pt>
              </c:numCache>
            </c:numRef>
          </c:xVal>
          <c:yVal>
            <c:numRef>
              <c:f>延迟!$B$11:$N$11</c:f>
              <c:numCache>
                <c:formatCode>General</c:formatCode>
                <c:ptCount val="13"/>
                <c:pt idx="0">
                  <c:v>4.319</c:v>
                </c:pt>
                <c:pt idx="1">
                  <c:v>4.87</c:v>
                </c:pt>
                <c:pt idx="2">
                  <c:v>5.9089999999999998</c:v>
                </c:pt>
                <c:pt idx="3">
                  <c:v>5.3920000000000003</c:v>
                </c:pt>
                <c:pt idx="4">
                  <c:v>5.7590000000000003</c:v>
                </c:pt>
                <c:pt idx="5">
                  <c:v>13.99</c:v>
                </c:pt>
                <c:pt idx="6">
                  <c:v>15.016999999999999</c:v>
                </c:pt>
                <c:pt idx="7">
                  <c:v>40.054000000000002</c:v>
                </c:pt>
                <c:pt idx="8">
                  <c:v>60</c:v>
                </c:pt>
                <c:pt idx="9">
                  <c:v>81.712999999999994</c:v>
                </c:pt>
                <c:pt idx="10">
                  <c:v>851928.11499999999</c:v>
                </c:pt>
                <c:pt idx="11">
                  <c:v>1262327.405</c:v>
                </c:pt>
                <c:pt idx="12">
                  <c:v>1702438.825</c:v>
                </c:pt>
              </c:numCache>
            </c:numRef>
          </c:yVal>
          <c:smooth val="0"/>
          <c:extLst>
            <c:ext xmlns:c16="http://schemas.microsoft.com/office/drawing/2014/chart" uri="{C3380CC4-5D6E-409C-BE32-E72D297353CC}">
              <c16:uniqueId val="{00000008-6A2F-44E9-8807-E6DE456A2646}"/>
            </c:ext>
          </c:extLst>
        </c:ser>
        <c:ser>
          <c:idx val="2"/>
          <c:order val="2"/>
          <c:tx>
            <c:strRef>
              <c:f>延迟!$A$16</c:f>
              <c:strCache>
                <c:ptCount val="1"/>
                <c:pt idx="0">
                  <c:v>rocksdb+queue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延迟!$B$15:$N$15</c:f>
              <c:numCache>
                <c:formatCode>General</c:formatCode>
                <c:ptCount val="13"/>
                <c:pt idx="0">
                  <c:v>5</c:v>
                </c:pt>
                <c:pt idx="1">
                  <c:v>10</c:v>
                </c:pt>
                <c:pt idx="2">
                  <c:v>50</c:v>
                </c:pt>
                <c:pt idx="3">
                  <c:v>57.142857142857146</c:v>
                </c:pt>
                <c:pt idx="4">
                  <c:v>66.666666666666671</c:v>
                </c:pt>
                <c:pt idx="5">
                  <c:v>80</c:v>
                </c:pt>
                <c:pt idx="6">
                  <c:v>100</c:v>
                </c:pt>
                <c:pt idx="7">
                  <c:v>125</c:v>
                </c:pt>
                <c:pt idx="8">
                  <c:v>166.66666666666666</c:v>
                </c:pt>
                <c:pt idx="9">
                  <c:v>250</c:v>
                </c:pt>
                <c:pt idx="10">
                  <c:v>500</c:v>
                </c:pt>
                <c:pt idx="11">
                  <c:v>1000</c:v>
                </c:pt>
                <c:pt idx="12">
                  <c:v>10000</c:v>
                </c:pt>
              </c:numCache>
            </c:numRef>
          </c:xVal>
          <c:yVal>
            <c:numRef>
              <c:f>延迟!$B$16:$N$16</c:f>
              <c:numCache>
                <c:formatCode>General</c:formatCode>
                <c:ptCount val="13"/>
                <c:pt idx="0">
                  <c:v>4.5640000000000001</c:v>
                </c:pt>
                <c:pt idx="1">
                  <c:v>4.944</c:v>
                </c:pt>
                <c:pt idx="2">
                  <c:v>4.9690000000000003</c:v>
                </c:pt>
                <c:pt idx="3">
                  <c:v>4.7130000000000001</c:v>
                </c:pt>
                <c:pt idx="4">
                  <c:v>4.508</c:v>
                </c:pt>
                <c:pt idx="5">
                  <c:v>6.327</c:v>
                </c:pt>
                <c:pt idx="6">
                  <c:v>7.4379999999999997</c:v>
                </c:pt>
                <c:pt idx="7">
                  <c:v>13.859</c:v>
                </c:pt>
                <c:pt idx="8">
                  <c:v>35.031999999999996</c:v>
                </c:pt>
                <c:pt idx="9">
                  <c:v>180.261</c:v>
                </c:pt>
                <c:pt idx="10">
                  <c:v>544.423</c:v>
                </c:pt>
                <c:pt idx="11">
                  <c:v>309604.48300000001</c:v>
                </c:pt>
                <c:pt idx="12">
                  <c:v>695928.56900000002</c:v>
                </c:pt>
              </c:numCache>
            </c:numRef>
          </c:yVal>
          <c:smooth val="0"/>
          <c:extLst>
            <c:ext xmlns:c16="http://schemas.microsoft.com/office/drawing/2014/chart" uri="{C3380CC4-5D6E-409C-BE32-E72D297353CC}">
              <c16:uniqueId val="{00000009-6A2F-44E9-8807-E6DE456A2646}"/>
            </c:ext>
          </c:extLst>
        </c:ser>
        <c:dLbls>
          <c:showLegendKey val="0"/>
          <c:showVal val="0"/>
          <c:showCatName val="0"/>
          <c:showSerName val="0"/>
          <c:showPercent val="0"/>
          <c:showBubbleSize val="0"/>
        </c:dLbls>
        <c:axId val="1365420751"/>
        <c:axId val="1479018351"/>
      </c:scatterChart>
      <c:valAx>
        <c:axId val="1365420751"/>
        <c:scaling>
          <c:logBase val="10"/>
          <c:orientation val="minMax"/>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Request density(operations per second)</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CN"/>
          </a:p>
        </c:txPr>
        <c:crossAx val="1479018351"/>
        <c:crosses val="autoZero"/>
        <c:crossBetween val="midCat"/>
      </c:valAx>
      <c:valAx>
        <c:axId val="1479018351"/>
        <c:scaling>
          <c:logBase val="10"/>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Latency()ms</a:t>
                </a:r>
                <a:endParaRPr lang="zh-CN"/>
              </a:p>
            </c:rich>
          </c:tx>
          <c:layout>
            <c:manualLayout>
              <c:xMode val="edge"/>
              <c:yMode val="edge"/>
              <c:x val="0"/>
              <c:y val="0.3360345721116070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CN"/>
          </a:p>
        </c:txPr>
        <c:crossAx val="1365420751"/>
        <c:crosses val="autoZero"/>
        <c:crossBetween val="midCat"/>
      </c:valAx>
      <c:spPr>
        <a:noFill/>
        <a:ln>
          <a:noFill/>
        </a:ln>
        <a:effectLst/>
      </c:spPr>
    </c:plotArea>
    <c:legend>
      <c:legendPos val="r"/>
      <c:layout>
        <c:manualLayout>
          <c:xMode val="edge"/>
          <c:yMode val="edge"/>
          <c:x val="0.17025548611259025"/>
          <c:y val="0.16305742457557243"/>
          <c:w val="0.27856273414521066"/>
          <c:h val="0.3024699846654295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zh-CN"/>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42978970480513"/>
          <c:y val="5.1703858654900244E-2"/>
          <c:w val="0.82055408880570957"/>
          <c:h val="0.74159152080512225"/>
        </c:manualLayout>
      </c:layout>
      <c:scatterChart>
        <c:scatterStyle val="lineMarker"/>
        <c:varyColors val="0"/>
        <c:ser>
          <c:idx val="0"/>
          <c:order val="0"/>
          <c:tx>
            <c:strRef>
              <c:f>延迟!$A$31</c:f>
              <c:strCache>
                <c:ptCount val="1"/>
                <c:pt idx="0">
                  <c:v>pkv-8</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延迟!$B$30:$K$30</c:f>
              <c:numCache>
                <c:formatCode>General</c:formatCode>
                <c:ptCount val="10"/>
                <c:pt idx="0">
                  <c:v>5</c:v>
                </c:pt>
                <c:pt idx="1">
                  <c:v>10</c:v>
                </c:pt>
                <c:pt idx="2">
                  <c:v>50</c:v>
                </c:pt>
                <c:pt idx="3">
                  <c:v>66.666666666666671</c:v>
                </c:pt>
                <c:pt idx="4">
                  <c:v>100</c:v>
                </c:pt>
                <c:pt idx="5">
                  <c:v>200</c:v>
                </c:pt>
                <c:pt idx="6">
                  <c:v>500</c:v>
                </c:pt>
                <c:pt idx="7">
                  <c:v>1000</c:v>
                </c:pt>
                <c:pt idx="8">
                  <c:v>4000</c:v>
                </c:pt>
                <c:pt idx="9">
                  <c:v>10000</c:v>
                </c:pt>
              </c:numCache>
            </c:numRef>
          </c:xVal>
          <c:yVal>
            <c:numRef>
              <c:f>延迟!$B$31:$K$31</c:f>
              <c:numCache>
                <c:formatCode>General</c:formatCode>
                <c:ptCount val="10"/>
                <c:pt idx="0">
                  <c:v>4.0199999999999996</c:v>
                </c:pt>
                <c:pt idx="1">
                  <c:v>3.8380000000000001</c:v>
                </c:pt>
                <c:pt idx="2">
                  <c:v>13.798</c:v>
                </c:pt>
                <c:pt idx="3">
                  <c:v>13.811999999999999</c:v>
                </c:pt>
                <c:pt idx="4">
                  <c:v>25.677</c:v>
                </c:pt>
                <c:pt idx="5">
                  <c:v>53.134999999999998</c:v>
                </c:pt>
                <c:pt idx="6">
                  <c:v>116.953</c:v>
                </c:pt>
                <c:pt idx="7">
                  <c:v>229.93</c:v>
                </c:pt>
                <c:pt idx="8">
                  <c:v>872.44100000000003</c:v>
                </c:pt>
                <c:pt idx="9">
                  <c:v>6270.1030000000001</c:v>
                </c:pt>
              </c:numCache>
            </c:numRef>
          </c:yVal>
          <c:smooth val="0"/>
          <c:extLst>
            <c:ext xmlns:c16="http://schemas.microsoft.com/office/drawing/2014/chart" uri="{C3380CC4-5D6E-409C-BE32-E72D297353CC}">
              <c16:uniqueId val="{00000000-951F-4D4F-B181-CEF3BEA15B9E}"/>
            </c:ext>
          </c:extLst>
        </c:ser>
        <c:ser>
          <c:idx val="1"/>
          <c:order val="1"/>
          <c:tx>
            <c:strRef>
              <c:f>延迟!$A$37</c:f>
              <c:strCache>
                <c:ptCount val="1"/>
                <c:pt idx="0">
                  <c:v>rocksdb</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延迟!$B$36:$K$36</c:f>
              <c:numCache>
                <c:formatCode>General</c:formatCode>
                <c:ptCount val="10"/>
                <c:pt idx="0">
                  <c:v>5</c:v>
                </c:pt>
                <c:pt idx="1">
                  <c:v>10</c:v>
                </c:pt>
                <c:pt idx="2">
                  <c:v>50</c:v>
                </c:pt>
                <c:pt idx="3">
                  <c:v>66.666666666666671</c:v>
                </c:pt>
                <c:pt idx="4">
                  <c:v>100</c:v>
                </c:pt>
                <c:pt idx="5">
                  <c:v>200</c:v>
                </c:pt>
                <c:pt idx="6">
                  <c:v>500</c:v>
                </c:pt>
                <c:pt idx="7">
                  <c:v>1000</c:v>
                </c:pt>
                <c:pt idx="8">
                  <c:v>4000</c:v>
                </c:pt>
                <c:pt idx="9">
                  <c:v>10000</c:v>
                </c:pt>
              </c:numCache>
            </c:numRef>
          </c:xVal>
          <c:yVal>
            <c:numRef>
              <c:f>延迟!$B$37:$K$37</c:f>
              <c:numCache>
                <c:formatCode>General</c:formatCode>
                <c:ptCount val="10"/>
                <c:pt idx="0">
                  <c:v>3.5539999999999998</c:v>
                </c:pt>
                <c:pt idx="1">
                  <c:v>3.54</c:v>
                </c:pt>
                <c:pt idx="2">
                  <c:v>3.54</c:v>
                </c:pt>
                <c:pt idx="3">
                  <c:v>3.54</c:v>
                </c:pt>
                <c:pt idx="4">
                  <c:v>3.802</c:v>
                </c:pt>
                <c:pt idx="5">
                  <c:v>4.4909999999999997</c:v>
                </c:pt>
                <c:pt idx="6">
                  <c:v>470346.88500000001</c:v>
                </c:pt>
                <c:pt idx="7">
                  <c:v>845600.59100000001</c:v>
                </c:pt>
                <c:pt idx="8">
                  <c:v>1084037.8089999999</c:v>
                </c:pt>
                <c:pt idx="9">
                  <c:v>1283736.2139999999</c:v>
                </c:pt>
              </c:numCache>
            </c:numRef>
          </c:yVal>
          <c:smooth val="0"/>
          <c:extLst>
            <c:ext xmlns:c16="http://schemas.microsoft.com/office/drawing/2014/chart" uri="{C3380CC4-5D6E-409C-BE32-E72D297353CC}">
              <c16:uniqueId val="{00000001-951F-4D4F-B181-CEF3BEA15B9E}"/>
            </c:ext>
          </c:extLst>
        </c:ser>
        <c:ser>
          <c:idx val="2"/>
          <c:order val="2"/>
          <c:tx>
            <c:strRef>
              <c:f>延迟!$A$42</c:f>
              <c:strCache>
                <c:ptCount val="1"/>
                <c:pt idx="0">
                  <c:v>rocksdb+queue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延迟!$B$41:$K$41</c:f>
              <c:numCache>
                <c:formatCode>General</c:formatCode>
                <c:ptCount val="10"/>
                <c:pt idx="0">
                  <c:v>5</c:v>
                </c:pt>
                <c:pt idx="1">
                  <c:v>10</c:v>
                </c:pt>
                <c:pt idx="2">
                  <c:v>50</c:v>
                </c:pt>
                <c:pt idx="3">
                  <c:v>66.666666666666671</c:v>
                </c:pt>
                <c:pt idx="4">
                  <c:v>100</c:v>
                </c:pt>
                <c:pt idx="5">
                  <c:v>200</c:v>
                </c:pt>
                <c:pt idx="6">
                  <c:v>500</c:v>
                </c:pt>
                <c:pt idx="7">
                  <c:v>1000</c:v>
                </c:pt>
                <c:pt idx="8">
                  <c:v>4000</c:v>
                </c:pt>
                <c:pt idx="9">
                  <c:v>10000</c:v>
                </c:pt>
              </c:numCache>
            </c:numRef>
          </c:xVal>
          <c:yVal>
            <c:numRef>
              <c:f>延迟!$B$42:$K$42</c:f>
              <c:numCache>
                <c:formatCode>General</c:formatCode>
                <c:ptCount val="10"/>
                <c:pt idx="0">
                  <c:v>3.335</c:v>
                </c:pt>
                <c:pt idx="1">
                  <c:v>3.32</c:v>
                </c:pt>
                <c:pt idx="2">
                  <c:v>3.32</c:v>
                </c:pt>
                <c:pt idx="3">
                  <c:v>3.423</c:v>
                </c:pt>
                <c:pt idx="4">
                  <c:v>3.431</c:v>
                </c:pt>
                <c:pt idx="5">
                  <c:v>4.1970000000000001</c:v>
                </c:pt>
                <c:pt idx="6">
                  <c:v>11.749000000000001</c:v>
                </c:pt>
                <c:pt idx="7">
                  <c:v>50.924999999999997</c:v>
                </c:pt>
                <c:pt idx="8">
                  <c:v>157080.02600000001</c:v>
                </c:pt>
                <c:pt idx="9">
                  <c:v>235452.46</c:v>
                </c:pt>
              </c:numCache>
            </c:numRef>
          </c:yVal>
          <c:smooth val="0"/>
          <c:extLst>
            <c:ext xmlns:c16="http://schemas.microsoft.com/office/drawing/2014/chart" uri="{C3380CC4-5D6E-409C-BE32-E72D297353CC}">
              <c16:uniqueId val="{00000002-951F-4D4F-B181-CEF3BEA15B9E}"/>
            </c:ext>
          </c:extLst>
        </c:ser>
        <c:dLbls>
          <c:showLegendKey val="0"/>
          <c:showVal val="0"/>
          <c:showCatName val="0"/>
          <c:showSerName val="0"/>
          <c:showPercent val="0"/>
          <c:showBubbleSize val="0"/>
        </c:dLbls>
        <c:axId val="1365420751"/>
        <c:axId val="1479018351"/>
      </c:scatterChart>
      <c:valAx>
        <c:axId val="1365420751"/>
        <c:scaling>
          <c:logBase val="10"/>
          <c:orientation val="minMax"/>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Request density(operations per second)</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CN"/>
          </a:p>
        </c:txPr>
        <c:crossAx val="1479018351"/>
        <c:crosses val="autoZero"/>
        <c:crossBetween val="midCat"/>
      </c:valAx>
      <c:valAx>
        <c:axId val="1479018351"/>
        <c:scaling>
          <c:logBase val="10"/>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Latency()ms</a:t>
                </a:r>
                <a:endParaRPr lang="zh-CN"/>
              </a:p>
            </c:rich>
          </c:tx>
          <c:layout>
            <c:manualLayout>
              <c:xMode val="edge"/>
              <c:yMode val="edge"/>
              <c:x val="0"/>
              <c:y val="0.3360345721116070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CN"/>
          </a:p>
        </c:txPr>
        <c:crossAx val="1365420751"/>
        <c:crosses val="autoZero"/>
        <c:crossBetween val="midCat"/>
      </c:valAx>
      <c:spPr>
        <a:noFill/>
        <a:ln>
          <a:noFill/>
        </a:ln>
        <a:effectLst/>
      </c:spPr>
    </c:plotArea>
    <c:legend>
      <c:legendPos val="r"/>
      <c:layout>
        <c:manualLayout>
          <c:xMode val="edge"/>
          <c:yMode val="edge"/>
          <c:x val="0.17025548611259025"/>
          <c:y val="0.16305742457557243"/>
          <c:w val="0.27884504359813056"/>
          <c:h val="0.2919614825216911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zh-CN"/>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Sheet2!$B$4</c:f>
              <c:strCache>
                <c:ptCount val="1"/>
                <c:pt idx="0">
                  <c:v>RocksDB</c:v>
                </c:pt>
              </c:strCache>
            </c:strRef>
          </c:tx>
          <c:spPr>
            <a:ln w="28575" cap="rnd">
              <a:solidFill>
                <a:schemeClr val="accent1"/>
              </a:solidFill>
              <a:round/>
            </a:ln>
            <a:effectLst/>
          </c:spPr>
          <c:marker>
            <c:symbol val="none"/>
          </c:marker>
          <c:val>
            <c:numRef>
              <c:f>Sheet2!$B$5:$B$449</c:f>
              <c:numCache>
                <c:formatCode>General</c:formatCode>
                <c:ptCount val="445"/>
                <c:pt idx="0">
                  <c:v>4.9999999999999822E-2</c:v>
                </c:pt>
                <c:pt idx="1">
                  <c:v>4.9999999999999822E-2</c:v>
                </c:pt>
                <c:pt idx="2">
                  <c:v>4.9999999999999822E-2</c:v>
                </c:pt>
                <c:pt idx="3">
                  <c:v>4.9999999999999822E-2</c:v>
                </c:pt>
                <c:pt idx="4">
                  <c:v>8.4999999999999964E-2</c:v>
                </c:pt>
                <c:pt idx="5">
                  <c:v>7.3000000000000398E-2</c:v>
                </c:pt>
                <c:pt idx="6">
                  <c:v>0.12000000000000011</c:v>
                </c:pt>
                <c:pt idx="7">
                  <c:v>0.12800000000000011</c:v>
                </c:pt>
                <c:pt idx="8">
                  <c:v>0.14200000000000035</c:v>
                </c:pt>
                <c:pt idx="9">
                  <c:v>0.12999999999999989</c:v>
                </c:pt>
                <c:pt idx="10">
                  <c:v>0.14800000000000058</c:v>
                </c:pt>
                <c:pt idx="11">
                  <c:v>0.15800000000000036</c:v>
                </c:pt>
                <c:pt idx="12">
                  <c:v>0.14000000000000057</c:v>
                </c:pt>
                <c:pt idx="13">
                  <c:v>0.16800000000000015</c:v>
                </c:pt>
                <c:pt idx="14">
                  <c:v>0.1850000000000005</c:v>
                </c:pt>
                <c:pt idx="15">
                  <c:v>0.18900000000000006</c:v>
                </c:pt>
                <c:pt idx="16">
                  <c:v>0.16000000000000014</c:v>
                </c:pt>
                <c:pt idx="17">
                  <c:v>0.18800000000000061</c:v>
                </c:pt>
                <c:pt idx="18">
                  <c:v>0.16800000000000015</c:v>
                </c:pt>
                <c:pt idx="19">
                  <c:v>0.19099999999999984</c:v>
                </c:pt>
                <c:pt idx="20">
                  <c:v>0.19700000000000006</c:v>
                </c:pt>
                <c:pt idx="21">
                  <c:v>0.17400000000000038</c:v>
                </c:pt>
                <c:pt idx="22">
                  <c:v>0.19700000000000006</c:v>
                </c:pt>
                <c:pt idx="23">
                  <c:v>0.17400000000000038</c:v>
                </c:pt>
                <c:pt idx="24">
                  <c:v>0.18599999999999994</c:v>
                </c:pt>
                <c:pt idx="25">
                  <c:v>0.20300000000000029</c:v>
                </c:pt>
                <c:pt idx="26">
                  <c:v>0.18599999999999994</c:v>
                </c:pt>
                <c:pt idx="27">
                  <c:v>0.2110000000000003</c:v>
                </c:pt>
                <c:pt idx="28">
                  <c:v>0.18700000000000028</c:v>
                </c:pt>
                <c:pt idx="29">
                  <c:v>0.19500000000000028</c:v>
                </c:pt>
                <c:pt idx="30">
                  <c:v>0.21700000000000053</c:v>
                </c:pt>
                <c:pt idx="31">
                  <c:v>0.23000000000000043</c:v>
                </c:pt>
                <c:pt idx="32">
                  <c:v>0.20999999999999996</c:v>
                </c:pt>
                <c:pt idx="33">
                  <c:v>0.20999999999999996</c:v>
                </c:pt>
                <c:pt idx="34">
                  <c:v>0.22500000000000053</c:v>
                </c:pt>
                <c:pt idx="35">
                  <c:v>0.21499999999999986</c:v>
                </c:pt>
                <c:pt idx="36">
                  <c:v>0.23300000000000054</c:v>
                </c:pt>
                <c:pt idx="37">
                  <c:v>0.23800000000000043</c:v>
                </c:pt>
                <c:pt idx="38">
                  <c:v>0.22500000000000053</c:v>
                </c:pt>
                <c:pt idx="39">
                  <c:v>0.24000000000000021</c:v>
                </c:pt>
                <c:pt idx="40">
                  <c:v>0.23000000000000043</c:v>
                </c:pt>
                <c:pt idx="41">
                  <c:v>0.23599999999999977</c:v>
                </c:pt>
                <c:pt idx="42">
                  <c:v>0.25300000000000011</c:v>
                </c:pt>
                <c:pt idx="43">
                  <c:v>0.23800000000000043</c:v>
                </c:pt>
                <c:pt idx="44">
                  <c:v>0.25400000000000045</c:v>
                </c:pt>
                <c:pt idx="45">
                  <c:v>0.25400000000000045</c:v>
                </c:pt>
                <c:pt idx="46">
                  <c:v>0.24500000000000011</c:v>
                </c:pt>
                <c:pt idx="47">
                  <c:v>0.26600000000000001</c:v>
                </c:pt>
                <c:pt idx="48">
                  <c:v>0.25300000000000011</c:v>
                </c:pt>
                <c:pt idx="49">
                  <c:v>0.26900000000000013</c:v>
                </c:pt>
                <c:pt idx="50">
                  <c:v>0.27000000000000046</c:v>
                </c:pt>
                <c:pt idx="51">
                  <c:v>0.26100000000000012</c:v>
                </c:pt>
                <c:pt idx="52">
                  <c:v>0.28200000000000003</c:v>
                </c:pt>
                <c:pt idx="53">
                  <c:v>0.28399999999999981</c:v>
                </c:pt>
                <c:pt idx="54">
                  <c:v>0.27200000000000024</c:v>
                </c:pt>
                <c:pt idx="55">
                  <c:v>0.28000000000000025</c:v>
                </c:pt>
                <c:pt idx="56">
                  <c:v>0.29400000000000048</c:v>
                </c:pt>
                <c:pt idx="57">
                  <c:v>0.29600000000000026</c:v>
                </c:pt>
                <c:pt idx="58">
                  <c:v>0.30799999999999983</c:v>
                </c:pt>
                <c:pt idx="59">
                  <c:v>0.29499999999999993</c:v>
                </c:pt>
                <c:pt idx="60">
                  <c:v>0.31300000000000061</c:v>
                </c:pt>
                <c:pt idx="61">
                  <c:v>0.31300000000000061</c:v>
                </c:pt>
                <c:pt idx="62">
                  <c:v>0.29600000000000026</c:v>
                </c:pt>
                <c:pt idx="63">
                  <c:v>0.3230000000000004</c:v>
                </c:pt>
                <c:pt idx="64">
                  <c:v>0.3050000000000006</c:v>
                </c:pt>
                <c:pt idx="65">
                  <c:v>0.31599999999999984</c:v>
                </c:pt>
                <c:pt idx="66">
                  <c:v>0.33199999999999985</c:v>
                </c:pt>
                <c:pt idx="67">
                  <c:v>0.31500000000000039</c:v>
                </c:pt>
                <c:pt idx="68">
                  <c:v>0.33699999999999974</c:v>
                </c:pt>
                <c:pt idx="69">
                  <c:v>0.34499999999999975</c:v>
                </c:pt>
                <c:pt idx="70">
                  <c:v>0.32600000000000051</c:v>
                </c:pt>
                <c:pt idx="71">
                  <c:v>0.35299999999999976</c:v>
                </c:pt>
                <c:pt idx="72">
                  <c:v>0.33499999999999996</c:v>
                </c:pt>
                <c:pt idx="73">
                  <c:v>0.33800000000000008</c:v>
                </c:pt>
                <c:pt idx="74">
                  <c:v>0.36699999999999999</c:v>
                </c:pt>
                <c:pt idx="75">
                  <c:v>0.3490000000000002</c:v>
                </c:pt>
                <c:pt idx="76">
                  <c:v>0.36699999999999999</c:v>
                </c:pt>
                <c:pt idx="77">
                  <c:v>0.37600000000000033</c:v>
                </c:pt>
                <c:pt idx="78">
                  <c:v>0.35899999999999999</c:v>
                </c:pt>
                <c:pt idx="79">
                  <c:v>0.38400000000000034</c:v>
                </c:pt>
                <c:pt idx="80">
                  <c:v>0.39100000000000001</c:v>
                </c:pt>
                <c:pt idx="81">
                  <c:v>0.35400000000000009</c:v>
                </c:pt>
                <c:pt idx="82">
                  <c:v>0.37699999999999978</c:v>
                </c:pt>
                <c:pt idx="83">
                  <c:v>0.37999999999999989</c:v>
                </c:pt>
                <c:pt idx="84">
                  <c:v>0.35599999999999987</c:v>
                </c:pt>
                <c:pt idx="85">
                  <c:v>0.38400000000000034</c:v>
                </c:pt>
                <c:pt idx="86">
                  <c:v>0.3879999999999999</c:v>
                </c:pt>
                <c:pt idx="87">
                  <c:v>0.36899999999999977</c:v>
                </c:pt>
                <c:pt idx="88">
                  <c:v>0.39299999999999979</c:v>
                </c:pt>
                <c:pt idx="89">
                  <c:v>0.37600000000000033</c:v>
                </c:pt>
                <c:pt idx="90">
                  <c:v>0.39100000000000001</c:v>
                </c:pt>
                <c:pt idx="91">
                  <c:v>0.40700000000000003</c:v>
                </c:pt>
                <c:pt idx="92">
                  <c:v>0.36500000000000021</c:v>
                </c:pt>
                <c:pt idx="93">
                  <c:v>0.39100000000000001</c:v>
                </c:pt>
                <c:pt idx="94">
                  <c:v>0.39299999999999979</c:v>
                </c:pt>
                <c:pt idx="95">
                  <c:v>0.37400000000000055</c:v>
                </c:pt>
                <c:pt idx="96">
                  <c:v>0.4009999999999998</c:v>
                </c:pt>
                <c:pt idx="97">
                  <c:v>0.38300000000000001</c:v>
                </c:pt>
                <c:pt idx="98">
                  <c:v>0.39400000000000013</c:v>
                </c:pt>
                <c:pt idx="99">
                  <c:v>0.40800000000000036</c:v>
                </c:pt>
                <c:pt idx="100">
                  <c:v>0.38900000000000023</c:v>
                </c:pt>
                <c:pt idx="101">
                  <c:v>0.41500000000000004</c:v>
                </c:pt>
                <c:pt idx="102">
                  <c:v>0.41699999999999982</c:v>
                </c:pt>
                <c:pt idx="103">
                  <c:v>0.39700000000000024</c:v>
                </c:pt>
                <c:pt idx="104">
                  <c:v>0.40600000000000058</c:v>
                </c:pt>
                <c:pt idx="105">
                  <c:v>0.38400000000000034</c:v>
                </c:pt>
                <c:pt idx="106">
                  <c:v>0.39100000000000001</c:v>
                </c:pt>
                <c:pt idx="107">
                  <c:v>0.41100000000000048</c:v>
                </c:pt>
                <c:pt idx="108">
                  <c:v>0.38700000000000045</c:v>
                </c:pt>
                <c:pt idx="109">
                  <c:v>0.40800000000000036</c:v>
                </c:pt>
                <c:pt idx="110">
                  <c:v>0.41400000000000059</c:v>
                </c:pt>
                <c:pt idx="111">
                  <c:v>0.39299999999999979</c:v>
                </c:pt>
                <c:pt idx="112">
                  <c:v>0.41400000000000059</c:v>
                </c:pt>
                <c:pt idx="113">
                  <c:v>0.39299999999999979</c:v>
                </c:pt>
                <c:pt idx="114">
                  <c:v>0.39700000000000024</c:v>
                </c:pt>
                <c:pt idx="115">
                  <c:v>0.41800000000000015</c:v>
                </c:pt>
                <c:pt idx="116">
                  <c:v>0.39400000000000013</c:v>
                </c:pt>
                <c:pt idx="117">
                  <c:v>0.41500000000000004</c:v>
                </c:pt>
                <c:pt idx="118">
                  <c:v>0.41900000000000048</c:v>
                </c:pt>
                <c:pt idx="119">
                  <c:v>0.39400000000000013</c:v>
                </c:pt>
                <c:pt idx="120">
                  <c:v>0.42100000000000026</c:v>
                </c:pt>
                <c:pt idx="121">
                  <c:v>0.42300000000000004</c:v>
                </c:pt>
                <c:pt idx="122">
                  <c:v>0.4009999999999998</c:v>
                </c:pt>
                <c:pt idx="123">
                  <c:v>0.4220000000000006</c:v>
                </c:pt>
                <c:pt idx="124">
                  <c:v>0.4009999999999998</c:v>
                </c:pt>
                <c:pt idx="125">
                  <c:v>0.40500000000000025</c:v>
                </c:pt>
                <c:pt idx="126">
                  <c:v>0.42600000000000016</c:v>
                </c:pt>
                <c:pt idx="127">
                  <c:v>0.40300000000000047</c:v>
                </c:pt>
                <c:pt idx="128">
                  <c:v>0.41800000000000015</c:v>
                </c:pt>
                <c:pt idx="129">
                  <c:v>0.4300000000000006</c:v>
                </c:pt>
                <c:pt idx="130">
                  <c:v>0.40700000000000003</c:v>
                </c:pt>
                <c:pt idx="131">
                  <c:v>0.42799999999999994</c:v>
                </c:pt>
                <c:pt idx="132">
                  <c:v>0.4300000000000006</c:v>
                </c:pt>
                <c:pt idx="133">
                  <c:v>0.40899999999999981</c:v>
                </c:pt>
                <c:pt idx="134">
                  <c:v>0.43599999999999994</c:v>
                </c:pt>
                <c:pt idx="135">
                  <c:v>0.41699999999999982</c:v>
                </c:pt>
                <c:pt idx="136">
                  <c:v>0.43200000000000038</c:v>
                </c:pt>
                <c:pt idx="137">
                  <c:v>0.44600000000000062</c:v>
                </c:pt>
                <c:pt idx="138">
                  <c:v>0.42799999999999994</c:v>
                </c:pt>
                <c:pt idx="139">
                  <c:v>0.45000000000000018</c:v>
                </c:pt>
                <c:pt idx="140">
                  <c:v>0.45699999999999985</c:v>
                </c:pt>
                <c:pt idx="141">
                  <c:v>0.43800000000000061</c:v>
                </c:pt>
                <c:pt idx="142">
                  <c:v>0.46199999999999974</c:v>
                </c:pt>
                <c:pt idx="143">
                  <c:v>0.46400000000000041</c:v>
                </c:pt>
                <c:pt idx="144">
                  <c:v>0.44700000000000006</c:v>
                </c:pt>
                <c:pt idx="145">
                  <c:v>0.47299999999999986</c:v>
                </c:pt>
                <c:pt idx="146">
                  <c:v>0.45300000000000029</c:v>
                </c:pt>
                <c:pt idx="147">
                  <c:v>0.46700000000000053</c:v>
                </c:pt>
                <c:pt idx="148">
                  <c:v>0.47799999999999976</c:v>
                </c:pt>
                <c:pt idx="149">
                  <c:v>0.45600000000000041</c:v>
                </c:pt>
                <c:pt idx="150">
                  <c:v>0.48300000000000054</c:v>
                </c:pt>
                <c:pt idx="151">
                  <c:v>0.48500000000000032</c:v>
                </c:pt>
                <c:pt idx="152">
                  <c:v>0.46799999999999997</c:v>
                </c:pt>
                <c:pt idx="153">
                  <c:v>0.49500000000000011</c:v>
                </c:pt>
                <c:pt idx="154">
                  <c:v>0.4740000000000002</c:v>
                </c:pt>
                <c:pt idx="155">
                  <c:v>0.48000000000000043</c:v>
                </c:pt>
                <c:pt idx="156">
                  <c:v>0.50300000000000011</c:v>
                </c:pt>
                <c:pt idx="157">
                  <c:v>0.48500000000000032</c:v>
                </c:pt>
                <c:pt idx="158">
                  <c:v>0.50900000000000034</c:v>
                </c:pt>
                <c:pt idx="159">
                  <c:v>0.51400000000000023</c:v>
                </c:pt>
                <c:pt idx="160">
                  <c:v>0.49300000000000033</c:v>
                </c:pt>
                <c:pt idx="161">
                  <c:v>0.51600000000000001</c:v>
                </c:pt>
                <c:pt idx="162">
                  <c:v>0.49300000000000033</c:v>
                </c:pt>
                <c:pt idx="163">
                  <c:v>0.49600000000000044</c:v>
                </c:pt>
                <c:pt idx="164">
                  <c:v>0.51600000000000001</c:v>
                </c:pt>
                <c:pt idx="165">
                  <c:v>0.49300000000000033</c:v>
                </c:pt>
                <c:pt idx="166">
                  <c:v>0.5129999999999999</c:v>
                </c:pt>
                <c:pt idx="167">
                  <c:v>0.52400000000000002</c:v>
                </c:pt>
                <c:pt idx="168">
                  <c:v>0.50499999999999989</c:v>
                </c:pt>
                <c:pt idx="169">
                  <c:v>0.52800000000000047</c:v>
                </c:pt>
                <c:pt idx="170">
                  <c:v>0.51100000000000012</c:v>
                </c:pt>
                <c:pt idx="171">
                  <c:v>0.5129999999999999</c:v>
                </c:pt>
                <c:pt idx="172">
                  <c:v>0.54</c:v>
                </c:pt>
                <c:pt idx="173">
                  <c:v>0.51700000000000035</c:v>
                </c:pt>
                <c:pt idx="174">
                  <c:v>0.52300000000000058</c:v>
                </c:pt>
                <c:pt idx="175">
                  <c:v>0.54400000000000048</c:v>
                </c:pt>
                <c:pt idx="176">
                  <c:v>0.50499999999999989</c:v>
                </c:pt>
                <c:pt idx="177">
                  <c:v>0.51799999999999979</c:v>
                </c:pt>
                <c:pt idx="178">
                  <c:v>0.53399999999999981</c:v>
                </c:pt>
                <c:pt idx="179">
                  <c:v>0.51799999999999979</c:v>
                </c:pt>
                <c:pt idx="180">
                  <c:v>0.53800000000000026</c:v>
                </c:pt>
                <c:pt idx="181">
                  <c:v>0.5470000000000006</c:v>
                </c:pt>
                <c:pt idx="182">
                  <c:v>0.52500000000000036</c:v>
                </c:pt>
                <c:pt idx="183">
                  <c:v>0.54999999999999982</c:v>
                </c:pt>
                <c:pt idx="184">
                  <c:v>0.55700000000000038</c:v>
                </c:pt>
                <c:pt idx="185">
                  <c:v>0.53600000000000048</c:v>
                </c:pt>
                <c:pt idx="186">
                  <c:v>0.55200000000000049</c:v>
                </c:pt>
                <c:pt idx="187">
                  <c:v>0.56099999999999994</c:v>
                </c:pt>
                <c:pt idx="188">
                  <c:v>0.56700000000000017</c:v>
                </c:pt>
                <c:pt idx="189">
                  <c:v>0.5470000000000006</c:v>
                </c:pt>
                <c:pt idx="190">
                  <c:v>0.5680000000000005</c:v>
                </c:pt>
                <c:pt idx="191">
                  <c:v>0.5730000000000004</c:v>
                </c:pt>
                <c:pt idx="192">
                  <c:v>0.55100000000000016</c:v>
                </c:pt>
                <c:pt idx="193">
                  <c:v>0.57600000000000051</c:v>
                </c:pt>
                <c:pt idx="194">
                  <c:v>0.5550000000000006</c:v>
                </c:pt>
                <c:pt idx="195">
                  <c:v>0.57000000000000028</c:v>
                </c:pt>
                <c:pt idx="196">
                  <c:v>0.58199999999999985</c:v>
                </c:pt>
                <c:pt idx="197">
                  <c:v>0.56200000000000028</c:v>
                </c:pt>
                <c:pt idx="198">
                  <c:v>0.57800000000000029</c:v>
                </c:pt>
                <c:pt idx="199">
                  <c:v>0.58100000000000041</c:v>
                </c:pt>
                <c:pt idx="200">
                  <c:v>0.58100000000000041</c:v>
                </c:pt>
                <c:pt idx="201">
                  <c:v>0.59100000000000019</c:v>
                </c:pt>
                <c:pt idx="202">
                  <c:v>0.5730000000000004</c:v>
                </c:pt>
                <c:pt idx="203">
                  <c:v>0.58499999999999996</c:v>
                </c:pt>
                <c:pt idx="204">
                  <c:v>0.59700000000000042</c:v>
                </c:pt>
                <c:pt idx="205">
                  <c:v>0.57399999999999984</c:v>
                </c:pt>
                <c:pt idx="206">
                  <c:v>0.59600000000000009</c:v>
                </c:pt>
                <c:pt idx="207">
                  <c:v>0.60099999999999998</c:v>
                </c:pt>
                <c:pt idx="208">
                  <c:v>0.57699999999999996</c:v>
                </c:pt>
                <c:pt idx="209">
                  <c:v>0.60299999999999976</c:v>
                </c:pt>
                <c:pt idx="210">
                  <c:v>0.60500000000000043</c:v>
                </c:pt>
                <c:pt idx="211">
                  <c:v>0.58199999999999985</c:v>
                </c:pt>
                <c:pt idx="212">
                  <c:v>0.60299999999999976</c:v>
                </c:pt>
                <c:pt idx="213">
                  <c:v>0.58199999999999985</c:v>
                </c:pt>
                <c:pt idx="214">
                  <c:v>0.59299999999999997</c:v>
                </c:pt>
                <c:pt idx="215">
                  <c:v>0.60800000000000054</c:v>
                </c:pt>
                <c:pt idx="216">
                  <c:v>0.5860000000000003</c:v>
                </c:pt>
                <c:pt idx="217">
                  <c:v>0.61000000000000032</c:v>
                </c:pt>
                <c:pt idx="218">
                  <c:v>0.6120000000000001</c:v>
                </c:pt>
                <c:pt idx="219">
                  <c:v>0.58999999999999986</c:v>
                </c:pt>
                <c:pt idx="220">
                  <c:v>0.61099999999999977</c:v>
                </c:pt>
                <c:pt idx="221">
                  <c:v>0.58999999999999986</c:v>
                </c:pt>
                <c:pt idx="222">
                  <c:v>0.59600000000000009</c:v>
                </c:pt>
                <c:pt idx="223">
                  <c:v>0.61600000000000055</c:v>
                </c:pt>
                <c:pt idx="224">
                  <c:v>0.59299999999999997</c:v>
                </c:pt>
                <c:pt idx="225">
                  <c:v>0.61500000000000021</c:v>
                </c:pt>
                <c:pt idx="226">
                  <c:v>0.61899999999999977</c:v>
                </c:pt>
                <c:pt idx="227">
                  <c:v>0.59499999999999975</c:v>
                </c:pt>
                <c:pt idx="228">
                  <c:v>0.61099999999999977</c:v>
                </c:pt>
                <c:pt idx="229">
                  <c:v>0.61399999999999988</c:v>
                </c:pt>
                <c:pt idx="230">
                  <c:v>0.62400000000000055</c:v>
                </c:pt>
                <c:pt idx="231">
                  <c:v>0.60000000000000053</c:v>
                </c:pt>
                <c:pt idx="232">
                  <c:v>0.61699999999999999</c:v>
                </c:pt>
                <c:pt idx="233">
                  <c:v>0.625</c:v>
                </c:pt>
                <c:pt idx="234">
                  <c:v>0.60200000000000031</c:v>
                </c:pt>
                <c:pt idx="235">
                  <c:v>0.62400000000000055</c:v>
                </c:pt>
                <c:pt idx="236">
                  <c:v>0.62900000000000045</c:v>
                </c:pt>
                <c:pt idx="237">
                  <c:v>0.60599999999999987</c:v>
                </c:pt>
                <c:pt idx="238">
                  <c:v>0.62800000000000011</c:v>
                </c:pt>
                <c:pt idx="239">
                  <c:v>0.60800000000000054</c:v>
                </c:pt>
                <c:pt idx="240">
                  <c:v>0.61899999999999977</c:v>
                </c:pt>
                <c:pt idx="241">
                  <c:v>0.63300000000000001</c:v>
                </c:pt>
                <c:pt idx="242">
                  <c:v>0.61000000000000032</c:v>
                </c:pt>
                <c:pt idx="243">
                  <c:v>0.62600000000000033</c:v>
                </c:pt>
                <c:pt idx="244">
                  <c:v>0.63300000000000001</c:v>
                </c:pt>
                <c:pt idx="245">
                  <c:v>0.6120000000000001</c:v>
                </c:pt>
                <c:pt idx="246">
                  <c:v>0.63400000000000034</c:v>
                </c:pt>
                <c:pt idx="247">
                  <c:v>0.63700000000000045</c:v>
                </c:pt>
                <c:pt idx="248">
                  <c:v>0.61399999999999988</c:v>
                </c:pt>
                <c:pt idx="249">
                  <c:v>0.63600000000000012</c:v>
                </c:pt>
                <c:pt idx="250">
                  <c:v>0.6379999999999999</c:v>
                </c:pt>
                <c:pt idx="251">
                  <c:v>0.61699999999999999</c:v>
                </c:pt>
                <c:pt idx="252">
                  <c:v>0.6379999999999999</c:v>
                </c:pt>
                <c:pt idx="253">
                  <c:v>0.62100000000000044</c:v>
                </c:pt>
                <c:pt idx="254">
                  <c:v>0.62699999999999978</c:v>
                </c:pt>
                <c:pt idx="255">
                  <c:v>0.63900000000000023</c:v>
                </c:pt>
                <c:pt idx="256">
                  <c:v>0.64700000000000024</c:v>
                </c:pt>
                <c:pt idx="257">
                  <c:v>0.625</c:v>
                </c:pt>
                <c:pt idx="258">
                  <c:v>0.625</c:v>
                </c:pt>
                <c:pt idx="259">
                  <c:v>0.64700000000000024</c:v>
                </c:pt>
                <c:pt idx="260">
                  <c:v>0.62699999999999978</c:v>
                </c:pt>
                <c:pt idx="261">
                  <c:v>0.63600000000000012</c:v>
                </c:pt>
                <c:pt idx="262">
                  <c:v>0.70800000000000018</c:v>
                </c:pt>
                <c:pt idx="263">
                  <c:v>0.71999999999999975</c:v>
                </c:pt>
                <c:pt idx="264">
                  <c:v>0.70800000000000018</c:v>
                </c:pt>
                <c:pt idx="265">
                  <c:v>0.71300000000000008</c:v>
                </c:pt>
                <c:pt idx="266">
                  <c:v>0.71799999999999997</c:v>
                </c:pt>
                <c:pt idx="267">
                  <c:v>0.72200000000000042</c:v>
                </c:pt>
                <c:pt idx="268">
                  <c:v>0.69500000000000028</c:v>
                </c:pt>
                <c:pt idx="269">
                  <c:v>0.71499999999999986</c:v>
                </c:pt>
                <c:pt idx="270">
                  <c:v>0.71900000000000031</c:v>
                </c:pt>
                <c:pt idx="271">
                  <c:v>0.70699999999999985</c:v>
                </c:pt>
                <c:pt idx="272">
                  <c:v>0.72900000000000009</c:v>
                </c:pt>
                <c:pt idx="273">
                  <c:v>0.7110000000000003</c:v>
                </c:pt>
                <c:pt idx="274">
                  <c:v>0.71900000000000031</c:v>
                </c:pt>
                <c:pt idx="275">
                  <c:v>0.74199999999999999</c:v>
                </c:pt>
                <c:pt idx="276">
                  <c:v>0.72100000000000009</c:v>
                </c:pt>
                <c:pt idx="277">
                  <c:v>0.74199999999999999</c:v>
                </c:pt>
                <c:pt idx="278">
                  <c:v>0.75100000000000033</c:v>
                </c:pt>
                <c:pt idx="279">
                  <c:v>0.72900000000000009</c:v>
                </c:pt>
                <c:pt idx="280">
                  <c:v>0.75300000000000011</c:v>
                </c:pt>
                <c:pt idx="281">
                  <c:v>0.74000000000000021</c:v>
                </c:pt>
                <c:pt idx="282">
                  <c:v>0.71600000000000019</c:v>
                </c:pt>
                <c:pt idx="283">
                  <c:v>0.74100000000000055</c:v>
                </c:pt>
                <c:pt idx="284">
                  <c:v>0.72900000000000009</c:v>
                </c:pt>
                <c:pt idx="285">
                  <c:v>0.72599999999999998</c:v>
                </c:pt>
                <c:pt idx="286">
                  <c:v>0.75</c:v>
                </c:pt>
                <c:pt idx="287">
                  <c:v>0.73000000000000043</c:v>
                </c:pt>
                <c:pt idx="288">
                  <c:v>0.74300000000000033</c:v>
                </c:pt>
                <c:pt idx="289">
                  <c:v>0.75300000000000011</c:v>
                </c:pt>
                <c:pt idx="290">
                  <c:v>0.73099999999999987</c:v>
                </c:pt>
                <c:pt idx="291">
                  <c:v>0.75499999999999989</c:v>
                </c:pt>
                <c:pt idx="292">
                  <c:v>0.75700000000000056</c:v>
                </c:pt>
                <c:pt idx="293">
                  <c:v>0.73399999999999999</c:v>
                </c:pt>
                <c:pt idx="294">
                  <c:v>0.75800000000000001</c:v>
                </c:pt>
                <c:pt idx="295">
                  <c:v>0.73800000000000043</c:v>
                </c:pt>
                <c:pt idx="296">
                  <c:v>0.74699999999999989</c:v>
                </c:pt>
                <c:pt idx="297">
                  <c:v>0.7629999999999999</c:v>
                </c:pt>
                <c:pt idx="298">
                  <c:v>0.74000000000000021</c:v>
                </c:pt>
                <c:pt idx="299">
                  <c:v>0.75600000000000023</c:v>
                </c:pt>
                <c:pt idx="300">
                  <c:v>0.76600000000000001</c:v>
                </c:pt>
                <c:pt idx="301">
                  <c:v>0.74300000000000033</c:v>
                </c:pt>
                <c:pt idx="302">
                  <c:v>0.75700000000000056</c:v>
                </c:pt>
                <c:pt idx="303">
                  <c:v>0.75900000000000034</c:v>
                </c:pt>
                <c:pt idx="304">
                  <c:v>0.76900000000000013</c:v>
                </c:pt>
                <c:pt idx="305">
                  <c:v>0.74800000000000022</c:v>
                </c:pt>
                <c:pt idx="306">
                  <c:v>0.76900000000000013</c:v>
                </c:pt>
                <c:pt idx="307">
                  <c:v>0.77099999999999991</c:v>
                </c:pt>
                <c:pt idx="308">
                  <c:v>0.74900000000000055</c:v>
                </c:pt>
                <c:pt idx="309">
                  <c:v>0.77099999999999991</c:v>
                </c:pt>
                <c:pt idx="310">
                  <c:v>0.75400000000000045</c:v>
                </c:pt>
                <c:pt idx="311">
                  <c:v>0.75700000000000056</c:v>
                </c:pt>
                <c:pt idx="312">
                  <c:v>0.7759999999999998</c:v>
                </c:pt>
                <c:pt idx="313">
                  <c:v>0.75499999999999989</c:v>
                </c:pt>
                <c:pt idx="314">
                  <c:v>0.77899999999999991</c:v>
                </c:pt>
                <c:pt idx="315">
                  <c:v>0.78200000000000003</c:v>
                </c:pt>
                <c:pt idx="316">
                  <c:v>0.75900000000000034</c:v>
                </c:pt>
                <c:pt idx="317">
                  <c:v>0.78100000000000058</c:v>
                </c:pt>
                <c:pt idx="318">
                  <c:v>0.7629999999999999</c:v>
                </c:pt>
                <c:pt idx="319">
                  <c:v>0.78000000000000025</c:v>
                </c:pt>
                <c:pt idx="320">
                  <c:v>0.8050000000000006</c:v>
                </c:pt>
                <c:pt idx="321">
                  <c:v>0.8100000000000005</c:v>
                </c:pt>
                <c:pt idx="322">
                  <c:v>0.78800000000000026</c:v>
                </c:pt>
                <c:pt idx="323">
                  <c:v>0.80400000000000027</c:v>
                </c:pt>
                <c:pt idx="324">
                  <c:v>0.78100000000000058</c:v>
                </c:pt>
                <c:pt idx="325">
                  <c:v>0.78100000000000058</c:v>
                </c:pt>
                <c:pt idx="326">
                  <c:v>0.80400000000000027</c:v>
                </c:pt>
                <c:pt idx="327">
                  <c:v>0.79</c:v>
                </c:pt>
                <c:pt idx="328">
                  <c:v>0.79900000000000038</c:v>
                </c:pt>
                <c:pt idx="329">
                  <c:v>0.80600000000000005</c:v>
                </c:pt>
                <c:pt idx="330">
                  <c:v>0.81400000000000006</c:v>
                </c:pt>
                <c:pt idx="331">
                  <c:v>0.79100000000000037</c:v>
                </c:pt>
                <c:pt idx="332">
                  <c:v>0.79300000000000015</c:v>
                </c:pt>
                <c:pt idx="333">
                  <c:v>0.81400000000000006</c:v>
                </c:pt>
                <c:pt idx="334">
                  <c:v>0.79100000000000037</c:v>
                </c:pt>
                <c:pt idx="335">
                  <c:v>0.80100000000000016</c:v>
                </c:pt>
                <c:pt idx="336">
                  <c:v>0.81400000000000006</c:v>
                </c:pt>
                <c:pt idx="337">
                  <c:v>0.79100000000000037</c:v>
                </c:pt>
                <c:pt idx="338">
                  <c:v>0.80900000000000016</c:v>
                </c:pt>
                <c:pt idx="339">
                  <c:v>0.81400000000000006</c:v>
                </c:pt>
                <c:pt idx="340">
                  <c:v>0.79100000000000037</c:v>
                </c:pt>
                <c:pt idx="341">
                  <c:v>0.81200000000000028</c:v>
                </c:pt>
              </c:numCache>
            </c:numRef>
          </c:val>
          <c:smooth val="0"/>
          <c:extLst>
            <c:ext xmlns:c16="http://schemas.microsoft.com/office/drawing/2014/chart" uri="{C3380CC4-5D6E-409C-BE32-E72D297353CC}">
              <c16:uniqueId val="{00000000-4DC5-4D29-A155-2F336F2CBFF9}"/>
            </c:ext>
          </c:extLst>
        </c:ser>
        <c:ser>
          <c:idx val="1"/>
          <c:order val="1"/>
          <c:tx>
            <c:strRef>
              <c:f>Sheet2!$C$4</c:f>
              <c:strCache>
                <c:ptCount val="1"/>
                <c:pt idx="0">
                  <c:v>PebblesDB</c:v>
                </c:pt>
              </c:strCache>
            </c:strRef>
          </c:tx>
          <c:spPr>
            <a:ln w="28575" cap="rnd">
              <a:solidFill>
                <a:schemeClr val="accent2"/>
              </a:solidFill>
              <a:round/>
            </a:ln>
            <a:effectLst/>
          </c:spPr>
          <c:marker>
            <c:symbol val="none"/>
          </c:marker>
          <c:val>
            <c:numRef>
              <c:f>Sheet2!$C$5:$C$449</c:f>
              <c:numCache>
                <c:formatCode>General</c:formatCode>
                <c:ptCount val="445"/>
                <c:pt idx="0">
                  <c:v>15276</c:v>
                </c:pt>
                <c:pt idx="1">
                  <c:v>35808</c:v>
                </c:pt>
                <c:pt idx="2">
                  <c:v>39636</c:v>
                </c:pt>
                <c:pt idx="3">
                  <c:v>55616</c:v>
                </c:pt>
                <c:pt idx="4">
                  <c:v>57988</c:v>
                </c:pt>
                <c:pt idx="5">
                  <c:v>62240</c:v>
                </c:pt>
                <c:pt idx="6">
                  <c:v>68876</c:v>
                </c:pt>
                <c:pt idx="7">
                  <c:v>74296</c:v>
                </c:pt>
                <c:pt idx="8">
                  <c:v>72512</c:v>
                </c:pt>
                <c:pt idx="9">
                  <c:v>72348</c:v>
                </c:pt>
                <c:pt idx="10">
                  <c:v>73324</c:v>
                </c:pt>
                <c:pt idx="11">
                  <c:v>73320</c:v>
                </c:pt>
                <c:pt idx="12">
                  <c:v>75472</c:v>
                </c:pt>
                <c:pt idx="13">
                  <c:v>80568</c:v>
                </c:pt>
                <c:pt idx="14">
                  <c:v>84048</c:v>
                </c:pt>
                <c:pt idx="15">
                  <c:v>86768</c:v>
                </c:pt>
                <c:pt idx="16">
                  <c:v>91636</c:v>
                </c:pt>
                <c:pt idx="17">
                  <c:v>93736</c:v>
                </c:pt>
                <c:pt idx="18">
                  <c:v>92744</c:v>
                </c:pt>
                <c:pt idx="19">
                  <c:v>92564</c:v>
                </c:pt>
                <c:pt idx="20">
                  <c:v>94128</c:v>
                </c:pt>
                <c:pt idx="21">
                  <c:v>94240</c:v>
                </c:pt>
                <c:pt idx="22">
                  <c:v>97220</c:v>
                </c:pt>
                <c:pt idx="23">
                  <c:v>97120</c:v>
                </c:pt>
                <c:pt idx="24">
                  <c:v>98292</c:v>
                </c:pt>
                <c:pt idx="25">
                  <c:v>103708</c:v>
                </c:pt>
                <c:pt idx="26">
                  <c:v>107300</c:v>
                </c:pt>
                <c:pt idx="27">
                  <c:v>104392</c:v>
                </c:pt>
                <c:pt idx="28">
                  <c:v>107624</c:v>
                </c:pt>
                <c:pt idx="29">
                  <c:v>111020</c:v>
                </c:pt>
                <c:pt idx="30">
                  <c:v>111548</c:v>
                </c:pt>
                <c:pt idx="31">
                  <c:v>110784</c:v>
                </c:pt>
                <c:pt idx="32">
                  <c:v>116552</c:v>
                </c:pt>
                <c:pt idx="33">
                  <c:v>122452</c:v>
                </c:pt>
                <c:pt idx="34">
                  <c:v>124620</c:v>
                </c:pt>
                <c:pt idx="35">
                  <c:v>126260</c:v>
                </c:pt>
                <c:pt idx="36">
                  <c:v>126036</c:v>
                </c:pt>
                <c:pt idx="37">
                  <c:v>125504</c:v>
                </c:pt>
                <c:pt idx="38">
                  <c:v>127712</c:v>
                </c:pt>
                <c:pt idx="39">
                  <c:v>128152</c:v>
                </c:pt>
                <c:pt idx="40">
                  <c:v>129192</c:v>
                </c:pt>
                <c:pt idx="41">
                  <c:v>131196</c:v>
                </c:pt>
                <c:pt idx="42">
                  <c:v>133576</c:v>
                </c:pt>
                <c:pt idx="43">
                  <c:v>138528</c:v>
                </c:pt>
                <c:pt idx="44">
                  <c:v>142504</c:v>
                </c:pt>
                <c:pt idx="45">
                  <c:v>145968</c:v>
                </c:pt>
                <c:pt idx="46">
                  <c:v>142456</c:v>
                </c:pt>
                <c:pt idx="47">
                  <c:v>146324</c:v>
                </c:pt>
                <c:pt idx="48">
                  <c:v>146576</c:v>
                </c:pt>
                <c:pt idx="49">
                  <c:v>149420</c:v>
                </c:pt>
                <c:pt idx="50">
                  <c:v>144716</c:v>
                </c:pt>
                <c:pt idx="51">
                  <c:v>148064</c:v>
                </c:pt>
                <c:pt idx="52">
                  <c:v>147820</c:v>
                </c:pt>
                <c:pt idx="53">
                  <c:v>146788</c:v>
                </c:pt>
                <c:pt idx="54">
                  <c:v>148956</c:v>
                </c:pt>
                <c:pt idx="55">
                  <c:v>150284</c:v>
                </c:pt>
                <c:pt idx="56">
                  <c:v>153200</c:v>
                </c:pt>
                <c:pt idx="57">
                  <c:v>154464</c:v>
                </c:pt>
                <c:pt idx="58">
                  <c:v>151896</c:v>
                </c:pt>
                <c:pt idx="59">
                  <c:v>157032</c:v>
                </c:pt>
                <c:pt idx="60">
                  <c:v>168840</c:v>
                </c:pt>
                <c:pt idx="61">
                  <c:v>167636</c:v>
                </c:pt>
                <c:pt idx="62">
                  <c:v>166744</c:v>
                </c:pt>
                <c:pt idx="63">
                  <c:v>172000</c:v>
                </c:pt>
                <c:pt idx="64">
                  <c:v>170504</c:v>
                </c:pt>
                <c:pt idx="65">
                  <c:v>171556</c:v>
                </c:pt>
                <c:pt idx="66">
                  <c:v>172484</c:v>
                </c:pt>
                <c:pt idx="67">
                  <c:v>174836</c:v>
                </c:pt>
                <c:pt idx="68">
                  <c:v>173932</c:v>
                </c:pt>
                <c:pt idx="69">
                  <c:v>172536</c:v>
                </c:pt>
                <c:pt idx="70">
                  <c:v>178120</c:v>
                </c:pt>
                <c:pt idx="71">
                  <c:v>180268</c:v>
                </c:pt>
                <c:pt idx="72">
                  <c:v>184928</c:v>
                </c:pt>
                <c:pt idx="73">
                  <c:v>186124</c:v>
                </c:pt>
                <c:pt idx="74">
                  <c:v>187632</c:v>
                </c:pt>
                <c:pt idx="75">
                  <c:v>201596</c:v>
                </c:pt>
                <c:pt idx="76">
                  <c:v>197700</c:v>
                </c:pt>
                <c:pt idx="77">
                  <c:v>200280</c:v>
                </c:pt>
                <c:pt idx="78">
                  <c:v>200040</c:v>
                </c:pt>
                <c:pt idx="79">
                  <c:v>199460</c:v>
                </c:pt>
                <c:pt idx="80">
                  <c:v>205680</c:v>
                </c:pt>
                <c:pt idx="81">
                  <c:v>216584</c:v>
                </c:pt>
                <c:pt idx="82">
                  <c:v>225360</c:v>
                </c:pt>
                <c:pt idx="83">
                  <c:v>225996</c:v>
                </c:pt>
                <c:pt idx="84">
                  <c:v>229412</c:v>
                </c:pt>
                <c:pt idx="85">
                  <c:v>231428</c:v>
                </c:pt>
                <c:pt idx="86">
                  <c:v>236488</c:v>
                </c:pt>
                <c:pt idx="87">
                  <c:v>238872</c:v>
                </c:pt>
                <c:pt idx="88">
                  <c:v>240104</c:v>
                </c:pt>
                <c:pt idx="89">
                  <c:v>246164</c:v>
                </c:pt>
                <c:pt idx="90">
                  <c:v>245236</c:v>
                </c:pt>
                <c:pt idx="91">
                  <c:v>250752</c:v>
                </c:pt>
                <c:pt idx="92">
                  <c:v>256068</c:v>
                </c:pt>
                <c:pt idx="93">
                  <c:v>258856</c:v>
                </c:pt>
                <c:pt idx="94">
                  <c:v>261696</c:v>
                </c:pt>
                <c:pt idx="95">
                  <c:v>263948</c:v>
                </c:pt>
                <c:pt idx="96">
                  <c:v>268064</c:v>
                </c:pt>
                <c:pt idx="97">
                  <c:v>272096</c:v>
                </c:pt>
                <c:pt idx="98">
                  <c:v>275940</c:v>
                </c:pt>
                <c:pt idx="99">
                  <c:v>283208</c:v>
                </c:pt>
                <c:pt idx="100">
                  <c:v>289428</c:v>
                </c:pt>
                <c:pt idx="101">
                  <c:v>303556</c:v>
                </c:pt>
                <c:pt idx="102">
                  <c:v>309348</c:v>
                </c:pt>
                <c:pt idx="103">
                  <c:v>314848</c:v>
                </c:pt>
                <c:pt idx="104">
                  <c:v>316348</c:v>
                </c:pt>
                <c:pt idx="105">
                  <c:v>320032</c:v>
                </c:pt>
                <c:pt idx="106">
                  <c:v>323784</c:v>
                </c:pt>
                <c:pt idx="107">
                  <c:v>320920</c:v>
                </c:pt>
                <c:pt idx="108">
                  <c:v>327500</c:v>
                </c:pt>
                <c:pt idx="109">
                  <c:v>328960</c:v>
                </c:pt>
                <c:pt idx="110">
                  <c:v>332804</c:v>
                </c:pt>
                <c:pt idx="111">
                  <c:v>332352</c:v>
                </c:pt>
                <c:pt idx="112">
                  <c:v>331648</c:v>
                </c:pt>
                <c:pt idx="113">
                  <c:v>335744</c:v>
                </c:pt>
                <c:pt idx="114">
                  <c:v>338760</c:v>
                </c:pt>
                <c:pt idx="115">
                  <c:v>341192</c:v>
                </c:pt>
                <c:pt idx="116">
                  <c:v>343584</c:v>
                </c:pt>
                <c:pt idx="117">
                  <c:v>348976</c:v>
                </c:pt>
                <c:pt idx="118">
                  <c:v>354304</c:v>
                </c:pt>
                <c:pt idx="119">
                  <c:v>356160</c:v>
                </c:pt>
                <c:pt idx="120">
                  <c:v>362132</c:v>
                </c:pt>
                <c:pt idx="121">
                  <c:v>363080</c:v>
                </c:pt>
                <c:pt idx="122">
                  <c:v>367248</c:v>
                </c:pt>
                <c:pt idx="123">
                  <c:v>373424</c:v>
                </c:pt>
                <c:pt idx="124">
                  <c:v>379744</c:v>
                </c:pt>
                <c:pt idx="125">
                  <c:v>383480</c:v>
                </c:pt>
                <c:pt idx="126">
                  <c:v>385328</c:v>
                </c:pt>
                <c:pt idx="127">
                  <c:v>385432</c:v>
                </c:pt>
                <c:pt idx="128">
                  <c:v>388220</c:v>
                </c:pt>
                <c:pt idx="129">
                  <c:v>392816</c:v>
                </c:pt>
                <c:pt idx="130">
                  <c:v>395344</c:v>
                </c:pt>
                <c:pt idx="131">
                  <c:v>399884</c:v>
                </c:pt>
                <c:pt idx="132">
                  <c:v>405544</c:v>
                </c:pt>
                <c:pt idx="133">
                  <c:v>412832</c:v>
                </c:pt>
                <c:pt idx="134">
                  <c:v>415592</c:v>
                </c:pt>
                <c:pt idx="135">
                  <c:v>414908</c:v>
                </c:pt>
                <c:pt idx="136">
                  <c:v>414220</c:v>
                </c:pt>
                <c:pt idx="137">
                  <c:v>417756</c:v>
                </c:pt>
                <c:pt idx="138">
                  <c:v>422432</c:v>
                </c:pt>
                <c:pt idx="139">
                  <c:v>425956</c:v>
                </c:pt>
                <c:pt idx="140">
                  <c:v>428964</c:v>
                </c:pt>
                <c:pt idx="141">
                  <c:v>425656</c:v>
                </c:pt>
                <c:pt idx="142">
                  <c:v>436084</c:v>
                </c:pt>
                <c:pt idx="143">
                  <c:v>431796</c:v>
                </c:pt>
                <c:pt idx="144">
                  <c:v>437852</c:v>
                </c:pt>
                <c:pt idx="145">
                  <c:v>434780</c:v>
                </c:pt>
                <c:pt idx="146">
                  <c:v>443512</c:v>
                </c:pt>
                <c:pt idx="147">
                  <c:v>450544</c:v>
                </c:pt>
                <c:pt idx="148">
                  <c:v>455016</c:v>
                </c:pt>
                <c:pt idx="149">
                  <c:v>458208</c:v>
                </c:pt>
                <c:pt idx="150">
                  <c:v>459812</c:v>
                </c:pt>
                <c:pt idx="151">
                  <c:v>466804</c:v>
                </c:pt>
                <c:pt idx="152">
                  <c:v>475128</c:v>
                </c:pt>
                <c:pt idx="153">
                  <c:v>483256</c:v>
                </c:pt>
                <c:pt idx="154">
                  <c:v>487616</c:v>
                </c:pt>
                <c:pt idx="155">
                  <c:v>497032</c:v>
                </c:pt>
                <c:pt idx="156">
                  <c:v>500108</c:v>
                </c:pt>
                <c:pt idx="157">
                  <c:v>506260</c:v>
                </c:pt>
                <c:pt idx="158">
                  <c:v>513044</c:v>
                </c:pt>
                <c:pt idx="159">
                  <c:v>519276</c:v>
                </c:pt>
                <c:pt idx="160">
                  <c:v>528000</c:v>
                </c:pt>
                <c:pt idx="161">
                  <c:v>538704</c:v>
                </c:pt>
                <c:pt idx="162">
                  <c:v>545436</c:v>
                </c:pt>
                <c:pt idx="163">
                  <c:v>552596</c:v>
                </c:pt>
                <c:pt idx="164">
                  <c:v>558448</c:v>
                </c:pt>
                <c:pt idx="165">
                  <c:v>561384</c:v>
                </c:pt>
                <c:pt idx="166">
                  <c:v>567132</c:v>
                </c:pt>
                <c:pt idx="167">
                  <c:v>567828</c:v>
                </c:pt>
                <c:pt idx="168">
                  <c:v>569368</c:v>
                </c:pt>
                <c:pt idx="169">
                  <c:v>577636</c:v>
                </c:pt>
                <c:pt idx="170">
                  <c:v>577064</c:v>
                </c:pt>
                <c:pt idx="171">
                  <c:v>581876</c:v>
                </c:pt>
                <c:pt idx="172">
                  <c:v>586832</c:v>
                </c:pt>
                <c:pt idx="173">
                  <c:v>591152</c:v>
                </c:pt>
                <c:pt idx="174">
                  <c:v>599456</c:v>
                </c:pt>
                <c:pt idx="175">
                  <c:v>602520</c:v>
                </c:pt>
                <c:pt idx="176">
                  <c:v>610468</c:v>
                </c:pt>
                <c:pt idx="177">
                  <c:v>617016</c:v>
                </c:pt>
                <c:pt idx="178">
                  <c:v>621444</c:v>
                </c:pt>
                <c:pt idx="179">
                  <c:v>627684</c:v>
                </c:pt>
                <c:pt idx="180">
                  <c:v>633708</c:v>
                </c:pt>
                <c:pt idx="181">
                  <c:v>639940</c:v>
                </c:pt>
                <c:pt idx="182">
                  <c:v>649828</c:v>
                </c:pt>
                <c:pt idx="183">
                  <c:v>654384</c:v>
                </c:pt>
                <c:pt idx="184">
                  <c:v>658716</c:v>
                </c:pt>
                <c:pt idx="185">
                  <c:v>660512</c:v>
                </c:pt>
                <c:pt idx="186">
                  <c:v>674320</c:v>
                </c:pt>
                <c:pt idx="187">
                  <c:v>680848</c:v>
                </c:pt>
                <c:pt idx="188">
                  <c:v>687544</c:v>
                </c:pt>
                <c:pt idx="189">
                  <c:v>691716</c:v>
                </c:pt>
                <c:pt idx="190">
                  <c:v>697132</c:v>
                </c:pt>
                <c:pt idx="191">
                  <c:v>700096</c:v>
                </c:pt>
                <c:pt idx="192">
                  <c:v>707368</c:v>
                </c:pt>
                <c:pt idx="193">
                  <c:v>710736</c:v>
                </c:pt>
                <c:pt idx="194">
                  <c:v>715900</c:v>
                </c:pt>
                <c:pt idx="195">
                  <c:v>715196</c:v>
                </c:pt>
                <c:pt idx="196">
                  <c:v>718636</c:v>
                </c:pt>
                <c:pt idx="197">
                  <c:v>721680</c:v>
                </c:pt>
                <c:pt idx="198">
                  <c:v>728460</c:v>
                </c:pt>
                <c:pt idx="199">
                  <c:v>727344</c:v>
                </c:pt>
                <c:pt idx="200">
                  <c:v>735528</c:v>
                </c:pt>
                <c:pt idx="201">
                  <c:v>737636</c:v>
                </c:pt>
                <c:pt idx="202">
                  <c:v>737064</c:v>
                </c:pt>
                <c:pt idx="203">
                  <c:v>743632</c:v>
                </c:pt>
                <c:pt idx="204">
                  <c:v>751960</c:v>
                </c:pt>
                <c:pt idx="205">
                  <c:v>756700</c:v>
                </c:pt>
                <c:pt idx="206">
                  <c:v>765328</c:v>
                </c:pt>
                <c:pt idx="207">
                  <c:v>774656</c:v>
                </c:pt>
                <c:pt idx="208">
                  <c:v>779888</c:v>
                </c:pt>
                <c:pt idx="209">
                  <c:v>784624</c:v>
                </c:pt>
                <c:pt idx="210">
                  <c:v>790584</c:v>
                </c:pt>
                <c:pt idx="211">
                  <c:v>797576</c:v>
                </c:pt>
                <c:pt idx="212">
                  <c:v>803772</c:v>
                </c:pt>
                <c:pt idx="213">
                  <c:v>817204</c:v>
                </c:pt>
                <c:pt idx="214">
                  <c:v>821940</c:v>
                </c:pt>
                <c:pt idx="215">
                  <c:v>827960</c:v>
                </c:pt>
                <c:pt idx="216">
                  <c:v>830680</c:v>
                </c:pt>
                <c:pt idx="217">
                  <c:v>834760</c:v>
                </c:pt>
                <c:pt idx="218">
                  <c:v>842400</c:v>
                </c:pt>
                <c:pt idx="219">
                  <c:v>848200</c:v>
                </c:pt>
                <c:pt idx="220">
                  <c:v>845300</c:v>
                </c:pt>
                <c:pt idx="221">
                  <c:v>854644</c:v>
                </c:pt>
                <c:pt idx="222">
                  <c:v>860596</c:v>
                </c:pt>
                <c:pt idx="223">
                  <c:v>866412</c:v>
                </c:pt>
                <c:pt idx="224">
                  <c:v>870728</c:v>
                </c:pt>
                <c:pt idx="225">
                  <c:v>872136</c:v>
                </c:pt>
                <c:pt idx="226">
                  <c:v>877252</c:v>
                </c:pt>
                <c:pt idx="227">
                  <c:v>883440</c:v>
                </c:pt>
                <c:pt idx="228">
                  <c:v>893160</c:v>
                </c:pt>
                <c:pt idx="229">
                  <c:v>898960</c:v>
                </c:pt>
                <c:pt idx="230">
                  <c:v>904124</c:v>
                </c:pt>
                <c:pt idx="231">
                  <c:v>910860</c:v>
                </c:pt>
                <c:pt idx="232">
                  <c:v>914412</c:v>
                </c:pt>
                <c:pt idx="233">
                  <c:v>928528</c:v>
                </c:pt>
                <c:pt idx="234">
                  <c:v>934816</c:v>
                </c:pt>
                <c:pt idx="235">
                  <c:v>940972</c:v>
                </c:pt>
                <c:pt idx="236">
                  <c:v>945352</c:v>
                </c:pt>
                <c:pt idx="237">
                  <c:v>952068</c:v>
                </c:pt>
                <c:pt idx="238">
                  <c:v>956040</c:v>
                </c:pt>
                <c:pt idx="239">
                  <c:v>962748</c:v>
                </c:pt>
                <c:pt idx="240">
                  <c:v>964128</c:v>
                </c:pt>
                <c:pt idx="241">
                  <c:v>972020</c:v>
                </c:pt>
                <c:pt idx="242">
                  <c:v>970092</c:v>
                </c:pt>
                <c:pt idx="243">
                  <c:v>969912</c:v>
                </c:pt>
                <c:pt idx="244">
                  <c:v>976500</c:v>
                </c:pt>
                <c:pt idx="245">
                  <c:v>976028</c:v>
                </c:pt>
                <c:pt idx="246">
                  <c:v>977252</c:v>
                </c:pt>
                <c:pt idx="247">
                  <c:v>976440</c:v>
                </c:pt>
                <c:pt idx="248">
                  <c:v>975620</c:v>
                </c:pt>
                <c:pt idx="249">
                  <c:v>974524</c:v>
                </c:pt>
                <c:pt idx="250">
                  <c:v>980580</c:v>
                </c:pt>
                <c:pt idx="251">
                  <c:v>982640</c:v>
                </c:pt>
                <c:pt idx="252">
                  <c:v>989244</c:v>
                </c:pt>
                <c:pt idx="253">
                  <c:v>997420</c:v>
                </c:pt>
                <c:pt idx="254">
                  <c:v>982100</c:v>
                </c:pt>
                <c:pt idx="255">
                  <c:v>980800</c:v>
                </c:pt>
                <c:pt idx="256">
                  <c:v>991600</c:v>
                </c:pt>
                <c:pt idx="257">
                  <c:v>979000</c:v>
                </c:pt>
                <c:pt idx="258">
                  <c:v>983000</c:v>
                </c:pt>
                <c:pt idx="259">
                  <c:v>994000</c:v>
                </c:pt>
                <c:pt idx="260">
                  <c:v>998000</c:v>
                </c:pt>
                <c:pt idx="261">
                  <c:v>1004000</c:v>
                </c:pt>
                <c:pt idx="262">
                  <c:v>1010000</c:v>
                </c:pt>
                <c:pt idx="263">
                  <c:v>1010000</c:v>
                </c:pt>
                <c:pt idx="264">
                  <c:v>1016000</c:v>
                </c:pt>
                <c:pt idx="265">
                  <c:v>1016000</c:v>
                </c:pt>
                <c:pt idx="266">
                  <c:v>1014999.9999999999</c:v>
                </c:pt>
                <c:pt idx="267">
                  <c:v>1014999.9999999999</c:v>
                </c:pt>
                <c:pt idx="268">
                  <c:v>1014000</c:v>
                </c:pt>
                <c:pt idx="269">
                  <c:v>1020000</c:v>
                </c:pt>
                <c:pt idx="270">
                  <c:v>1028000</c:v>
                </c:pt>
                <c:pt idx="271">
                  <c:v>1032000</c:v>
                </c:pt>
                <c:pt idx="272">
                  <c:v>1040000</c:v>
                </c:pt>
                <c:pt idx="273">
                  <c:v>1046999.9999999999</c:v>
                </c:pt>
                <c:pt idx="274">
                  <c:v>1054000</c:v>
                </c:pt>
                <c:pt idx="275">
                  <c:v>1059000</c:v>
                </c:pt>
                <c:pt idx="276">
                  <c:v>1067000</c:v>
                </c:pt>
                <c:pt idx="277">
                  <c:v>1069000</c:v>
                </c:pt>
                <c:pt idx="278">
                  <c:v>1077000</c:v>
                </c:pt>
                <c:pt idx="279">
                  <c:v>1084000</c:v>
                </c:pt>
                <c:pt idx="280">
                  <c:v>1092000</c:v>
                </c:pt>
                <c:pt idx="281">
                  <c:v>1091000</c:v>
                </c:pt>
                <c:pt idx="282">
                  <c:v>1102000</c:v>
                </c:pt>
                <c:pt idx="283">
                  <c:v>1110000</c:v>
                </c:pt>
                <c:pt idx="284">
                  <c:v>1119000</c:v>
                </c:pt>
                <c:pt idx="285">
                  <c:v>1124000</c:v>
                </c:pt>
                <c:pt idx="286">
                  <c:v>1133000</c:v>
                </c:pt>
                <c:pt idx="287">
                  <c:v>1137000</c:v>
                </c:pt>
                <c:pt idx="288">
                  <c:v>1147000</c:v>
                </c:pt>
                <c:pt idx="289">
                  <c:v>1155000</c:v>
                </c:pt>
                <c:pt idx="290">
                  <c:v>1162000</c:v>
                </c:pt>
                <c:pt idx="291">
                  <c:v>1170000</c:v>
                </c:pt>
                <c:pt idx="292">
                  <c:v>1181000</c:v>
                </c:pt>
                <c:pt idx="293">
                  <c:v>1186000</c:v>
                </c:pt>
                <c:pt idx="294">
                  <c:v>1190000</c:v>
                </c:pt>
                <c:pt idx="295">
                  <c:v>1199000</c:v>
                </c:pt>
                <c:pt idx="296">
                  <c:v>1205000</c:v>
                </c:pt>
                <c:pt idx="297">
                  <c:v>1209000</c:v>
                </c:pt>
                <c:pt idx="298">
                  <c:v>1219000</c:v>
                </c:pt>
                <c:pt idx="299">
                  <c:v>1227000</c:v>
                </c:pt>
                <c:pt idx="300">
                  <c:v>1227000</c:v>
                </c:pt>
                <c:pt idx="301">
                  <c:v>1232000</c:v>
                </c:pt>
                <c:pt idx="302">
                  <c:v>1241000</c:v>
                </c:pt>
                <c:pt idx="303">
                  <c:v>1252000</c:v>
                </c:pt>
                <c:pt idx="304">
                  <c:v>1258000</c:v>
                </c:pt>
                <c:pt idx="305">
                  <c:v>1255000</c:v>
                </c:pt>
                <c:pt idx="306">
                  <c:v>1266000</c:v>
                </c:pt>
                <c:pt idx="307">
                  <c:v>1275000</c:v>
                </c:pt>
                <c:pt idx="308">
                  <c:v>1288000</c:v>
                </c:pt>
                <c:pt idx="309">
                  <c:v>1302000</c:v>
                </c:pt>
                <c:pt idx="310">
                  <c:v>1308000</c:v>
                </c:pt>
                <c:pt idx="311">
                  <c:v>1316000</c:v>
                </c:pt>
                <c:pt idx="312">
                  <c:v>1331000</c:v>
                </c:pt>
                <c:pt idx="313">
                  <c:v>1336000</c:v>
                </c:pt>
                <c:pt idx="314">
                  <c:v>1342000</c:v>
                </c:pt>
                <c:pt idx="315">
                  <c:v>1346000</c:v>
                </c:pt>
                <c:pt idx="316">
                  <c:v>1351000</c:v>
                </c:pt>
                <c:pt idx="317">
                  <c:v>1352000</c:v>
                </c:pt>
                <c:pt idx="318">
                  <c:v>1360000</c:v>
                </c:pt>
                <c:pt idx="319">
                  <c:v>1359000</c:v>
                </c:pt>
                <c:pt idx="320">
                  <c:v>1362000</c:v>
                </c:pt>
                <c:pt idx="321">
                  <c:v>1361000</c:v>
                </c:pt>
                <c:pt idx="322">
                  <c:v>1360000</c:v>
                </c:pt>
                <c:pt idx="323">
                  <c:v>1363000</c:v>
                </c:pt>
                <c:pt idx="324">
                  <c:v>1375000</c:v>
                </c:pt>
                <c:pt idx="325">
                  <c:v>1384000</c:v>
                </c:pt>
                <c:pt idx="326">
                  <c:v>1392000</c:v>
                </c:pt>
                <c:pt idx="327">
                  <c:v>1400000</c:v>
                </c:pt>
                <c:pt idx="328">
                  <c:v>1413000</c:v>
                </c:pt>
                <c:pt idx="329">
                  <c:v>1411000</c:v>
                </c:pt>
                <c:pt idx="330">
                  <c:v>1411000</c:v>
                </c:pt>
                <c:pt idx="331">
                  <c:v>1417000</c:v>
                </c:pt>
                <c:pt idx="332">
                  <c:v>1417000</c:v>
                </c:pt>
                <c:pt idx="333">
                  <c:v>1427000</c:v>
                </c:pt>
                <c:pt idx="334">
                  <c:v>1439000</c:v>
                </c:pt>
                <c:pt idx="335">
                  <c:v>1448000</c:v>
                </c:pt>
                <c:pt idx="336">
                  <c:v>1454000</c:v>
                </c:pt>
                <c:pt idx="337">
                  <c:v>1458000</c:v>
                </c:pt>
                <c:pt idx="338">
                  <c:v>1470000</c:v>
                </c:pt>
                <c:pt idx="339">
                  <c:v>1478000</c:v>
                </c:pt>
                <c:pt idx="340">
                  <c:v>1488000</c:v>
                </c:pt>
                <c:pt idx="341">
                  <c:v>1497000</c:v>
                </c:pt>
                <c:pt idx="342">
                  <c:v>1504000</c:v>
                </c:pt>
                <c:pt idx="343">
                  <c:v>1514000</c:v>
                </c:pt>
                <c:pt idx="344">
                  <c:v>1514000</c:v>
                </c:pt>
                <c:pt idx="345">
                  <c:v>1520000</c:v>
                </c:pt>
                <c:pt idx="346">
                  <c:v>1525000</c:v>
                </c:pt>
                <c:pt idx="347">
                  <c:v>1531000</c:v>
                </c:pt>
                <c:pt idx="348">
                  <c:v>1537000</c:v>
                </c:pt>
                <c:pt idx="349">
                  <c:v>1551000</c:v>
                </c:pt>
                <c:pt idx="350">
                  <c:v>1555000</c:v>
                </c:pt>
                <c:pt idx="351">
                  <c:v>1564000</c:v>
                </c:pt>
                <c:pt idx="352">
                  <c:v>1576000</c:v>
                </c:pt>
                <c:pt idx="353">
                  <c:v>1585000</c:v>
                </c:pt>
                <c:pt idx="354">
                  <c:v>1594000</c:v>
                </c:pt>
                <c:pt idx="355">
                  <c:v>1606000</c:v>
                </c:pt>
                <c:pt idx="356">
                  <c:v>1618000</c:v>
                </c:pt>
                <c:pt idx="357">
                  <c:v>1628000</c:v>
                </c:pt>
                <c:pt idx="358">
                  <c:v>1637000</c:v>
                </c:pt>
                <c:pt idx="359">
                  <c:v>1650000</c:v>
                </c:pt>
                <c:pt idx="360">
                  <c:v>1663000</c:v>
                </c:pt>
                <c:pt idx="361">
                  <c:v>1678000</c:v>
                </c:pt>
                <c:pt idx="362">
                  <c:v>1691000</c:v>
                </c:pt>
                <c:pt idx="363">
                  <c:v>1701000</c:v>
                </c:pt>
                <c:pt idx="364">
                  <c:v>1716000</c:v>
                </c:pt>
                <c:pt idx="365">
                  <c:v>1721000</c:v>
                </c:pt>
                <c:pt idx="366">
                  <c:v>1727000</c:v>
                </c:pt>
                <c:pt idx="367">
                  <c:v>1740000</c:v>
                </c:pt>
                <c:pt idx="368">
                  <c:v>1744000</c:v>
                </c:pt>
                <c:pt idx="369">
                  <c:v>1752000</c:v>
                </c:pt>
                <c:pt idx="370">
                  <c:v>1761000</c:v>
                </c:pt>
                <c:pt idx="371">
                  <c:v>1769000</c:v>
                </c:pt>
                <c:pt idx="372">
                  <c:v>1778000</c:v>
                </c:pt>
                <c:pt idx="373">
                  <c:v>1785000</c:v>
                </c:pt>
                <c:pt idx="374">
                  <c:v>1796000</c:v>
                </c:pt>
                <c:pt idx="375">
                  <c:v>1799000</c:v>
                </c:pt>
                <c:pt idx="376">
                  <c:v>1810000</c:v>
                </c:pt>
                <c:pt idx="377">
                  <c:v>1821000</c:v>
                </c:pt>
                <c:pt idx="378">
                  <c:v>1834000</c:v>
                </c:pt>
                <c:pt idx="379">
                  <c:v>1844000</c:v>
                </c:pt>
                <c:pt idx="380">
                  <c:v>1854000</c:v>
                </c:pt>
                <c:pt idx="381">
                  <c:v>1865000</c:v>
                </c:pt>
                <c:pt idx="382">
                  <c:v>1881000</c:v>
                </c:pt>
                <c:pt idx="383">
                  <c:v>1894000</c:v>
                </c:pt>
                <c:pt idx="384">
                  <c:v>1909000</c:v>
                </c:pt>
                <c:pt idx="385">
                  <c:v>1919000</c:v>
                </c:pt>
                <c:pt idx="386">
                  <c:v>1935000</c:v>
                </c:pt>
                <c:pt idx="387">
                  <c:v>1941000</c:v>
                </c:pt>
                <c:pt idx="388">
                  <c:v>1947000</c:v>
                </c:pt>
                <c:pt idx="389">
                  <c:v>1960000</c:v>
                </c:pt>
                <c:pt idx="390">
                  <c:v>1970000</c:v>
                </c:pt>
                <c:pt idx="391">
                  <c:v>1977000</c:v>
                </c:pt>
                <c:pt idx="392">
                  <c:v>1985000</c:v>
                </c:pt>
                <c:pt idx="393">
                  <c:v>1995000</c:v>
                </c:pt>
                <c:pt idx="394">
                  <c:v>2009999.9999999998</c:v>
                </c:pt>
                <c:pt idx="395">
                  <c:v>2027000.0000000002</c:v>
                </c:pt>
                <c:pt idx="396">
                  <c:v>2047000.0000000002</c:v>
                </c:pt>
                <c:pt idx="397">
                  <c:v>2065999.9999999998</c:v>
                </c:pt>
                <c:pt idx="398">
                  <c:v>2085000</c:v>
                </c:pt>
                <c:pt idx="399">
                  <c:v>2089999.9999999998</c:v>
                </c:pt>
                <c:pt idx="400">
                  <c:v>2096000</c:v>
                </c:pt>
                <c:pt idx="401">
                  <c:v>2106000</c:v>
                </c:pt>
                <c:pt idx="402">
                  <c:v>2118000</c:v>
                </c:pt>
                <c:pt idx="403">
                  <c:v>2118000</c:v>
                </c:pt>
                <c:pt idx="404">
                  <c:v>2124000</c:v>
                </c:pt>
                <c:pt idx="405">
                  <c:v>2129000</c:v>
                </c:pt>
                <c:pt idx="406">
                  <c:v>2138000</c:v>
                </c:pt>
                <c:pt idx="407">
                  <c:v>2142000</c:v>
                </c:pt>
                <c:pt idx="408">
                  <c:v>2144000</c:v>
                </c:pt>
                <c:pt idx="409">
                  <c:v>2157000</c:v>
                </c:pt>
                <c:pt idx="410">
                  <c:v>2164000</c:v>
                </c:pt>
                <c:pt idx="411">
                  <c:v>2164000</c:v>
                </c:pt>
                <c:pt idx="412">
                  <c:v>2175000</c:v>
                </c:pt>
                <c:pt idx="413">
                  <c:v>2183000</c:v>
                </c:pt>
                <c:pt idx="414">
                  <c:v>2183000</c:v>
                </c:pt>
                <c:pt idx="415">
                  <c:v>2183000</c:v>
                </c:pt>
                <c:pt idx="416">
                  <c:v>2183000</c:v>
                </c:pt>
                <c:pt idx="417">
                  <c:v>2189000</c:v>
                </c:pt>
                <c:pt idx="418">
                  <c:v>2188000</c:v>
                </c:pt>
                <c:pt idx="419">
                  <c:v>2188000</c:v>
                </c:pt>
                <c:pt idx="420">
                  <c:v>2187000</c:v>
                </c:pt>
                <c:pt idx="421">
                  <c:v>2186000</c:v>
                </c:pt>
                <c:pt idx="422">
                  <c:v>2192000</c:v>
                </c:pt>
                <c:pt idx="423">
                  <c:v>2192000</c:v>
                </c:pt>
                <c:pt idx="424">
                  <c:v>2190000</c:v>
                </c:pt>
                <c:pt idx="425">
                  <c:v>2190000</c:v>
                </c:pt>
                <c:pt idx="426">
                  <c:v>2189000</c:v>
                </c:pt>
                <c:pt idx="427">
                  <c:v>2198000</c:v>
                </c:pt>
                <c:pt idx="428">
                  <c:v>2203000</c:v>
                </c:pt>
                <c:pt idx="429">
                  <c:v>2207000</c:v>
                </c:pt>
                <c:pt idx="430">
                  <c:v>2215000</c:v>
                </c:pt>
                <c:pt idx="431">
                  <c:v>2214000</c:v>
                </c:pt>
                <c:pt idx="432">
                  <c:v>2222000</c:v>
                </c:pt>
                <c:pt idx="433">
                  <c:v>2233000</c:v>
                </c:pt>
                <c:pt idx="434">
                  <c:v>2247000</c:v>
                </c:pt>
                <c:pt idx="435">
                  <c:v>2251000</c:v>
                </c:pt>
                <c:pt idx="436">
                  <c:v>2263000</c:v>
                </c:pt>
                <c:pt idx="437">
                  <c:v>2270000</c:v>
                </c:pt>
                <c:pt idx="438">
                  <c:v>2277000</c:v>
                </c:pt>
                <c:pt idx="439">
                  <c:v>2288000</c:v>
                </c:pt>
                <c:pt idx="440">
                  <c:v>2301000</c:v>
                </c:pt>
                <c:pt idx="441">
                  <c:v>2318000</c:v>
                </c:pt>
                <c:pt idx="442">
                  <c:v>2325000</c:v>
                </c:pt>
                <c:pt idx="443">
                  <c:v>2341000</c:v>
                </c:pt>
                <c:pt idx="444">
                  <c:v>2353000</c:v>
                </c:pt>
              </c:numCache>
            </c:numRef>
          </c:val>
          <c:smooth val="0"/>
          <c:extLst>
            <c:ext xmlns:c16="http://schemas.microsoft.com/office/drawing/2014/chart" uri="{C3380CC4-5D6E-409C-BE32-E72D297353CC}">
              <c16:uniqueId val="{00000001-4DC5-4D29-A155-2F336F2CBFF9}"/>
            </c:ext>
          </c:extLst>
        </c:ser>
        <c:ser>
          <c:idx val="2"/>
          <c:order val="2"/>
          <c:tx>
            <c:strRef>
              <c:f>Sheet2!$D$4</c:f>
              <c:strCache>
                <c:ptCount val="1"/>
                <c:pt idx="0">
                  <c:v>$p^2$KV-4</c:v>
                </c:pt>
              </c:strCache>
            </c:strRef>
          </c:tx>
          <c:spPr>
            <a:ln w="28575" cap="rnd">
              <a:solidFill>
                <a:schemeClr val="accent3"/>
              </a:solidFill>
              <a:round/>
            </a:ln>
            <a:effectLst/>
          </c:spPr>
          <c:marker>
            <c:symbol val="none"/>
          </c:marker>
          <c:val>
            <c:numRef>
              <c:f>Sheet2!$D$5:$D$449</c:f>
              <c:numCache>
                <c:formatCode>General</c:formatCode>
                <c:ptCount val="445"/>
                <c:pt idx="0">
                  <c:v>148000</c:v>
                </c:pt>
                <c:pt idx="1">
                  <c:v>279000</c:v>
                </c:pt>
                <c:pt idx="2">
                  <c:v>394000</c:v>
                </c:pt>
                <c:pt idx="3">
                  <c:v>333000</c:v>
                </c:pt>
                <c:pt idx="4">
                  <c:v>442000</c:v>
                </c:pt>
                <c:pt idx="5">
                  <c:v>344000</c:v>
                </c:pt>
                <c:pt idx="6">
                  <c:v>480000</c:v>
                </c:pt>
                <c:pt idx="7">
                  <c:v>409000</c:v>
                </c:pt>
                <c:pt idx="8">
                  <c:v>358000</c:v>
                </c:pt>
                <c:pt idx="9">
                  <c:v>481000</c:v>
                </c:pt>
                <c:pt idx="10">
                  <c:v>444000</c:v>
                </c:pt>
                <c:pt idx="11">
                  <c:v>430000</c:v>
                </c:pt>
                <c:pt idx="12">
                  <c:v>483000</c:v>
                </c:pt>
                <c:pt idx="13">
                  <c:v>449000</c:v>
                </c:pt>
                <c:pt idx="14">
                  <c:v>463000</c:v>
                </c:pt>
                <c:pt idx="15">
                  <c:v>499000</c:v>
                </c:pt>
                <c:pt idx="16">
                  <c:v>494000</c:v>
                </c:pt>
                <c:pt idx="17">
                  <c:v>536000</c:v>
                </c:pt>
                <c:pt idx="18">
                  <c:v>514000</c:v>
                </c:pt>
                <c:pt idx="19">
                  <c:v>596000</c:v>
                </c:pt>
                <c:pt idx="20">
                  <c:v>589000</c:v>
                </c:pt>
                <c:pt idx="21">
                  <c:v>523000</c:v>
                </c:pt>
                <c:pt idx="22">
                  <c:v>605000</c:v>
                </c:pt>
                <c:pt idx="23">
                  <c:v>605000</c:v>
                </c:pt>
                <c:pt idx="24">
                  <c:v>568000</c:v>
                </c:pt>
                <c:pt idx="25">
                  <c:v>639000</c:v>
                </c:pt>
                <c:pt idx="26">
                  <c:v>604000</c:v>
                </c:pt>
                <c:pt idx="27">
                  <c:v>588000</c:v>
                </c:pt>
                <c:pt idx="28">
                  <c:v>637000</c:v>
                </c:pt>
                <c:pt idx="29">
                  <c:v>585000</c:v>
                </c:pt>
                <c:pt idx="30">
                  <c:v>631000</c:v>
                </c:pt>
                <c:pt idx="31">
                  <c:v>627000</c:v>
                </c:pt>
                <c:pt idx="32">
                  <c:v>586000</c:v>
                </c:pt>
                <c:pt idx="33">
                  <c:v>664000</c:v>
                </c:pt>
                <c:pt idx="34">
                  <c:v>675000</c:v>
                </c:pt>
                <c:pt idx="35">
                  <c:v>616000</c:v>
                </c:pt>
                <c:pt idx="36">
                  <c:v>697000</c:v>
                </c:pt>
                <c:pt idx="37">
                  <c:v>679000</c:v>
                </c:pt>
                <c:pt idx="38">
                  <c:v>743000</c:v>
                </c:pt>
                <c:pt idx="39">
                  <c:v>756000</c:v>
                </c:pt>
                <c:pt idx="40">
                  <c:v>737000</c:v>
                </c:pt>
                <c:pt idx="41">
                  <c:v>789000</c:v>
                </c:pt>
                <c:pt idx="42">
                  <c:v>798000</c:v>
                </c:pt>
                <c:pt idx="43">
                  <c:v>741000</c:v>
                </c:pt>
                <c:pt idx="44">
                  <c:v>897000</c:v>
                </c:pt>
                <c:pt idx="45">
                  <c:v>786000</c:v>
                </c:pt>
                <c:pt idx="46">
                  <c:v>882000</c:v>
                </c:pt>
                <c:pt idx="47">
                  <c:v>852000</c:v>
                </c:pt>
                <c:pt idx="48">
                  <c:v>906000</c:v>
                </c:pt>
                <c:pt idx="49">
                  <c:v>551000</c:v>
                </c:pt>
              </c:numCache>
            </c:numRef>
          </c:val>
          <c:smooth val="0"/>
          <c:extLst>
            <c:ext xmlns:c16="http://schemas.microsoft.com/office/drawing/2014/chart" uri="{C3380CC4-5D6E-409C-BE32-E72D297353CC}">
              <c16:uniqueId val="{00000002-4DC5-4D29-A155-2F336F2CBFF9}"/>
            </c:ext>
          </c:extLst>
        </c:ser>
        <c:ser>
          <c:idx val="3"/>
          <c:order val="3"/>
          <c:tx>
            <c:strRef>
              <c:f>Sheet2!$E$4</c:f>
              <c:strCache>
                <c:ptCount val="1"/>
                <c:pt idx="0">
                  <c:v>$p^2$KV-8</c:v>
                </c:pt>
              </c:strCache>
            </c:strRef>
          </c:tx>
          <c:spPr>
            <a:ln w="28575" cap="rnd">
              <a:solidFill>
                <a:schemeClr val="accent4"/>
              </a:solidFill>
              <a:round/>
            </a:ln>
            <a:effectLst/>
          </c:spPr>
          <c:marker>
            <c:symbol val="none"/>
          </c:marker>
          <c:val>
            <c:numRef>
              <c:f>Sheet2!$E$5:$E$449</c:f>
              <c:numCache>
                <c:formatCode>General</c:formatCode>
                <c:ptCount val="445"/>
                <c:pt idx="0">
                  <c:v>564000</c:v>
                </c:pt>
                <c:pt idx="1">
                  <c:v>554000</c:v>
                </c:pt>
                <c:pt idx="2">
                  <c:v>753000</c:v>
                </c:pt>
                <c:pt idx="3">
                  <c:v>794000</c:v>
                </c:pt>
                <c:pt idx="4">
                  <c:v>952000</c:v>
                </c:pt>
                <c:pt idx="5">
                  <c:v>823000</c:v>
                </c:pt>
                <c:pt idx="6">
                  <c:v>790000.00000000093</c:v>
                </c:pt>
                <c:pt idx="7">
                  <c:v>985000</c:v>
                </c:pt>
                <c:pt idx="8">
                  <c:v>825000.00000000093</c:v>
                </c:pt>
                <c:pt idx="9">
                  <c:v>868999.99999999907</c:v>
                </c:pt>
                <c:pt idx="10">
                  <c:v>817000</c:v>
                </c:pt>
                <c:pt idx="11">
                  <c:v>946000</c:v>
                </c:pt>
                <c:pt idx="12">
                  <c:v>962000</c:v>
                </c:pt>
                <c:pt idx="13">
                  <c:v>900999.99999999907</c:v>
                </c:pt>
                <c:pt idx="14">
                  <c:v>964000</c:v>
                </c:pt>
                <c:pt idx="15">
                  <c:v>931000</c:v>
                </c:pt>
                <c:pt idx="16">
                  <c:v>1002000</c:v>
                </c:pt>
                <c:pt idx="17">
                  <c:v>952000</c:v>
                </c:pt>
                <c:pt idx="18">
                  <c:v>1033000</c:v>
                </c:pt>
                <c:pt idx="19">
                  <c:v>1022000</c:v>
                </c:pt>
                <c:pt idx="20">
                  <c:v>1057000</c:v>
                </c:pt>
                <c:pt idx="21">
                  <c:v>1072000</c:v>
                </c:pt>
                <c:pt idx="22">
                  <c:v>1083000</c:v>
                </c:pt>
                <c:pt idx="23">
                  <c:v>1114000</c:v>
                </c:pt>
                <c:pt idx="24">
                  <c:v>1197000</c:v>
                </c:pt>
                <c:pt idx="25">
                  <c:v>1057000</c:v>
                </c:pt>
                <c:pt idx="26">
                  <c:v>1134000</c:v>
                </c:pt>
                <c:pt idx="27">
                  <c:v>1090000</c:v>
                </c:pt>
              </c:numCache>
            </c:numRef>
          </c:val>
          <c:smooth val="0"/>
          <c:extLst>
            <c:ext xmlns:c16="http://schemas.microsoft.com/office/drawing/2014/chart" uri="{C3380CC4-5D6E-409C-BE32-E72D297353CC}">
              <c16:uniqueId val="{00000003-4DC5-4D29-A155-2F336F2CBFF9}"/>
            </c:ext>
          </c:extLst>
        </c:ser>
        <c:dLbls>
          <c:showLegendKey val="0"/>
          <c:showVal val="0"/>
          <c:showCatName val="0"/>
          <c:showSerName val="0"/>
          <c:showPercent val="0"/>
          <c:showBubbleSize val="0"/>
        </c:dLbls>
        <c:smooth val="0"/>
        <c:axId val="1923858224"/>
        <c:axId val="1917926944"/>
      </c:lineChart>
      <c:catAx>
        <c:axId val="19238582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17926944"/>
        <c:crosses val="autoZero"/>
        <c:auto val="1"/>
        <c:lblAlgn val="ctr"/>
        <c:lblOffset val="100"/>
        <c:noMultiLvlLbl val="0"/>
      </c:catAx>
      <c:valAx>
        <c:axId val="191792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23858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Sheet2!$J$4</c:f>
              <c:strCache>
                <c:ptCount val="1"/>
                <c:pt idx="0">
                  <c:v>RocksDB</c:v>
                </c:pt>
              </c:strCache>
            </c:strRef>
          </c:tx>
          <c:spPr>
            <a:ln w="28575" cap="rnd">
              <a:solidFill>
                <a:schemeClr val="accent1"/>
              </a:solidFill>
              <a:round/>
            </a:ln>
            <a:effectLst/>
          </c:spPr>
          <c:marker>
            <c:symbol val="none"/>
          </c:marker>
          <c:val>
            <c:numRef>
              <c:f>Sheet2!$J$5:$J$449</c:f>
              <c:numCache>
                <c:formatCode>General</c:formatCode>
                <c:ptCount val="445"/>
                <c:pt idx="0">
                  <c:v>100</c:v>
                </c:pt>
                <c:pt idx="1">
                  <c:v>105.9</c:v>
                </c:pt>
                <c:pt idx="2">
                  <c:v>105.9</c:v>
                </c:pt>
                <c:pt idx="3">
                  <c:v>94.4</c:v>
                </c:pt>
                <c:pt idx="4">
                  <c:v>100</c:v>
                </c:pt>
                <c:pt idx="5">
                  <c:v>100</c:v>
                </c:pt>
                <c:pt idx="6">
                  <c:v>105.9</c:v>
                </c:pt>
                <c:pt idx="7">
                  <c:v>100</c:v>
                </c:pt>
                <c:pt idx="8">
                  <c:v>100</c:v>
                </c:pt>
                <c:pt idx="9">
                  <c:v>105.9</c:v>
                </c:pt>
                <c:pt idx="10">
                  <c:v>100</c:v>
                </c:pt>
                <c:pt idx="11">
                  <c:v>177.8</c:v>
                </c:pt>
                <c:pt idx="12">
                  <c:v>188.2</c:v>
                </c:pt>
                <c:pt idx="13">
                  <c:v>117.6</c:v>
                </c:pt>
                <c:pt idx="14">
                  <c:v>94.4</c:v>
                </c:pt>
                <c:pt idx="15">
                  <c:v>94.4</c:v>
                </c:pt>
                <c:pt idx="16">
                  <c:v>194.1</c:v>
                </c:pt>
                <c:pt idx="17">
                  <c:v>105.9</c:v>
                </c:pt>
                <c:pt idx="18">
                  <c:v>152.9</c:v>
                </c:pt>
                <c:pt idx="19">
                  <c:v>94.4</c:v>
                </c:pt>
                <c:pt idx="20">
                  <c:v>88.9</c:v>
                </c:pt>
                <c:pt idx="21">
                  <c:v>188.2</c:v>
                </c:pt>
                <c:pt idx="22">
                  <c:v>100</c:v>
                </c:pt>
                <c:pt idx="23">
                  <c:v>161.1</c:v>
                </c:pt>
                <c:pt idx="24">
                  <c:v>105.9</c:v>
                </c:pt>
                <c:pt idx="25">
                  <c:v>105.9</c:v>
                </c:pt>
                <c:pt idx="26">
                  <c:v>183.3</c:v>
                </c:pt>
                <c:pt idx="27">
                  <c:v>188.2</c:v>
                </c:pt>
                <c:pt idx="28">
                  <c:v>127.8</c:v>
                </c:pt>
                <c:pt idx="29">
                  <c:v>100</c:v>
                </c:pt>
                <c:pt idx="30">
                  <c:v>105.9</c:v>
                </c:pt>
                <c:pt idx="31">
                  <c:v>188.2</c:v>
                </c:pt>
                <c:pt idx="32">
                  <c:v>177.8</c:v>
                </c:pt>
                <c:pt idx="33">
                  <c:v>264.7</c:v>
                </c:pt>
                <c:pt idx="34">
                  <c:v>105.9</c:v>
                </c:pt>
                <c:pt idx="35">
                  <c:v>100</c:v>
                </c:pt>
                <c:pt idx="36">
                  <c:v>172.2</c:v>
                </c:pt>
                <c:pt idx="37">
                  <c:v>188.2</c:v>
                </c:pt>
                <c:pt idx="38">
                  <c:v>200</c:v>
                </c:pt>
                <c:pt idx="39">
                  <c:v>158.80000000000001</c:v>
                </c:pt>
                <c:pt idx="40">
                  <c:v>94.1</c:v>
                </c:pt>
                <c:pt idx="41">
                  <c:v>172.2</c:v>
                </c:pt>
                <c:pt idx="42">
                  <c:v>188.2</c:v>
                </c:pt>
                <c:pt idx="43">
                  <c:v>188.2</c:v>
                </c:pt>
                <c:pt idx="44">
                  <c:v>111.8</c:v>
                </c:pt>
                <c:pt idx="45">
                  <c:v>158.80000000000001</c:v>
                </c:pt>
                <c:pt idx="46">
                  <c:v>188.2</c:v>
                </c:pt>
                <c:pt idx="47">
                  <c:v>188.2</c:v>
                </c:pt>
                <c:pt idx="48">
                  <c:v>183.3</c:v>
                </c:pt>
                <c:pt idx="49">
                  <c:v>105.9</c:v>
                </c:pt>
                <c:pt idx="50">
                  <c:v>194.1</c:v>
                </c:pt>
                <c:pt idx="51">
                  <c:v>177.8</c:v>
                </c:pt>
                <c:pt idx="52">
                  <c:v>194.1</c:v>
                </c:pt>
                <c:pt idx="53">
                  <c:v>188.2</c:v>
                </c:pt>
                <c:pt idx="54">
                  <c:v>182.4</c:v>
                </c:pt>
                <c:pt idx="55">
                  <c:v>183.3</c:v>
                </c:pt>
                <c:pt idx="56">
                  <c:v>264.7</c:v>
                </c:pt>
                <c:pt idx="57">
                  <c:v>182.4</c:v>
                </c:pt>
                <c:pt idx="58">
                  <c:v>182.4</c:v>
                </c:pt>
                <c:pt idx="59">
                  <c:v>100</c:v>
                </c:pt>
                <c:pt idx="60">
                  <c:v>177.8</c:v>
                </c:pt>
                <c:pt idx="61">
                  <c:v>183.3</c:v>
                </c:pt>
                <c:pt idx="62">
                  <c:v>223.5</c:v>
                </c:pt>
                <c:pt idx="63">
                  <c:v>182.4</c:v>
                </c:pt>
                <c:pt idx="64">
                  <c:v>105.9</c:v>
                </c:pt>
                <c:pt idx="65">
                  <c:v>183.3</c:v>
                </c:pt>
                <c:pt idx="66">
                  <c:v>217.6</c:v>
                </c:pt>
                <c:pt idx="67">
                  <c:v>211.8</c:v>
                </c:pt>
                <c:pt idx="68">
                  <c:v>177.8</c:v>
                </c:pt>
                <c:pt idx="69">
                  <c:v>177.8</c:v>
                </c:pt>
                <c:pt idx="70">
                  <c:v>200</c:v>
                </c:pt>
                <c:pt idx="71">
                  <c:v>270.60000000000002</c:v>
                </c:pt>
                <c:pt idx="72">
                  <c:v>172.2</c:v>
                </c:pt>
                <c:pt idx="73">
                  <c:v>188.2</c:v>
                </c:pt>
                <c:pt idx="74">
                  <c:v>105.9</c:v>
                </c:pt>
                <c:pt idx="75">
                  <c:v>172.2</c:v>
                </c:pt>
                <c:pt idx="76">
                  <c:v>264.7</c:v>
                </c:pt>
                <c:pt idx="77">
                  <c:v>188.2</c:v>
                </c:pt>
                <c:pt idx="78">
                  <c:v>176.5</c:v>
                </c:pt>
                <c:pt idx="79">
                  <c:v>194.1</c:v>
                </c:pt>
                <c:pt idx="80">
                  <c:v>172.2</c:v>
                </c:pt>
                <c:pt idx="81">
                  <c:v>264.7</c:v>
                </c:pt>
                <c:pt idx="82">
                  <c:v>177.8</c:v>
                </c:pt>
                <c:pt idx="83">
                  <c:v>172.2</c:v>
                </c:pt>
                <c:pt idx="84">
                  <c:v>182.4</c:v>
                </c:pt>
                <c:pt idx="85">
                  <c:v>182.4</c:v>
                </c:pt>
                <c:pt idx="86">
                  <c:v>266.7</c:v>
                </c:pt>
                <c:pt idx="87">
                  <c:v>188.2</c:v>
                </c:pt>
                <c:pt idx="88">
                  <c:v>172.2</c:v>
                </c:pt>
                <c:pt idx="89">
                  <c:v>188.2</c:v>
                </c:pt>
                <c:pt idx="90">
                  <c:v>188.2</c:v>
                </c:pt>
                <c:pt idx="91">
                  <c:v>244.4</c:v>
                </c:pt>
                <c:pt idx="92">
                  <c:v>188.2</c:v>
                </c:pt>
                <c:pt idx="93">
                  <c:v>194.1</c:v>
                </c:pt>
                <c:pt idx="94">
                  <c:v>182.4</c:v>
                </c:pt>
                <c:pt idx="95">
                  <c:v>188.2</c:v>
                </c:pt>
                <c:pt idx="96">
                  <c:v>188.2</c:v>
                </c:pt>
                <c:pt idx="97">
                  <c:v>188.2</c:v>
                </c:pt>
                <c:pt idx="98">
                  <c:v>172.2</c:v>
                </c:pt>
                <c:pt idx="99">
                  <c:v>177.8</c:v>
                </c:pt>
                <c:pt idx="100">
                  <c:v>264.7</c:v>
                </c:pt>
                <c:pt idx="101">
                  <c:v>183.3</c:v>
                </c:pt>
                <c:pt idx="102">
                  <c:v>188.2</c:v>
                </c:pt>
                <c:pt idx="103">
                  <c:v>177.8</c:v>
                </c:pt>
                <c:pt idx="104">
                  <c:v>177.8</c:v>
                </c:pt>
                <c:pt idx="105">
                  <c:v>229.4</c:v>
                </c:pt>
                <c:pt idx="106">
                  <c:v>183.3</c:v>
                </c:pt>
                <c:pt idx="107">
                  <c:v>177.8</c:v>
                </c:pt>
                <c:pt idx="108">
                  <c:v>182.4</c:v>
                </c:pt>
                <c:pt idx="109">
                  <c:v>270.60000000000002</c:v>
                </c:pt>
                <c:pt idx="110">
                  <c:v>94.4</c:v>
                </c:pt>
                <c:pt idx="111">
                  <c:v>188.2</c:v>
                </c:pt>
                <c:pt idx="112">
                  <c:v>177.8</c:v>
                </c:pt>
                <c:pt idx="113">
                  <c:v>217.6</c:v>
                </c:pt>
                <c:pt idx="114">
                  <c:v>177.8</c:v>
                </c:pt>
                <c:pt idx="115">
                  <c:v>100</c:v>
                </c:pt>
                <c:pt idx="116">
                  <c:v>183.3</c:v>
                </c:pt>
                <c:pt idx="117">
                  <c:v>177.8</c:v>
                </c:pt>
                <c:pt idx="118">
                  <c:v>233.3</c:v>
                </c:pt>
                <c:pt idx="119">
                  <c:v>194.1</c:v>
                </c:pt>
                <c:pt idx="120">
                  <c:v>188.2</c:v>
                </c:pt>
                <c:pt idx="121">
                  <c:v>194.1</c:v>
                </c:pt>
                <c:pt idx="122">
                  <c:v>172.2</c:v>
                </c:pt>
                <c:pt idx="123">
                  <c:v>270.60000000000002</c:v>
                </c:pt>
                <c:pt idx="124">
                  <c:v>177.8</c:v>
                </c:pt>
                <c:pt idx="125">
                  <c:v>182.4</c:v>
                </c:pt>
                <c:pt idx="126">
                  <c:v>183.3</c:v>
                </c:pt>
                <c:pt idx="127">
                  <c:v>247.1</c:v>
                </c:pt>
                <c:pt idx="128">
                  <c:v>182.4</c:v>
                </c:pt>
                <c:pt idx="129">
                  <c:v>182.4</c:v>
                </c:pt>
                <c:pt idx="130">
                  <c:v>188.2</c:v>
                </c:pt>
                <c:pt idx="131">
                  <c:v>177.8</c:v>
                </c:pt>
                <c:pt idx="132">
                  <c:v>227.8</c:v>
                </c:pt>
                <c:pt idx="133">
                  <c:v>194.1</c:v>
                </c:pt>
                <c:pt idx="134">
                  <c:v>177.8</c:v>
                </c:pt>
                <c:pt idx="135">
                  <c:v>94.1</c:v>
                </c:pt>
                <c:pt idx="136">
                  <c:v>188.2</c:v>
                </c:pt>
                <c:pt idx="137">
                  <c:v>223.5</c:v>
                </c:pt>
                <c:pt idx="138">
                  <c:v>216.7</c:v>
                </c:pt>
                <c:pt idx="139">
                  <c:v>177.8</c:v>
                </c:pt>
                <c:pt idx="140">
                  <c:v>182.4</c:v>
                </c:pt>
                <c:pt idx="141">
                  <c:v>182.4</c:v>
                </c:pt>
                <c:pt idx="142">
                  <c:v>194.4</c:v>
                </c:pt>
                <c:pt idx="143">
                  <c:v>217.6</c:v>
                </c:pt>
                <c:pt idx="144">
                  <c:v>182.4</c:v>
                </c:pt>
                <c:pt idx="145">
                  <c:v>182.4</c:v>
                </c:pt>
                <c:pt idx="146">
                  <c:v>182.4</c:v>
                </c:pt>
                <c:pt idx="147">
                  <c:v>188.2</c:v>
                </c:pt>
                <c:pt idx="148">
                  <c:v>172.2</c:v>
                </c:pt>
                <c:pt idx="149">
                  <c:v>188.2</c:v>
                </c:pt>
                <c:pt idx="150">
                  <c:v>188.2</c:v>
                </c:pt>
                <c:pt idx="151">
                  <c:v>176.5</c:v>
                </c:pt>
                <c:pt idx="152">
                  <c:v>233.3</c:v>
                </c:pt>
                <c:pt idx="153">
                  <c:v>194.1</c:v>
                </c:pt>
                <c:pt idx="154">
                  <c:v>182.4</c:v>
                </c:pt>
                <c:pt idx="155">
                  <c:v>172.2</c:v>
                </c:pt>
                <c:pt idx="156">
                  <c:v>183.3</c:v>
                </c:pt>
                <c:pt idx="157">
                  <c:v>258.8</c:v>
                </c:pt>
                <c:pt idx="158">
                  <c:v>182.4</c:v>
                </c:pt>
                <c:pt idx="159">
                  <c:v>182.4</c:v>
                </c:pt>
                <c:pt idx="160">
                  <c:v>172.2</c:v>
                </c:pt>
                <c:pt idx="161">
                  <c:v>183.3</c:v>
                </c:pt>
                <c:pt idx="162">
                  <c:v>182.4</c:v>
                </c:pt>
                <c:pt idx="163">
                  <c:v>264.7</c:v>
                </c:pt>
                <c:pt idx="164">
                  <c:v>188.2</c:v>
                </c:pt>
                <c:pt idx="165">
                  <c:v>172.2</c:v>
                </c:pt>
                <c:pt idx="166">
                  <c:v>177.8</c:v>
                </c:pt>
                <c:pt idx="167">
                  <c:v>194.1</c:v>
                </c:pt>
                <c:pt idx="168">
                  <c:v>205.9</c:v>
                </c:pt>
                <c:pt idx="169">
                  <c:v>177.8</c:v>
                </c:pt>
                <c:pt idx="170">
                  <c:v>194.1</c:v>
                </c:pt>
                <c:pt idx="171">
                  <c:v>194.1</c:v>
                </c:pt>
                <c:pt idx="172">
                  <c:v>233.3</c:v>
                </c:pt>
                <c:pt idx="173">
                  <c:v>177.8</c:v>
                </c:pt>
                <c:pt idx="174">
                  <c:v>188.2</c:v>
                </c:pt>
                <c:pt idx="175">
                  <c:v>188.2</c:v>
                </c:pt>
                <c:pt idx="176">
                  <c:v>183.3</c:v>
                </c:pt>
                <c:pt idx="177">
                  <c:v>211.8</c:v>
                </c:pt>
                <c:pt idx="178">
                  <c:v>188.2</c:v>
                </c:pt>
                <c:pt idx="179">
                  <c:v>177.8</c:v>
                </c:pt>
                <c:pt idx="180">
                  <c:v>188.2</c:v>
                </c:pt>
                <c:pt idx="181">
                  <c:v>247.1</c:v>
                </c:pt>
                <c:pt idx="182">
                  <c:v>172.2</c:v>
                </c:pt>
                <c:pt idx="183">
                  <c:v>172.2</c:v>
                </c:pt>
                <c:pt idx="184">
                  <c:v>188.2</c:v>
                </c:pt>
                <c:pt idx="185">
                  <c:v>194.1</c:v>
                </c:pt>
                <c:pt idx="186">
                  <c:v>227.8</c:v>
                </c:pt>
                <c:pt idx="187">
                  <c:v>188.2</c:v>
                </c:pt>
                <c:pt idx="188">
                  <c:v>182.4</c:v>
                </c:pt>
                <c:pt idx="189">
                  <c:v>177.8</c:v>
                </c:pt>
                <c:pt idx="190">
                  <c:v>177.8</c:v>
                </c:pt>
                <c:pt idx="191">
                  <c:v>276.5</c:v>
                </c:pt>
                <c:pt idx="192">
                  <c:v>177.8</c:v>
                </c:pt>
                <c:pt idx="193">
                  <c:v>183.3</c:v>
                </c:pt>
                <c:pt idx="194">
                  <c:v>188.2</c:v>
                </c:pt>
                <c:pt idx="195">
                  <c:v>188.2</c:v>
                </c:pt>
                <c:pt idx="196">
                  <c:v>211.8</c:v>
                </c:pt>
                <c:pt idx="197">
                  <c:v>223.5</c:v>
                </c:pt>
                <c:pt idx="198">
                  <c:v>177.8</c:v>
                </c:pt>
                <c:pt idx="199">
                  <c:v>188.2</c:v>
                </c:pt>
                <c:pt idx="200">
                  <c:v>194.1</c:v>
                </c:pt>
                <c:pt idx="201">
                  <c:v>177.8</c:v>
                </c:pt>
                <c:pt idx="202">
                  <c:v>252.9</c:v>
                </c:pt>
                <c:pt idx="203">
                  <c:v>200</c:v>
                </c:pt>
                <c:pt idx="204">
                  <c:v>200</c:v>
                </c:pt>
                <c:pt idx="205">
                  <c:v>177.8</c:v>
                </c:pt>
                <c:pt idx="206">
                  <c:v>177.8</c:v>
                </c:pt>
                <c:pt idx="207">
                  <c:v>194.1</c:v>
                </c:pt>
                <c:pt idx="208">
                  <c:v>241.2</c:v>
                </c:pt>
                <c:pt idx="209">
                  <c:v>194.1</c:v>
                </c:pt>
                <c:pt idx="210">
                  <c:v>183.3</c:v>
                </c:pt>
                <c:pt idx="211">
                  <c:v>188.2</c:v>
                </c:pt>
                <c:pt idx="212">
                  <c:v>172.2</c:v>
                </c:pt>
                <c:pt idx="213">
                  <c:v>194.1</c:v>
                </c:pt>
                <c:pt idx="214">
                  <c:v>222.2</c:v>
                </c:pt>
                <c:pt idx="215">
                  <c:v>188.2</c:v>
                </c:pt>
                <c:pt idx="216">
                  <c:v>188.2</c:v>
                </c:pt>
                <c:pt idx="217">
                  <c:v>188.2</c:v>
                </c:pt>
                <c:pt idx="218">
                  <c:v>177.8</c:v>
                </c:pt>
                <c:pt idx="219">
                  <c:v>564.70000000000005</c:v>
                </c:pt>
                <c:pt idx="220">
                  <c:v>550</c:v>
                </c:pt>
                <c:pt idx="221">
                  <c:v>188.2</c:v>
                </c:pt>
                <c:pt idx="222">
                  <c:v>188.2</c:v>
                </c:pt>
                <c:pt idx="223">
                  <c:v>200</c:v>
                </c:pt>
                <c:pt idx="224">
                  <c:v>211.8</c:v>
                </c:pt>
                <c:pt idx="225">
                  <c:v>188.2</c:v>
                </c:pt>
                <c:pt idx="226">
                  <c:v>177.8</c:v>
                </c:pt>
                <c:pt idx="227">
                  <c:v>466.7</c:v>
                </c:pt>
                <c:pt idx="228">
                  <c:v>177.8</c:v>
                </c:pt>
                <c:pt idx="229">
                  <c:v>282.39999999999998</c:v>
                </c:pt>
                <c:pt idx="230">
                  <c:v>172.2</c:v>
                </c:pt>
                <c:pt idx="231">
                  <c:v>177.8</c:v>
                </c:pt>
                <c:pt idx="232">
                  <c:v>177.8</c:v>
                </c:pt>
                <c:pt idx="233">
                  <c:v>188.2</c:v>
                </c:pt>
                <c:pt idx="234">
                  <c:v>188.2</c:v>
                </c:pt>
                <c:pt idx="235">
                  <c:v>233.3</c:v>
                </c:pt>
                <c:pt idx="236">
                  <c:v>183.3</c:v>
                </c:pt>
                <c:pt idx="237">
                  <c:v>194.1</c:v>
                </c:pt>
                <c:pt idx="238">
                  <c:v>194.1</c:v>
                </c:pt>
                <c:pt idx="239">
                  <c:v>172.2</c:v>
                </c:pt>
                <c:pt idx="240">
                  <c:v>183.3</c:v>
                </c:pt>
                <c:pt idx="241">
                  <c:v>361.1</c:v>
                </c:pt>
                <c:pt idx="242">
                  <c:v>317.60000000000002</c:v>
                </c:pt>
                <c:pt idx="243">
                  <c:v>177.8</c:v>
                </c:pt>
                <c:pt idx="244">
                  <c:v>194.1</c:v>
                </c:pt>
                <c:pt idx="245">
                  <c:v>183.3</c:v>
                </c:pt>
                <c:pt idx="246">
                  <c:v>270.60000000000002</c:v>
                </c:pt>
                <c:pt idx="247">
                  <c:v>177.8</c:v>
                </c:pt>
                <c:pt idx="248">
                  <c:v>188.2</c:v>
                </c:pt>
                <c:pt idx="249">
                  <c:v>177.8</c:v>
                </c:pt>
                <c:pt idx="250">
                  <c:v>188.2</c:v>
                </c:pt>
                <c:pt idx="251">
                  <c:v>194.1</c:v>
                </c:pt>
                <c:pt idx="252">
                  <c:v>261.10000000000002</c:v>
                </c:pt>
                <c:pt idx="253">
                  <c:v>211.8</c:v>
                </c:pt>
                <c:pt idx="254">
                  <c:v>177.8</c:v>
                </c:pt>
                <c:pt idx="255">
                  <c:v>564.70000000000005</c:v>
                </c:pt>
                <c:pt idx="256">
                  <c:v>188.2</c:v>
                </c:pt>
                <c:pt idx="257">
                  <c:v>177.8</c:v>
                </c:pt>
                <c:pt idx="258">
                  <c:v>177.8</c:v>
                </c:pt>
                <c:pt idx="259">
                  <c:v>247.1</c:v>
                </c:pt>
                <c:pt idx="260">
                  <c:v>177.8</c:v>
                </c:pt>
                <c:pt idx="261">
                  <c:v>188.2</c:v>
                </c:pt>
                <c:pt idx="262">
                  <c:v>183.3</c:v>
                </c:pt>
                <c:pt idx="263">
                  <c:v>183.3</c:v>
                </c:pt>
                <c:pt idx="264">
                  <c:v>177.8</c:v>
                </c:pt>
                <c:pt idx="265">
                  <c:v>261.10000000000002</c:v>
                </c:pt>
                <c:pt idx="266">
                  <c:v>188.2</c:v>
                </c:pt>
                <c:pt idx="267">
                  <c:v>177.8</c:v>
                </c:pt>
                <c:pt idx="268">
                  <c:v>188.2</c:v>
                </c:pt>
                <c:pt idx="269">
                  <c:v>561.1</c:v>
                </c:pt>
                <c:pt idx="270">
                  <c:v>282.39999999999998</c:v>
                </c:pt>
                <c:pt idx="271">
                  <c:v>205.9</c:v>
                </c:pt>
                <c:pt idx="272">
                  <c:v>188.2</c:v>
                </c:pt>
                <c:pt idx="273">
                  <c:v>200</c:v>
                </c:pt>
                <c:pt idx="274">
                  <c:v>188.2</c:v>
                </c:pt>
                <c:pt idx="275">
                  <c:v>177.8</c:v>
                </c:pt>
                <c:pt idx="276">
                  <c:v>276.5</c:v>
                </c:pt>
                <c:pt idx="277">
                  <c:v>183.3</c:v>
                </c:pt>
                <c:pt idx="278">
                  <c:v>182.4</c:v>
                </c:pt>
                <c:pt idx="279">
                  <c:v>188.2</c:v>
                </c:pt>
                <c:pt idx="280">
                  <c:v>177.8</c:v>
                </c:pt>
                <c:pt idx="281">
                  <c:v>177.8</c:v>
                </c:pt>
                <c:pt idx="282">
                  <c:v>252.9</c:v>
                </c:pt>
                <c:pt idx="283">
                  <c:v>177.8</c:v>
                </c:pt>
                <c:pt idx="284">
                  <c:v>188.2</c:v>
                </c:pt>
                <c:pt idx="285">
                  <c:v>183.3</c:v>
                </c:pt>
                <c:pt idx="286">
                  <c:v>194.1</c:v>
                </c:pt>
                <c:pt idx="287">
                  <c:v>194.1</c:v>
                </c:pt>
                <c:pt idx="288">
                  <c:v>270.60000000000002</c:v>
                </c:pt>
                <c:pt idx="289">
                  <c:v>188.2</c:v>
                </c:pt>
                <c:pt idx="290">
                  <c:v>177.8</c:v>
                </c:pt>
                <c:pt idx="291">
                  <c:v>194.1</c:v>
                </c:pt>
                <c:pt idx="292">
                  <c:v>188.2</c:v>
                </c:pt>
                <c:pt idx="293">
                  <c:v>188.9</c:v>
                </c:pt>
                <c:pt idx="294">
                  <c:v>247.1</c:v>
                </c:pt>
                <c:pt idx="295">
                  <c:v>188.2</c:v>
                </c:pt>
                <c:pt idx="296">
                  <c:v>188.9</c:v>
                </c:pt>
                <c:pt idx="297">
                  <c:v>577.79999999999995</c:v>
                </c:pt>
                <c:pt idx="298">
                  <c:v>605.29999999999995</c:v>
                </c:pt>
                <c:pt idx="299">
                  <c:v>422.2</c:v>
                </c:pt>
                <c:pt idx="300">
                  <c:v>188.2</c:v>
                </c:pt>
                <c:pt idx="301">
                  <c:v>188.2</c:v>
                </c:pt>
                <c:pt idx="302">
                  <c:v>255.6</c:v>
                </c:pt>
                <c:pt idx="303">
                  <c:v>194.1</c:v>
                </c:pt>
                <c:pt idx="304">
                  <c:v>182.4</c:v>
                </c:pt>
                <c:pt idx="305">
                  <c:v>188.2</c:v>
                </c:pt>
                <c:pt idx="306">
                  <c:v>177.8</c:v>
                </c:pt>
                <c:pt idx="307">
                  <c:v>188.2</c:v>
                </c:pt>
                <c:pt idx="308">
                  <c:v>217.6</c:v>
                </c:pt>
                <c:pt idx="309">
                  <c:v>194.1</c:v>
                </c:pt>
                <c:pt idx="310">
                  <c:v>183.3</c:v>
                </c:pt>
                <c:pt idx="311">
                  <c:v>194.4</c:v>
                </c:pt>
                <c:pt idx="312">
                  <c:v>561.1</c:v>
                </c:pt>
              </c:numCache>
            </c:numRef>
          </c:val>
          <c:smooth val="0"/>
          <c:extLst>
            <c:ext xmlns:c16="http://schemas.microsoft.com/office/drawing/2014/chart" uri="{C3380CC4-5D6E-409C-BE32-E72D297353CC}">
              <c16:uniqueId val="{00000000-A70A-4661-ACDF-1ED0943146BD}"/>
            </c:ext>
          </c:extLst>
        </c:ser>
        <c:ser>
          <c:idx val="1"/>
          <c:order val="1"/>
          <c:tx>
            <c:strRef>
              <c:f>Sheet2!$K$4</c:f>
              <c:strCache>
                <c:ptCount val="1"/>
                <c:pt idx="0">
                  <c:v>PebblesDB</c:v>
                </c:pt>
              </c:strCache>
            </c:strRef>
          </c:tx>
          <c:spPr>
            <a:ln w="28575" cap="rnd">
              <a:solidFill>
                <a:schemeClr val="accent2"/>
              </a:solidFill>
              <a:round/>
            </a:ln>
            <a:effectLst/>
          </c:spPr>
          <c:marker>
            <c:symbol val="none"/>
          </c:marker>
          <c:val>
            <c:numRef>
              <c:f>Sheet2!$K$5:$K$449</c:f>
              <c:numCache>
                <c:formatCode>General</c:formatCode>
                <c:ptCount val="445"/>
                <c:pt idx="0">
                  <c:v>164.7</c:v>
                </c:pt>
                <c:pt idx="1">
                  <c:v>235.3</c:v>
                </c:pt>
                <c:pt idx="2">
                  <c:v>211.1</c:v>
                </c:pt>
                <c:pt idx="3">
                  <c:v>158.80000000000001</c:v>
                </c:pt>
                <c:pt idx="4">
                  <c:v>241.2</c:v>
                </c:pt>
                <c:pt idx="5">
                  <c:v>111.8</c:v>
                </c:pt>
                <c:pt idx="6">
                  <c:v>111.8</c:v>
                </c:pt>
                <c:pt idx="7">
                  <c:v>247.1</c:v>
                </c:pt>
                <c:pt idx="8">
                  <c:v>216.7</c:v>
                </c:pt>
                <c:pt idx="9">
                  <c:v>117.6</c:v>
                </c:pt>
                <c:pt idx="10">
                  <c:v>222.2</c:v>
                </c:pt>
                <c:pt idx="11">
                  <c:v>111.8</c:v>
                </c:pt>
                <c:pt idx="12">
                  <c:v>233.3</c:v>
                </c:pt>
                <c:pt idx="13">
                  <c:v>100</c:v>
                </c:pt>
                <c:pt idx="14">
                  <c:v>105.9</c:v>
                </c:pt>
                <c:pt idx="15">
                  <c:v>158.80000000000001</c:v>
                </c:pt>
                <c:pt idx="16">
                  <c:v>233.3</c:v>
                </c:pt>
                <c:pt idx="17">
                  <c:v>111.8</c:v>
                </c:pt>
                <c:pt idx="18">
                  <c:v>105.9</c:v>
                </c:pt>
                <c:pt idx="19">
                  <c:v>241.2</c:v>
                </c:pt>
                <c:pt idx="20">
                  <c:v>216.7</c:v>
                </c:pt>
                <c:pt idx="21">
                  <c:v>111.8</c:v>
                </c:pt>
                <c:pt idx="22">
                  <c:v>216.7</c:v>
                </c:pt>
                <c:pt idx="23">
                  <c:v>105.9</c:v>
                </c:pt>
                <c:pt idx="24">
                  <c:v>141.19999999999999</c:v>
                </c:pt>
                <c:pt idx="25">
                  <c:v>105.6</c:v>
                </c:pt>
                <c:pt idx="26">
                  <c:v>223.5</c:v>
                </c:pt>
                <c:pt idx="27">
                  <c:v>111.8</c:v>
                </c:pt>
                <c:pt idx="28">
                  <c:v>194.1</c:v>
                </c:pt>
                <c:pt idx="29">
                  <c:v>100</c:v>
                </c:pt>
                <c:pt idx="30">
                  <c:v>105.9</c:v>
                </c:pt>
                <c:pt idx="31">
                  <c:v>138.9</c:v>
                </c:pt>
                <c:pt idx="32">
                  <c:v>100</c:v>
                </c:pt>
                <c:pt idx="33">
                  <c:v>105.9</c:v>
                </c:pt>
                <c:pt idx="34">
                  <c:v>247.1</c:v>
                </c:pt>
                <c:pt idx="35">
                  <c:v>241.2</c:v>
                </c:pt>
                <c:pt idx="36">
                  <c:v>182.4</c:v>
                </c:pt>
                <c:pt idx="37">
                  <c:v>227.8</c:v>
                </c:pt>
                <c:pt idx="38">
                  <c:v>216.7</c:v>
                </c:pt>
                <c:pt idx="39">
                  <c:v>100</c:v>
                </c:pt>
                <c:pt idx="40">
                  <c:v>227.8</c:v>
                </c:pt>
                <c:pt idx="41">
                  <c:v>100</c:v>
                </c:pt>
                <c:pt idx="42">
                  <c:v>105.9</c:v>
                </c:pt>
                <c:pt idx="43">
                  <c:v>105.9</c:v>
                </c:pt>
                <c:pt idx="44">
                  <c:v>111.8</c:v>
                </c:pt>
                <c:pt idx="45">
                  <c:v>229.4</c:v>
                </c:pt>
                <c:pt idx="46">
                  <c:v>111.8</c:v>
                </c:pt>
                <c:pt idx="47">
                  <c:v>205.6</c:v>
                </c:pt>
                <c:pt idx="48">
                  <c:v>217.6</c:v>
                </c:pt>
                <c:pt idx="49">
                  <c:v>123.5</c:v>
                </c:pt>
                <c:pt idx="50">
                  <c:v>135.30000000000001</c:v>
                </c:pt>
                <c:pt idx="51">
                  <c:v>111.1</c:v>
                </c:pt>
                <c:pt idx="52">
                  <c:v>129.4</c:v>
                </c:pt>
                <c:pt idx="53">
                  <c:v>117.6</c:v>
                </c:pt>
                <c:pt idx="54">
                  <c:v>133.30000000000001</c:v>
                </c:pt>
                <c:pt idx="55">
                  <c:v>222.2</c:v>
                </c:pt>
                <c:pt idx="56">
                  <c:v>100</c:v>
                </c:pt>
                <c:pt idx="57">
                  <c:v>229.4</c:v>
                </c:pt>
                <c:pt idx="58">
                  <c:v>100</c:v>
                </c:pt>
                <c:pt idx="59">
                  <c:v>129.4</c:v>
                </c:pt>
                <c:pt idx="60">
                  <c:v>111.8</c:v>
                </c:pt>
                <c:pt idx="61">
                  <c:v>152.9</c:v>
                </c:pt>
                <c:pt idx="62">
                  <c:v>100</c:v>
                </c:pt>
                <c:pt idx="63">
                  <c:v>129.4</c:v>
                </c:pt>
                <c:pt idx="64">
                  <c:v>105.9</c:v>
                </c:pt>
                <c:pt idx="65">
                  <c:v>105.6</c:v>
                </c:pt>
                <c:pt idx="66">
                  <c:v>222.2</c:v>
                </c:pt>
                <c:pt idx="67">
                  <c:v>229.4</c:v>
                </c:pt>
                <c:pt idx="68">
                  <c:v>247.1</c:v>
                </c:pt>
                <c:pt idx="69">
                  <c:v>100</c:v>
                </c:pt>
                <c:pt idx="70">
                  <c:v>217.6</c:v>
                </c:pt>
                <c:pt idx="71">
                  <c:v>223.5</c:v>
                </c:pt>
                <c:pt idx="72">
                  <c:v>105.9</c:v>
                </c:pt>
                <c:pt idx="73">
                  <c:v>227.8</c:v>
                </c:pt>
                <c:pt idx="74">
                  <c:v>111.8</c:v>
                </c:pt>
                <c:pt idx="75">
                  <c:v>105.9</c:v>
                </c:pt>
                <c:pt idx="76">
                  <c:v>217.6</c:v>
                </c:pt>
                <c:pt idx="77">
                  <c:v>116.7</c:v>
                </c:pt>
                <c:pt idx="78">
                  <c:v>223.5</c:v>
                </c:pt>
                <c:pt idx="79">
                  <c:v>88.2</c:v>
                </c:pt>
                <c:pt idx="80">
                  <c:v>100</c:v>
                </c:pt>
                <c:pt idx="81">
                  <c:v>111.8</c:v>
                </c:pt>
                <c:pt idx="82">
                  <c:v>111.8</c:v>
                </c:pt>
                <c:pt idx="83">
                  <c:v>216.7</c:v>
                </c:pt>
                <c:pt idx="84">
                  <c:v>100</c:v>
                </c:pt>
                <c:pt idx="85">
                  <c:v>129.4</c:v>
                </c:pt>
                <c:pt idx="86">
                  <c:v>235.3</c:v>
                </c:pt>
                <c:pt idx="87">
                  <c:v>152.9</c:v>
                </c:pt>
                <c:pt idx="88">
                  <c:v>200</c:v>
                </c:pt>
                <c:pt idx="89">
                  <c:v>105.9</c:v>
                </c:pt>
                <c:pt idx="90">
                  <c:v>105.6</c:v>
                </c:pt>
                <c:pt idx="91">
                  <c:v>111.8</c:v>
                </c:pt>
                <c:pt idx="92">
                  <c:v>216.7</c:v>
                </c:pt>
                <c:pt idx="93">
                  <c:v>211.1</c:v>
                </c:pt>
                <c:pt idx="94">
                  <c:v>111.1</c:v>
                </c:pt>
                <c:pt idx="95">
                  <c:v>229.4</c:v>
                </c:pt>
                <c:pt idx="96">
                  <c:v>105.6</c:v>
                </c:pt>
                <c:pt idx="97">
                  <c:v>216.7</c:v>
                </c:pt>
                <c:pt idx="98">
                  <c:v>105.9</c:v>
                </c:pt>
                <c:pt idx="99">
                  <c:v>100</c:v>
                </c:pt>
                <c:pt idx="100">
                  <c:v>117.6</c:v>
                </c:pt>
                <c:pt idx="101">
                  <c:v>105.9</c:v>
                </c:pt>
                <c:pt idx="102">
                  <c:v>111.8</c:v>
                </c:pt>
                <c:pt idx="103">
                  <c:v>111.8</c:v>
                </c:pt>
                <c:pt idx="104">
                  <c:v>182.4</c:v>
                </c:pt>
                <c:pt idx="105">
                  <c:v>217.6</c:v>
                </c:pt>
                <c:pt idx="106">
                  <c:v>235.3</c:v>
                </c:pt>
                <c:pt idx="107">
                  <c:v>94.4</c:v>
                </c:pt>
                <c:pt idx="108">
                  <c:v>235.3</c:v>
                </c:pt>
                <c:pt idx="109">
                  <c:v>155.6</c:v>
                </c:pt>
                <c:pt idx="110">
                  <c:v>105.9</c:v>
                </c:pt>
                <c:pt idx="111">
                  <c:v>111.8</c:v>
                </c:pt>
                <c:pt idx="112">
                  <c:v>105.9</c:v>
                </c:pt>
                <c:pt idx="113">
                  <c:v>222.2</c:v>
                </c:pt>
                <c:pt idx="114">
                  <c:v>117.6</c:v>
                </c:pt>
                <c:pt idx="115">
                  <c:v>222.2</c:v>
                </c:pt>
                <c:pt idx="116">
                  <c:v>147.1</c:v>
                </c:pt>
                <c:pt idx="117">
                  <c:v>216.7</c:v>
                </c:pt>
                <c:pt idx="118">
                  <c:v>100</c:v>
                </c:pt>
                <c:pt idx="119">
                  <c:v>152.9</c:v>
                </c:pt>
                <c:pt idx="120">
                  <c:v>111.8</c:v>
                </c:pt>
                <c:pt idx="121">
                  <c:v>105.9</c:v>
                </c:pt>
                <c:pt idx="122">
                  <c:v>100</c:v>
                </c:pt>
                <c:pt idx="123">
                  <c:v>105.6</c:v>
                </c:pt>
                <c:pt idx="124">
                  <c:v>188.2</c:v>
                </c:pt>
                <c:pt idx="125">
                  <c:v>105.6</c:v>
                </c:pt>
                <c:pt idx="126">
                  <c:v>111.8</c:v>
                </c:pt>
                <c:pt idx="127">
                  <c:v>105.9</c:v>
                </c:pt>
                <c:pt idx="128">
                  <c:v>241.2</c:v>
                </c:pt>
                <c:pt idx="129">
                  <c:v>161.1</c:v>
                </c:pt>
                <c:pt idx="130">
                  <c:v>105.6</c:v>
                </c:pt>
                <c:pt idx="131">
                  <c:v>105.9</c:v>
                </c:pt>
                <c:pt idx="132">
                  <c:v>100</c:v>
                </c:pt>
                <c:pt idx="133">
                  <c:v>164.7</c:v>
                </c:pt>
                <c:pt idx="134">
                  <c:v>94.1</c:v>
                </c:pt>
                <c:pt idx="135">
                  <c:v>111.8</c:v>
                </c:pt>
                <c:pt idx="136">
                  <c:v>229.4</c:v>
                </c:pt>
                <c:pt idx="137">
                  <c:v>147.1</c:v>
                </c:pt>
                <c:pt idx="138">
                  <c:v>229.4</c:v>
                </c:pt>
                <c:pt idx="139">
                  <c:v>111.8</c:v>
                </c:pt>
                <c:pt idx="140">
                  <c:v>188.2</c:v>
                </c:pt>
                <c:pt idx="141">
                  <c:v>117.6</c:v>
                </c:pt>
                <c:pt idx="142">
                  <c:v>222.2</c:v>
                </c:pt>
                <c:pt idx="143">
                  <c:v>117.6</c:v>
                </c:pt>
                <c:pt idx="144">
                  <c:v>235.3</c:v>
                </c:pt>
                <c:pt idx="145">
                  <c:v>117.6</c:v>
                </c:pt>
                <c:pt idx="146">
                  <c:v>223.5</c:v>
                </c:pt>
                <c:pt idx="147">
                  <c:v>223.5</c:v>
                </c:pt>
                <c:pt idx="148">
                  <c:v>117.6</c:v>
                </c:pt>
                <c:pt idx="149">
                  <c:v>105.6</c:v>
                </c:pt>
                <c:pt idx="150">
                  <c:v>217.6</c:v>
                </c:pt>
                <c:pt idx="151">
                  <c:v>100</c:v>
                </c:pt>
                <c:pt idx="152">
                  <c:v>141.19999999999999</c:v>
                </c:pt>
                <c:pt idx="153">
                  <c:v>176.5</c:v>
                </c:pt>
                <c:pt idx="154">
                  <c:v>194.1</c:v>
                </c:pt>
                <c:pt idx="155">
                  <c:v>105.6</c:v>
                </c:pt>
                <c:pt idx="156">
                  <c:v>170.6</c:v>
                </c:pt>
                <c:pt idx="157">
                  <c:v>200</c:v>
                </c:pt>
                <c:pt idx="158">
                  <c:v>138.9</c:v>
                </c:pt>
                <c:pt idx="159">
                  <c:v>235.3</c:v>
                </c:pt>
                <c:pt idx="160">
                  <c:v>117.6</c:v>
                </c:pt>
                <c:pt idx="161">
                  <c:v>105.9</c:v>
                </c:pt>
                <c:pt idx="162">
                  <c:v>105.6</c:v>
                </c:pt>
                <c:pt idx="163">
                  <c:v>105.9</c:v>
                </c:pt>
                <c:pt idx="164">
                  <c:v>188.2</c:v>
                </c:pt>
                <c:pt idx="165">
                  <c:v>177.8</c:v>
                </c:pt>
                <c:pt idx="166">
                  <c:v>111.8</c:v>
                </c:pt>
                <c:pt idx="167">
                  <c:v>223.5</c:v>
                </c:pt>
                <c:pt idx="168">
                  <c:v>105.6</c:v>
                </c:pt>
                <c:pt idx="169">
                  <c:v>105.9</c:v>
                </c:pt>
                <c:pt idx="170">
                  <c:v>111.8</c:v>
                </c:pt>
                <c:pt idx="171">
                  <c:v>235.3</c:v>
                </c:pt>
                <c:pt idx="172">
                  <c:v>223.5</c:v>
                </c:pt>
                <c:pt idx="173">
                  <c:v>105.9</c:v>
                </c:pt>
                <c:pt idx="174">
                  <c:v>111.8</c:v>
                </c:pt>
                <c:pt idx="175">
                  <c:v>241.2</c:v>
                </c:pt>
                <c:pt idx="176">
                  <c:v>188.2</c:v>
                </c:pt>
                <c:pt idx="177">
                  <c:v>216.7</c:v>
                </c:pt>
                <c:pt idx="178">
                  <c:v>105.9</c:v>
                </c:pt>
                <c:pt idx="179">
                  <c:v>229.4</c:v>
                </c:pt>
                <c:pt idx="180">
                  <c:v>88.9</c:v>
                </c:pt>
                <c:pt idx="181">
                  <c:v>123.5</c:v>
                </c:pt>
                <c:pt idx="182">
                  <c:v>105.9</c:v>
                </c:pt>
                <c:pt idx="183">
                  <c:v>100</c:v>
                </c:pt>
                <c:pt idx="184">
                  <c:v>229.4</c:v>
                </c:pt>
                <c:pt idx="185">
                  <c:v>111.1</c:v>
                </c:pt>
                <c:pt idx="186">
                  <c:v>105.9</c:v>
                </c:pt>
                <c:pt idx="187">
                  <c:v>111.8</c:v>
                </c:pt>
                <c:pt idx="188">
                  <c:v>105.9</c:v>
                </c:pt>
                <c:pt idx="189">
                  <c:v>223.5</c:v>
                </c:pt>
                <c:pt idx="190">
                  <c:v>105.9</c:v>
                </c:pt>
                <c:pt idx="191">
                  <c:v>194.4</c:v>
                </c:pt>
                <c:pt idx="192">
                  <c:v>116.7</c:v>
                </c:pt>
                <c:pt idx="193">
                  <c:v>105.9</c:v>
                </c:pt>
                <c:pt idx="194">
                  <c:v>211.1</c:v>
                </c:pt>
                <c:pt idx="195">
                  <c:v>117.6</c:v>
                </c:pt>
                <c:pt idx="196">
                  <c:v>111.8</c:v>
                </c:pt>
                <c:pt idx="197">
                  <c:v>111.1</c:v>
                </c:pt>
                <c:pt idx="198">
                  <c:v>229.4</c:v>
                </c:pt>
                <c:pt idx="199">
                  <c:v>111.8</c:v>
                </c:pt>
                <c:pt idx="200">
                  <c:v>223.5</c:v>
                </c:pt>
                <c:pt idx="201">
                  <c:v>170.6</c:v>
                </c:pt>
                <c:pt idx="202">
                  <c:v>100</c:v>
                </c:pt>
                <c:pt idx="203">
                  <c:v>222.2</c:v>
                </c:pt>
                <c:pt idx="204">
                  <c:v>241.2</c:v>
                </c:pt>
                <c:pt idx="205">
                  <c:v>188.2</c:v>
                </c:pt>
                <c:pt idx="206">
                  <c:v>100</c:v>
                </c:pt>
                <c:pt idx="207">
                  <c:v>164.7</c:v>
                </c:pt>
                <c:pt idx="208">
                  <c:v>176.5</c:v>
                </c:pt>
                <c:pt idx="209">
                  <c:v>216.7</c:v>
                </c:pt>
                <c:pt idx="210">
                  <c:v>100</c:v>
                </c:pt>
                <c:pt idx="211">
                  <c:v>111.8</c:v>
                </c:pt>
                <c:pt idx="212">
                  <c:v>117.6</c:v>
                </c:pt>
                <c:pt idx="213">
                  <c:v>100</c:v>
                </c:pt>
                <c:pt idx="214">
                  <c:v>100</c:v>
                </c:pt>
                <c:pt idx="215">
                  <c:v>241.2</c:v>
                </c:pt>
                <c:pt idx="216">
                  <c:v>100</c:v>
                </c:pt>
                <c:pt idx="217">
                  <c:v>229.4</c:v>
                </c:pt>
                <c:pt idx="218">
                  <c:v>229.4</c:v>
                </c:pt>
                <c:pt idx="219">
                  <c:v>217.6</c:v>
                </c:pt>
                <c:pt idx="220">
                  <c:v>111.8</c:v>
                </c:pt>
                <c:pt idx="221">
                  <c:v>158.80000000000001</c:v>
                </c:pt>
                <c:pt idx="222">
                  <c:v>241.2</c:v>
                </c:pt>
                <c:pt idx="223">
                  <c:v>105.9</c:v>
                </c:pt>
                <c:pt idx="224">
                  <c:v>105.9</c:v>
                </c:pt>
                <c:pt idx="225">
                  <c:v>235.3</c:v>
                </c:pt>
                <c:pt idx="226">
                  <c:v>144.4</c:v>
                </c:pt>
                <c:pt idx="227">
                  <c:v>229.4</c:v>
                </c:pt>
                <c:pt idx="228">
                  <c:v>241.2</c:v>
                </c:pt>
                <c:pt idx="229">
                  <c:v>94.4</c:v>
                </c:pt>
                <c:pt idx="230">
                  <c:v>105.9</c:v>
                </c:pt>
                <c:pt idx="231">
                  <c:v>223.5</c:v>
                </c:pt>
                <c:pt idx="232">
                  <c:v>111.8</c:v>
                </c:pt>
                <c:pt idx="233">
                  <c:v>100</c:v>
                </c:pt>
                <c:pt idx="234">
                  <c:v>105.9</c:v>
                </c:pt>
                <c:pt idx="235">
                  <c:v>100</c:v>
                </c:pt>
                <c:pt idx="236">
                  <c:v>222.2</c:v>
                </c:pt>
                <c:pt idx="237">
                  <c:v>205.9</c:v>
                </c:pt>
                <c:pt idx="238">
                  <c:v>200</c:v>
                </c:pt>
                <c:pt idx="239">
                  <c:v>123.5</c:v>
                </c:pt>
                <c:pt idx="240">
                  <c:v>138.9</c:v>
                </c:pt>
                <c:pt idx="241">
                  <c:v>211.1</c:v>
                </c:pt>
                <c:pt idx="242">
                  <c:v>105.9</c:v>
                </c:pt>
                <c:pt idx="243">
                  <c:v>123.5</c:v>
                </c:pt>
                <c:pt idx="244">
                  <c:v>100</c:v>
                </c:pt>
                <c:pt idx="245">
                  <c:v>105.9</c:v>
                </c:pt>
                <c:pt idx="246">
                  <c:v>94.4</c:v>
                </c:pt>
                <c:pt idx="247">
                  <c:v>105.9</c:v>
                </c:pt>
                <c:pt idx="248">
                  <c:v>100</c:v>
                </c:pt>
                <c:pt idx="249">
                  <c:v>117.6</c:v>
                </c:pt>
                <c:pt idx="250">
                  <c:v>105.9</c:v>
                </c:pt>
                <c:pt idx="251">
                  <c:v>235.3</c:v>
                </c:pt>
                <c:pt idx="252">
                  <c:v>111.8</c:v>
                </c:pt>
                <c:pt idx="253">
                  <c:v>105.9</c:v>
                </c:pt>
                <c:pt idx="254">
                  <c:v>105.9</c:v>
                </c:pt>
                <c:pt idx="255">
                  <c:v>111.8</c:v>
                </c:pt>
                <c:pt idx="256">
                  <c:v>129.4</c:v>
                </c:pt>
                <c:pt idx="257">
                  <c:v>241.2</c:v>
                </c:pt>
                <c:pt idx="258">
                  <c:v>176.5</c:v>
                </c:pt>
                <c:pt idx="259">
                  <c:v>229.4</c:v>
                </c:pt>
                <c:pt idx="260">
                  <c:v>100</c:v>
                </c:pt>
                <c:pt idx="261">
                  <c:v>105.6</c:v>
                </c:pt>
                <c:pt idx="262">
                  <c:v>235.3</c:v>
                </c:pt>
                <c:pt idx="263">
                  <c:v>123.5</c:v>
                </c:pt>
                <c:pt idx="264">
                  <c:v>100</c:v>
                </c:pt>
                <c:pt idx="265">
                  <c:v>105.9</c:v>
                </c:pt>
                <c:pt idx="266">
                  <c:v>105.9</c:v>
                </c:pt>
                <c:pt idx="267">
                  <c:v>105.9</c:v>
                </c:pt>
                <c:pt idx="268">
                  <c:v>105.6</c:v>
                </c:pt>
                <c:pt idx="269">
                  <c:v>100</c:v>
                </c:pt>
                <c:pt idx="270">
                  <c:v>100</c:v>
                </c:pt>
                <c:pt idx="271">
                  <c:v>235.3</c:v>
                </c:pt>
                <c:pt idx="272">
                  <c:v>105.9</c:v>
                </c:pt>
                <c:pt idx="273">
                  <c:v>211.1</c:v>
                </c:pt>
                <c:pt idx="274">
                  <c:v>235.3</c:v>
                </c:pt>
                <c:pt idx="275">
                  <c:v>211.8</c:v>
                </c:pt>
                <c:pt idx="276">
                  <c:v>105.6</c:v>
                </c:pt>
                <c:pt idx="277">
                  <c:v>247.1</c:v>
                </c:pt>
                <c:pt idx="278">
                  <c:v>111.8</c:v>
                </c:pt>
                <c:pt idx="279">
                  <c:v>94.4</c:v>
                </c:pt>
                <c:pt idx="280">
                  <c:v>229.4</c:v>
                </c:pt>
                <c:pt idx="281">
                  <c:v>117.6</c:v>
                </c:pt>
                <c:pt idx="282">
                  <c:v>223.5</c:v>
                </c:pt>
                <c:pt idx="283">
                  <c:v>152.9</c:v>
                </c:pt>
                <c:pt idx="284">
                  <c:v>217.6</c:v>
                </c:pt>
                <c:pt idx="285">
                  <c:v>105.9</c:v>
                </c:pt>
                <c:pt idx="286">
                  <c:v>152.9</c:v>
                </c:pt>
                <c:pt idx="287">
                  <c:v>229.4</c:v>
                </c:pt>
                <c:pt idx="288">
                  <c:v>183.3</c:v>
                </c:pt>
                <c:pt idx="289">
                  <c:v>100</c:v>
                </c:pt>
                <c:pt idx="290">
                  <c:v>94.1</c:v>
                </c:pt>
                <c:pt idx="291">
                  <c:v>125</c:v>
                </c:pt>
                <c:pt idx="292">
                  <c:v>100</c:v>
                </c:pt>
                <c:pt idx="293">
                  <c:v>94.1</c:v>
                </c:pt>
                <c:pt idx="294">
                  <c:v>200</c:v>
                </c:pt>
                <c:pt idx="295">
                  <c:v>105.6</c:v>
                </c:pt>
                <c:pt idx="296">
                  <c:v>105.9</c:v>
                </c:pt>
                <c:pt idx="297">
                  <c:v>170.6</c:v>
                </c:pt>
                <c:pt idx="298">
                  <c:v>105.9</c:v>
                </c:pt>
                <c:pt idx="299">
                  <c:v>105.9</c:v>
                </c:pt>
                <c:pt idx="300">
                  <c:v>105.9</c:v>
                </c:pt>
                <c:pt idx="301">
                  <c:v>129.4</c:v>
                </c:pt>
                <c:pt idx="302">
                  <c:v>229.4</c:v>
                </c:pt>
                <c:pt idx="303">
                  <c:v>235.3</c:v>
                </c:pt>
                <c:pt idx="304">
                  <c:v>233.3</c:v>
                </c:pt>
                <c:pt idx="305">
                  <c:v>111.8</c:v>
                </c:pt>
                <c:pt idx="306">
                  <c:v>229.4</c:v>
                </c:pt>
                <c:pt idx="307">
                  <c:v>182.4</c:v>
                </c:pt>
                <c:pt idx="308">
                  <c:v>123.5</c:v>
                </c:pt>
                <c:pt idx="309">
                  <c:v>233.3</c:v>
                </c:pt>
                <c:pt idx="310">
                  <c:v>200</c:v>
                </c:pt>
                <c:pt idx="311">
                  <c:v>100</c:v>
                </c:pt>
                <c:pt idx="312">
                  <c:v>111.8</c:v>
                </c:pt>
                <c:pt idx="313">
                  <c:v>105.9</c:v>
                </c:pt>
                <c:pt idx="314">
                  <c:v>105.6</c:v>
                </c:pt>
                <c:pt idx="315">
                  <c:v>100</c:v>
                </c:pt>
                <c:pt idx="316">
                  <c:v>105.9</c:v>
                </c:pt>
                <c:pt idx="317">
                  <c:v>105.6</c:v>
                </c:pt>
                <c:pt idx="318">
                  <c:v>105.9</c:v>
                </c:pt>
                <c:pt idx="319">
                  <c:v>100</c:v>
                </c:pt>
                <c:pt idx="320">
                  <c:v>100</c:v>
                </c:pt>
                <c:pt idx="321">
                  <c:v>88.9</c:v>
                </c:pt>
                <c:pt idx="322">
                  <c:v>117.6</c:v>
                </c:pt>
                <c:pt idx="323">
                  <c:v>211.8</c:v>
                </c:pt>
                <c:pt idx="324">
                  <c:v>205.9</c:v>
                </c:pt>
                <c:pt idx="325">
                  <c:v>111.8</c:v>
                </c:pt>
                <c:pt idx="326">
                  <c:v>194.4</c:v>
                </c:pt>
                <c:pt idx="327">
                  <c:v>141.19999999999999</c:v>
                </c:pt>
                <c:pt idx="328">
                  <c:v>229.4</c:v>
                </c:pt>
                <c:pt idx="329">
                  <c:v>88.9</c:v>
                </c:pt>
                <c:pt idx="330">
                  <c:v>117.6</c:v>
                </c:pt>
                <c:pt idx="331">
                  <c:v>105.9</c:v>
                </c:pt>
                <c:pt idx="332">
                  <c:v>235.3</c:v>
                </c:pt>
                <c:pt idx="333">
                  <c:v>105.9</c:v>
                </c:pt>
                <c:pt idx="334">
                  <c:v>100</c:v>
                </c:pt>
                <c:pt idx="335">
                  <c:v>111.8</c:v>
                </c:pt>
                <c:pt idx="336">
                  <c:v>111.1</c:v>
                </c:pt>
                <c:pt idx="337">
                  <c:v>129.4</c:v>
                </c:pt>
                <c:pt idx="338">
                  <c:v>182.4</c:v>
                </c:pt>
                <c:pt idx="339">
                  <c:v>111.8</c:v>
                </c:pt>
                <c:pt idx="340">
                  <c:v>222.2</c:v>
                </c:pt>
                <c:pt idx="341">
                  <c:v>100</c:v>
                </c:pt>
                <c:pt idx="342">
                  <c:v>111.8</c:v>
                </c:pt>
                <c:pt idx="343">
                  <c:v>211.1</c:v>
                </c:pt>
                <c:pt idx="344">
                  <c:v>123.5</c:v>
                </c:pt>
                <c:pt idx="345">
                  <c:v>105.6</c:v>
                </c:pt>
                <c:pt idx="346">
                  <c:v>105.9</c:v>
                </c:pt>
                <c:pt idx="347">
                  <c:v>100</c:v>
                </c:pt>
                <c:pt idx="348">
                  <c:v>105.9</c:v>
                </c:pt>
                <c:pt idx="349">
                  <c:v>216.7</c:v>
                </c:pt>
                <c:pt idx="350">
                  <c:v>141.19999999999999</c:v>
                </c:pt>
                <c:pt idx="351">
                  <c:v>111.8</c:v>
                </c:pt>
                <c:pt idx="352">
                  <c:v>247.1</c:v>
                </c:pt>
                <c:pt idx="353">
                  <c:v>217.6</c:v>
                </c:pt>
                <c:pt idx="354">
                  <c:v>211.1</c:v>
                </c:pt>
                <c:pt idx="355">
                  <c:v>223.5</c:v>
                </c:pt>
                <c:pt idx="356">
                  <c:v>105.9</c:v>
                </c:pt>
                <c:pt idx="357">
                  <c:v>117.6</c:v>
                </c:pt>
                <c:pt idx="358">
                  <c:v>150</c:v>
                </c:pt>
                <c:pt idx="359">
                  <c:v>229.4</c:v>
                </c:pt>
                <c:pt idx="360">
                  <c:v>235.3</c:v>
                </c:pt>
                <c:pt idx="361">
                  <c:v>164.7</c:v>
                </c:pt>
                <c:pt idx="362">
                  <c:v>229.4</c:v>
                </c:pt>
                <c:pt idx="363">
                  <c:v>105.9</c:v>
                </c:pt>
                <c:pt idx="364">
                  <c:v>216.7</c:v>
                </c:pt>
                <c:pt idx="365">
                  <c:v>105.9</c:v>
                </c:pt>
                <c:pt idx="366">
                  <c:v>123.5</c:v>
                </c:pt>
                <c:pt idx="367">
                  <c:v>111.8</c:v>
                </c:pt>
                <c:pt idx="368">
                  <c:v>111.8</c:v>
                </c:pt>
                <c:pt idx="369">
                  <c:v>164.7</c:v>
                </c:pt>
                <c:pt idx="370">
                  <c:v>188.2</c:v>
                </c:pt>
                <c:pt idx="371">
                  <c:v>127.8</c:v>
                </c:pt>
                <c:pt idx="372">
                  <c:v>147.1</c:v>
                </c:pt>
                <c:pt idx="373">
                  <c:v>223.5</c:v>
                </c:pt>
                <c:pt idx="374">
                  <c:v>105.9</c:v>
                </c:pt>
                <c:pt idx="375">
                  <c:v>105.6</c:v>
                </c:pt>
                <c:pt idx="376">
                  <c:v>223.5</c:v>
                </c:pt>
                <c:pt idx="377">
                  <c:v>217.6</c:v>
                </c:pt>
                <c:pt idx="378">
                  <c:v>133.30000000000001</c:v>
                </c:pt>
                <c:pt idx="379">
                  <c:v>105.9</c:v>
                </c:pt>
                <c:pt idx="380">
                  <c:v>229.4</c:v>
                </c:pt>
                <c:pt idx="381">
                  <c:v>100</c:v>
                </c:pt>
                <c:pt idx="382">
                  <c:v>105.9</c:v>
                </c:pt>
                <c:pt idx="383">
                  <c:v>229.4</c:v>
                </c:pt>
                <c:pt idx="384">
                  <c:v>105.9</c:v>
                </c:pt>
                <c:pt idx="385">
                  <c:v>170.6</c:v>
                </c:pt>
                <c:pt idx="386">
                  <c:v>235.3</c:v>
                </c:pt>
                <c:pt idx="387">
                  <c:v>105.9</c:v>
                </c:pt>
                <c:pt idx="388">
                  <c:v>117.6</c:v>
                </c:pt>
                <c:pt idx="389">
                  <c:v>229.4</c:v>
                </c:pt>
                <c:pt idx="390">
                  <c:v>241.2</c:v>
                </c:pt>
                <c:pt idx="391">
                  <c:v>135.30000000000001</c:v>
                </c:pt>
                <c:pt idx="392">
                  <c:v>117.6</c:v>
                </c:pt>
                <c:pt idx="393">
                  <c:v>217.6</c:v>
                </c:pt>
                <c:pt idx="394">
                  <c:v>170.6</c:v>
                </c:pt>
                <c:pt idx="395">
                  <c:v>177.8</c:v>
                </c:pt>
                <c:pt idx="396">
                  <c:v>223.5</c:v>
                </c:pt>
                <c:pt idx="397">
                  <c:v>164.7</c:v>
                </c:pt>
                <c:pt idx="398">
                  <c:v>100</c:v>
                </c:pt>
                <c:pt idx="399">
                  <c:v>111.8</c:v>
                </c:pt>
                <c:pt idx="400">
                  <c:v>100</c:v>
                </c:pt>
                <c:pt idx="401">
                  <c:v>229.4</c:v>
                </c:pt>
                <c:pt idx="402">
                  <c:v>116.7</c:v>
                </c:pt>
                <c:pt idx="403">
                  <c:v>105.9</c:v>
                </c:pt>
                <c:pt idx="404">
                  <c:v>100</c:v>
                </c:pt>
                <c:pt idx="405">
                  <c:v>100</c:v>
                </c:pt>
                <c:pt idx="406">
                  <c:v>105.9</c:v>
                </c:pt>
                <c:pt idx="407">
                  <c:v>100</c:v>
                </c:pt>
                <c:pt idx="408">
                  <c:v>105.9</c:v>
                </c:pt>
                <c:pt idx="409">
                  <c:v>229.4</c:v>
                </c:pt>
                <c:pt idx="410">
                  <c:v>100</c:v>
                </c:pt>
                <c:pt idx="411">
                  <c:v>105.6</c:v>
                </c:pt>
                <c:pt idx="412">
                  <c:v>216.7</c:v>
                </c:pt>
                <c:pt idx="413">
                  <c:v>105.9</c:v>
                </c:pt>
                <c:pt idx="414">
                  <c:v>105.9</c:v>
                </c:pt>
                <c:pt idx="415">
                  <c:v>105.9</c:v>
                </c:pt>
                <c:pt idx="416">
                  <c:v>123.5</c:v>
                </c:pt>
                <c:pt idx="417">
                  <c:v>100</c:v>
                </c:pt>
                <c:pt idx="418">
                  <c:v>105.6</c:v>
                </c:pt>
                <c:pt idx="419">
                  <c:v>100</c:v>
                </c:pt>
                <c:pt idx="420">
                  <c:v>94.4</c:v>
                </c:pt>
                <c:pt idx="421">
                  <c:v>100</c:v>
                </c:pt>
                <c:pt idx="422">
                  <c:v>105.9</c:v>
                </c:pt>
                <c:pt idx="423">
                  <c:v>100</c:v>
                </c:pt>
                <c:pt idx="424">
                  <c:v>111.8</c:v>
                </c:pt>
                <c:pt idx="425">
                  <c:v>100</c:v>
                </c:pt>
                <c:pt idx="426">
                  <c:v>117.6</c:v>
                </c:pt>
                <c:pt idx="427">
                  <c:v>105.9</c:v>
                </c:pt>
                <c:pt idx="428">
                  <c:v>105.9</c:v>
                </c:pt>
                <c:pt idx="429">
                  <c:v>105.9</c:v>
                </c:pt>
                <c:pt idx="430">
                  <c:v>100</c:v>
                </c:pt>
                <c:pt idx="431">
                  <c:v>111.8</c:v>
                </c:pt>
                <c:pt idx="432">
                  <c:v>111.8</c:v>
                </c:pt>
                <c:pt idx="433">
                  <c:v>241.2</c:v>
                </c:pt>
                <c:pt idx="434">
                  <c:v>182.4</c:v>
                </c:pt>
                <c:pt idx="435">
                  <c:v>235.3</c:v>
                </c:pt>
                <c:pt idx="436">
                  <c:v>100</c:v>
                </c:pt>
                <c:pt idx="437">
                  <c:v>211.8</c:v>
                </c:pt>
                <c:pt idx="438">
                  <c:v>252.9</c:v>
                </c:pt>
                <c:pt idx="439">
                  <c:v>194.1</c:v>
                </c:pt>
                <c:pt idx="440">
                  <c:v>223.5</c:v>
                </c:pt>
                <c:pt idx="441">
                  <c:v>194.4</c:v>
                </c:pt>
                <c:pt idx="442">
                  <c:v>144.4</c:v>
                </c:pt>
                <c:pt idx="443">
                  <c:v>235.3</c:v>
                </c:pt>
                <c:pt idx="444">
                  <c:v>147.1</c:v>
                </c:pt>
              </c:numCache>
            </c:numRef>
          </c:val>
          <c:smooth val="0"/>
          <c:extLst>
            <c:ext xmlns:c16="http://schemas.microsoft.com/office/drawing/2014/chart" uri="{C3380CC4-5D6E-409C-BE32-E72D297353CC}">
              <c16:uniqueId val="{00000001-A70A-4661-ACDF-1ED0943146BD}"/>
            </c:ext>
          </c:extLst>
        </c:ser>
        <c:ser>
          <c:idx val="2"/>
          <c:order val="2"/>
          <c:tx>
            <c:strRef>
              <c:f>Sheet2!$L$4</c:f>
              <c:strCache>
                <c:ptCount val="1"/>
                <c:pt idx="0">
                  <c:v>$p^2$KV-4</c:v>
                </c:pt>
              </c:strCache>
            </c:strRef>
          </c:tx>
          <c:spPr>
            <a:ln w="28575" cap="rnd">
              <a:solidFill>
                <a:schemeClr val="accent3"/>
              </a:solidFill>
              <a:round/>
            </a:ln>
            <a:effectLst/>
          </c:spPr>
          <c:marker>
            <c:symbol val="none"/>
          </c:marker>
          <c:val>
            <c:numRef>
              <c:f>Sheet2!$L$5:$L$449</c:f>
              <c:numCache>
                <c:formatCode>General</c:formatCode>
                <c:ptCount val="445"/>
                <c:pt idx="0">
                  <c:v>394.4</c:v>
                </c:pt>
                <c:pt idx="1">
                  <c:v>461.1</c:v>
                </c:pt>
                <c:pt idx="2">
                  <c:v>482.4</c:v>
                </c:pt>
                <c:pt idx="3">
                  <c:v>735.3</c:v>
                </c:pt>
                <c:pt idx="4">
                  <c:v>594.4</c:v>
                </c:pt>
                <c:pt idx="5">
                  <c:v>458.8</c:v>
                </c:pt>
                <c:pt idx="6">
                  <c:v>694.4</c:v>
                </c:pt>
                <c:pt idx="7">
                  <c:v>935.3</c:v>
                </c:pt>
                <c:pt idx="8">
                  <c:v>476.5</c:v>
                </c:pt>
                <c:pt idx="9">
                  <c:v>741.2</c:v>
                </c:pt>
                <c:pt idx="10">
                  <c:v>850</c:v>
                </c:pt>
                <c:pt idx="11">
                  <c:v>476.5</c:v>
                </c:pt>
                <c:pt idx="12">
                  <c:v>777.8</c:v>
                </c:pt>
                <c:pt idx="13">
                  <c:v>876.5</c:v>
                </c:pt>
                <c:pt idx="14">
                  <c:v>694.4</c:v>
                </c:pt>
                <c:pt idx="15">
                  <c:v>772.2</c:v>
                </c:pt>
                <c:pt idx="16">
                  <c:v>929.4</c:v>
                </c:pt>
                <c:pt idx="17">
                  <c:v>735.3</c:v>
                </c:pt>
                <c:pt idx="18">
                  <c:v>688.9</c:v>
                </c:pt>
                <c:pt idx="19">
                  <c:v>982.4</c:v>
                </c:pt>
                <c:pt idx="20">
                  <c:v>772.2</c:v>
                </c:pt>
                <c:pt idx="21">
                  <c:v>705.6</c:v>
                </c:pt>
                <c:pt idx="22">
                  <c:v>755.6</c:v>
                </c:pt>
                <c:pt idx="23">
                  <c:v>900</c:v>
                </c:pt>
                <c:pt idx="24">
                  <c:v>788.2</c:v>
                </c:pt>
                <c:pt idx="25">
                  <c:v>747.1</c:v>
                </c:pt>
                <c:pt idx="26">
                  <c:v>794.4</c:v>
                </c:pt>
                <c:pt idx="27">
                  <c:v>850</c:v>
                </c:pt>
                <c:pt idx="28">
                  <c:v>766.7</c:v>
                </c:pt>
                <c:pt idx="29">
                  <c:v>727.8</c:v>
                </c:pt>
                <c:pt idx="30">
                  <c:v>976.5</c:v>
                </c:pt>
                <c:pt idx="31">
                  <c:v>911.1</c:v>
                </c:pt>
                <c:pt idx="32">
                  <c:v>729.4</c:v>
                </c:pt>
                <c:pt idx="33">
                  <c:v>783.3</c:v>
                </c:pt>
                <c:pt idx="34">
                  <c:v>950</c:v>
                </c:pt>
                <c:pt idx="35">
                  <c:v>911.8</c:v>
                </c:pt>
                <c:pt idx="36">
                  <c:v>900</c:v>
                </c:pt>
                <c:pt idx="37">
                  <c:v>829.4</c:v>
                </c:pt>
                <c:pt idx="38">
                  <c:v>888.9</c:v>
                </c:pt>
                <c:pt idx="39">
                  <c:v>783.3</c:v>
                </c:pt>
                <c:pt idx="40">
                  <c:v>805.9</c:v>
                </c:pt>
                <c:pt idx="41">
                  <c:v>777.8</c:v>
                </c:pt>
                <c:pt idx="42">
                  <c:v>923.5</c:v>
                </c:pt>
                <c:pt idx="43">
                  <c:v>877.8</c:v>
                </c:pt>
                <c:pt idx="44">
                  <c:v>861.1</c:v>
                </c:pt>
                <c:pt idx="45">
                  <c:v>861.1</c:v>
                </c:pt>
                <c:pt idx="46">
                  <c:v>866.7</c:v>
                </c:pt>
                <c:pt idx="47">
                  <c:v>923.5</c:v>
                </c:pt>
                <c:pt idx="48">
                  <c:v>733.3</c:v>
                </c:pt>
                <c:pt idx="49">
                  <c:v>241.2</c:v>
                </c:pt>
              </c:numCache>
            </c:numRef>
          </c:val>
          <c:smooth val="0"/>
          <c:extLst>
            <c:ext xmlns:c16="http://schemas.microsoft.com/office/drawing/2014/chart" uri="{C3380CC4-5D6E-409C-BE32-E72D297353CC}">
              <c16:uniqueId val="{00000002-A70A-4661-ACDF-1ED0943146BD}"/>
            </c:ext>
          </c:extLst>
        </c:ser>
        <c:ser>
          <c:idx val="3"/>
          <c:order val="3"/>
          <c:tx>
            <c:strRef>
              <c:f>Sheet2!$M$4</c:f>
              <c:strCache>
                <c:ptCount val="1"/>
                <c:pt idx="0">
                  <c:v>$p^2$KV-8</c:v>
                </c:pt>
              </c:strCache>
            </c:strRef>
          </c:tx>
          <c:spPr>
            <a:ln w="28575" cap="rnd">
              <a:solidFill>
                <a:schemeClr val="accent4"/>
              </a:solidFill>
              <a:round/>
            </a:ln>
            <a:effectLst/>
          </c:spPr>
          <c:marker>
            <c:symbol val="none"/>
          </c:marker>
          <c:val>
            <c:numRef>
              <c:f>Sheet2!$M$5:$M$449</c:f>
              <c:numCache>
                <c:formatCode>General</c:formatCode>
                <c:ptCount val="445"/>
                <c:pt idx="0">
                  <c:v>1328</c:v>
                </c:pt>
                <c:pt idx="1">
                  <c:v>794.1</c:v>
                </c:pt>
                <c:pt idx="2">
                  <c:v>829.4</c:v>
                </c:pt>
                <c:pt idx="3">
                  <c:v>1339</c:v>
                </c:pt>
                <c:pt idx="4">
                  <c:v>1237</c:v>
                </c:pt>
                <c:pt idx="5">
                  <c:v>1239</c:v>
                </c:pt>
                <c:pt idx="6">
                  <c:v>1283</c:v>
                </c:pt>
                <c:pt idx="7">
                  <c:v>1278</c:v>
                </c:pt>
                <c:pt idx="8">
                  <c:v>1394</c:v>
                </c:pt>
                <c:pt idx="9">
                  <c:v>1222</c:v>
                </c:pt>
                <c:pt idx="10">
                  <c:v>1350</c:v>
                </c:pt>
                <c:pt idx="11">
                  <c:v>1294</c:v>
                </c:pt>
                <c:pt idx="12">
                  <c:v>1356</c:v>
                </c:pt>
                <c:pt idx="13">
                  <c:v>1300</c:v>
                </c:pt>
                <c:pt idx="14">
                  <c:v>1333</c:v>
                </c:pt>
                <c:pt idx="15">
                  <c:v>1417</c:v>
                </c:pt>
                <c:pt idx="16">
                  <c:v>1378</c:v>
                </c:pt>
                <c:pt idx="17">
                  <c:v>1206</c:v>
                </c:pt>
                <c:pt idx="18">
                  <c:v>1189</c:v>
                </c:pt>
                <c:pt idx="19">
                  <c:v>1256</c:v>
                </c:pt>
                <c:pt idx="20">
                  <c:v>1200</c:v>
                </c:pt>
                <c:pt idx="21">
                  <c:v>1233</c:v>
                </c:pt>
                <c:pt idx="22">
                  <c:v>1256</c:v>
                </c:pt>
                <c:pt idx="23">
                  <c:v>1311</c:v>
                </c:pt>
                <c:pt idx="24">
                  <c:v>1335</c:v>
                </c:pt>
                <c:pt idx="25">
                  <c:v>1412</c:v>
                </c:pt>
                <c:pt idx="26">
                  <c:v>1276</c:v>
                </c:pt>
                <c:pt idx="27">
                  <c:v>666.7</c:v>
                </c:pt>
              </c:numCache>
            </c:numRef>
          </c:val>
          <c:smooth val="0"/>
          <c:extLst>
            <c:ext xmlns:c16="http://schemas.microsoft.com/office/drawing/2014/chart" uri="{C3380CC4-5D6E-409C-BE32-E72D297353CC}">
              <c16:uniqueId val="{00000003-A70A-4661-ACDF-1ED0943146BD}"/>
            </c:ext>
          </c:extLst>
        </c:ser>
        <c:dLbls>
          <c:showLegendKey val="0"/>
          <c:showVal val="0"/>
          <c:showCatName val="0"/>
          <c:showSerName val="0"/>
          <c:showPercent val="0"/>
          <c:showBubbleSize val="0"/>
        </c:dLbls>
        <c:smooth val="0"/>
        <c:axId val="1753182656"/>
        <c:axId val="1841656304"/>
      </c:lineChart>
      <c:catAx>
        <c:axId val="17531826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41656304"/>
        <c:crosses val="autoZero"/>
        <c:auto val="1"/>
        <c:lblAlgn val="ctr"/>
        <c:lblOffset val="100"/>
        <c:noMultiLvlLbl val="0"/>
      </c:catAx>
      <c:valAx>
        <c:axId val="184165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53182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LevelDB!$A$3</c:f>
              <c:strCache>
                <c:ptCount val="1"/>
                <c:pt idx="0">
                  <c:v>顺序写</c:v>
                </c:pt>
              </c:strCache>
            </c:strRef>
          </c:tx>
          <c:spPr>
            <a:solidFill>
              <a:schemeClr val="accent1"/>
            </a:solidFill>
            <a:ln>
              <a:noFill/>
            </a:ln>
            <a:effectLst/>
          </c:spPr>
          <c:invertIfNegative val="0"/>
          <c:cat>
            <c:strRef>
              <c:f>LevelDB!$B$2:$D$2</c:f>
              <c:strCache>
                <c:ptCount val="3"/>
                <c:pt idx="0">
                  <c:v>P2KVS-8(LevelDB)</c:v>
                </c:pt>
                <c:pt idx="1">
                  <c:v>LevelDB(1 user-thread)</c:v>
                </c:pt>
                <c:pt idx="2">
                  <c:v>leveldb(8 user-thread)</c:v>
                </c:pt>
              </c:strCache>
            </c:strRef>
          </c:cat>
          <c:val>
            <c:numRef>
              <c:f>LevelDB!$B$3:$D$3</c:f>
              <c:numCache>
                <c:formatCode>General</c:formatCode>
                <c:ptCount val="3"/>
                <c:pt idx="0">
                  <c:v>2440552</c:v>
                </c:pt>
                <c:pt idx="1">
                  <c:v>395150</c:v>
                </c:pt>
              </c:numCache>
            </c:numRef>
          </c:val>
          <c:extLst>
            <c:ext xmlns:c16="http://schemas.microsoft.com/office/drawing/2014/chart" uri="{C3380CC4-5D6E-409C-BE32-E72D297353CC}">
              <c16:uniqueId val="{00000000-AAEC-4171-B5F5-BDEF8E39A59D}"/>
            </c:ext>
          </c:extLst>
        </c:ser>
        <c:ser>
          <c:idx val="1"/>
          <c:order val="1"/>
          <c:tx>
            <c:strRef>
              <c:f>LevelDB!$A$4</c:f>
              <c:strCache>
                <c:ptCount val="1"/>
                <c:pt idx="0">
                  <c:v>随机写</c:v>
                </c:pt>
              </c:strCache>
            </c:strRef>
          </c:tx>
          <c:spPr>
            <a:solidFill>
              <a:schemeClr val="accent2"/>
            </a:solidFill>
            <a:ln>
              <a:noFill/>
            </a:ln>
            <a:effectLst/>
          </c:spPr>
          <c:invertIfNegative val="0"/>
          <c:cat>
            <c:strRef>
              <c:f>LevelDB!$B$2:$D$2</c:f>
              <c:strCache>
                <c:ptCount val="3"/>
                <c:pt idx="0">
                  <c:v>P2KVS-8(LevelDB)</c:v>
                </c:pt>
                <c:pt idx="1">
                  <c:v>LevelDB(1 user-thread)</c:v>
                </c:pt>
                <c:pt idx="2">
                  <c:v>leveldb(8 user-thread)</c:v>
                </c:pt>
              </c:strCache>
            </c:strRef>
          </c:cat>
          <c:val>
            <c:numRef>
              <c:f>LevelDB!$B$4:$D$4</c:f>
              <c:numCache>
                <c:formatCode>General</c:formatCode>
                <c:ptCount val="3"/>
                <c:pt idx="0">
                  <c:v>647864</c:v>
                </c:pt>
                <c:pt idx="1">
                  <c:v>189223</c:v>
                </c:pt>
                <c:pt idx="2">
                  <c:v>150844</c:v>
                </c:pt>
              </c:numCache>
            </c:numRef>
          </c:val>
          <c:extLst>
            <c:ext xmlns:c16="http://schemas.microsoft.com/office/drawing/2014/chart" uri="{C3380CC4-5D6E-409C-BE32-E72D297353CC}">
              <c16:uniqueId val="{00000001-AAEC-4171-B5F5-BDEF8E39A59D}"/>
            </c:ext>
          </c:extLst>
        </c:ser>
        <c:ser>
          <c:idx val="2"/>
          <c:order val="2"/>
          <c:tx>
            <c:strRef>
              <c:f>LevelDB!$A$5</c:f>
              <c:strCache>
                <c:ptCount val="1"/>
                <c:pt idx="0">
                  <c:v>随机读</c:v>
                </c:pt>
              </c:strCache>
            </c:strRef>
          </c:tx>
          <c:spPr>
            <a:solidFill>
              <a:schemeClr val="accent3"/>
            </a:solidFill>
            <a:ln>
              <a:noFill/>
            </a:ln>
            <a:effectLst/>
          </c:spPr>
          <c:invertIfNegative val="0"/>
          <c:cat>
            <c:strRef>
              <c:f>LevelDB!$B$2:$D$2</c:f>
              <c:strCache>
                <c:ptCount val="3"/>
                <c:pt idx="0">
                  <c:v>P2KVS-8(LevelDB)</c:v>
                </c:pt>
                <c:pt idx="1">
                  <c:v>LevelDB(1 user-thread)</c:v>
                </c:pt>
                <c:pt idx="2">
                  <c:v>leveldb(8 user-thread)</c:v>
                </c:pt>
              </c:strCache>
            </c:strRef>
          </c:cat>
          <c:val>
            <c:numRef>
              <c:f>LevelDB!$B$5:$D$5</c:f>
              <c:numCache>
                <c:formatCode>General</c:formatCode>
                <c:ptCount val="3"/>
                <c:pt idx="0">
                  <c:v>632562</c:v>
                </c:pt>
                <c:pt idx="1">
                  <c:v>75155</c:v>
                </c:pt>
                <c:pt idx="2">
                  <c:v>373282</c:v>
                </c:pt>
              </c:numCache>
            </c:numRef>
          </c:val>
          <c:extLst>
            <c:ext xmlns:c16="http://schemas.microsoft.com/office/drawing/2014/chart" uri="{C3380CC4-5D6E-409C-BE32-E72D297353CC}">
              <c16:uniqueId val="{00000002-AAEC-4171-B5F5-BDEF8E39A59D}"/>
            </c:ext>
          </c:extLst>
        </c:ser>
        <c:dLbls>
          <c:showLegendKey val="0"/>
          <c:showVal val="0"/>
          <c:showCatName val="0"/>
          <c:showSerName val="0"/>
          <c:showPercent val="0"/>
          <c:showBubbleSize val="0"/>
        </c:dLbls>
        <c:gapWidth val="219"/>
        <c:overlap val="-27"/>
        <c:axId val="229186287"/>
        <c:axId val="476505023"/>
      </c:barChart>
      <c:catAx>
        <c:axId val="229186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6505023"/>
        <c:crosses val="autoZero"/>
        <c:auto val="1"/>
        <c:lblAlgn val="ctr"/>
        <c:lblOffset val="100"/>
        <c:noMultiLvlLbl val="0"/>
      </c:catAx>
      <c:valAx>
        <c:axId val="47650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9186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45334450793566"/>
          <c:y val="6.8429237947122856E-2"/>
          <c:w val="0.84754665549206432"/>
          <c:h val="0.77979304686447626"/>
        </c:manualLayout>
      </c:layout>
      <c:barChart>
        <c:barDir val="col"/>
        <c:grouping val="clustered"/>
        <c:varyColors val="0"/>
        <c:ser>
          <c:idx val="0"/>
          <c:order val="0"/>
          <c:tx>
            <c:strRef>
              <c:f>多介质下KV不同!$H$53</c:f>
              <c:strCache>
                <c:ptCount val="1"/>
                <c:pt idx="0">
                  <c:v>HDD</c:v>
                </c:pt>
              </c:strCache>
            </c:strRef>
          </c:tx>
          <c:spPr>
            <a:solidFill>
              <a:schemeClr val="accent1"/>
            </a:solidFill>
            <a:ln>
              <a:noFill/>
            </a:ln>
            <a:effectLst/>
          </c:spPr>
          <c:invertIfNegative val="0"/>
          <c:cat>
            <c:strRef>
              <c:f>多介质下KV不同!$M$52</c:f>
              <c:strCache>
                <c:ptCount val="1"/>
                <c:pt idx="0">
                  <c:v>Rand Read</c:v>
                </c:pt>
              </c:strCache>
            </c:strRef>
          </c:cat>
          <c:val>
            <c:numRef>
              <c:f>多介质下KV不同!$M$53</c:f>
              <c:numCache>
                <c:formatCode>General</c:formatCode>
                <c:ptCount val="1"/>
                <c:pt idx="0">
                  <c:v>2</c:v>
                </c:pt>
              </c:numCache>
            </c:numRef>
          </c:val>
          <c:extLst>
            <c:ext xmlns:c16="http://schemas.microsoft.com/office/drawing/2014/chart" uri="{C3380CC4-5D6E-409C-BE32-E72D297353CC}">
              <c16:uniqueId val="{00000000-E74B-4555-9D00-6F67EB4B39F0}"/>
            </c:ext>
          </c:extLst>
        </c:ser>
        <c:ser>
          <c:idx val="1"/>
          <c:order val="1"/>
          <c:tx>
            <c:strRef>
              <c:f>多介质下KV不同!$H$54</c:f>
              <c:strCache>
                <c:ptCount val="1"/>
                <c:pt idx="0">
                  <c:v>Flash-based SSD</c:v>
                </c:pt>
              </c:strCache>
            </c:strRef>
          </c:tx>
          <c:spPr>
            <a:solidFill>
              <a:schemeClr val="accent2"/>
            </a:solidFill>
            <a:ln>
              <a:noFill/>
            </a:ln>
            <a:effectLst/>
          </c:spPr>
          <c:invertIfNegative val="0"/>
          <c:cat>
            <c:strRef>
              <c:f>多介质下KV不同!$M$52</c:f>
              <c:strCache>
                <c:ptCount val="1"/>
                <c:pt idx="0">
                  <c:v>Rand Read</c:v>
                </c:pt>
              </c:strCache>
            </c:strRef>
          </c:cat>
          <c:val>
            <c:numRef>
              <c:f>多介质下KV不同!$M$57</c:f>
              <c:numCache>
                <c:formatCode>General</c:formatCode>
                <c:ptCount val="1"/>
                <c:pt idx="0">
                  <c:v>9</c:v>
                </c:pt>
              </c:numCache>
            </c:numRef>
          </c:val>
          <c:extLst>
            <c:ext xmlns:c16="http://schemas.microsoft.com/office/drawing/2014/chart" uri="{C3380CC4-5D6E-409C-BE32-E72D297353CC}">
              <c16:uniqueId val="{00000004-E74B-4555-9D00-6F67EB4B39F0}"/>
            </c:ext>
          </c:extLst>
        </c:ser>
        <c:ser>
          <c:idx val="2"/>
          <c:order val="2"/>
          <c:tx>
            <c:strRef>
              <c:f>多介质下KV不同!$H$55</c:f>
              <c:strCache>
                <c:ptCount val="1"/>
                <c:pt idx="0">
                  <c:v>Optane SSD</c:v>
                </c:pt>
              </c:strCache>
            </c:strRef>
          </c:tx>
          <c:spPr>
            <a:solidFill>
              <a:schemeClr val="accent3"/>
            </a:solidFill>
            <a:ln>
              <a:noFill/>
            </a:ln>
            <a:effectLst/>
          </c:spPr>
          <c:invertIfNegative val="0"/>
          <c:cat>
            <c:strRef>
              <c:f>多介质下KV不同!$M$52</c:f>
              <c:strCache>
                <c:ptCount val="1"/>
                <c:pt idx="0">
                  <c:v>Rand Read</c:v>
                </c:pt>
              </c:strCache>
            </c:strRef>
          </c:cat>
          <c:val>
            <c:numRef>
              <c:f>多介质下KV不同!$M$55</c:f>
              <c:numCache>
                <c:formatCode>General</c:formatCode>
                <c:ptCount val="1"/>
                <c:pt idx="0">
                  <c:v>41</c:v>
                </c:pt>
              </c:numCache>
            </c:numRef>
          </c:val>
          <c:extLst>
            <c:ext xmlns:c16="http://schemas.microsoft.com/office/drawing/2014/chart" uri="{C3380CC4-5D6E-409C-BE32-E72D297353CC}">
              <c16:uniqueId val="{00000005-E74B-4555-9D00-6F67EB4B39F0}"/>
            </c:ext>
          </c:extLst>
        </c:ser>
        <c:dLbls>
          <c:showLegendKey val="0"/>
          <c:showVal val="0"/>
          <c:showCatName val="0"/>
          <c:showSerName val="0"/>
          <c:showPercent val="0"/>
          <c:showBubbleSize val="0"/>
        </c:dLbls>
        <c:gapWidth val="219"/>
        <c:overlap val="-27"/>
        <c:axId val="144272992"/>
        <c:axId val="475440464"/>
      </c:barChart>
      <c:catAx>
        <c:axId val="14427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75440464"/>
        <c:crosses val="autoZero"/>
        <c:auto val="1"/>
        <c:lblAlgn val="ctr"/>
        <c:lblOffset val="100"/>
        <c:noMultiLvlLbl val="0"/>
      </c:catAx>
      <c:valAx>
        <c:axId val="47544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427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ltLang="zh-CN"/>
              <a:t>Throughput (MB/s)</a:t>
            </a:r>
            <a:r>
              <a:rPr lang="zh-CN" altLang="en-US"/>
              <a:t>，</a:t>
            </a:r>
            <a:r>
              <a:rPr lang="en-US" altLang="zh-CN"/>
              <a:t>28B key</a:t>
            </a:r>
            <a:r>
              <a:rPr lang="en-US" altLang="zh-CN" baseline="0"/>
              <a:t> and </a:t>
            </a:r>
            <a:r>
              <a:rPr lang="en-US" altLang="zh-CN"/>
              <a:t>100B value</a:t>
            </a:r>
            <a:endParaRPr lang="zh-C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manualLayout>
          <c:layoutTarget val="inner"/>
          <c:xMode val="edge"/>
          <c:yMode val="edge"/>
          <c:x val="4.4063028706777509E-2"/>
          <c:y val="0.18300925925925926"/>
          <c:w val="0.47914602138147366"/>
          <c:h val="0.64198612721996895"/>
        </c:manualLayout>
      </c:layout>
      <c:barChart>
        <c:barDir val="col"/>
        <c:grouping val="clustered"/>
        <c:varyColors val="0"/>
        <c:ser>
          <c:idx val="0"/>
          <c:order val="0"/>
          <c:tx>
            <c:strRef>
              <c:f>多介质下KV不同!$A$45</c:f>
              <c:strCache>
                <c:ptCount val="1"/>
                <c:pt idx="0">
                  <c:v>HDD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多介质下KV不同!$B$44:$D$44</c:f>
              <c:strCache>
                <c:ptCount val="3"/>
                <c:pt idx="0">
                  <c:v>Seq Write</c:v>
                </c:pt>
                <c:pt idx="1">
                  <c:v>Rand Write</c:v>
                </c:pt>
                <c:pt idx="2">
                  <c:v>Update</c:v>
                </c:pt>
              </c:strCache>
            </c:strRef>
          </c:cat>
          <c:val>
            <c:numRef>
              <c:f>多介质下KV不同!$B$45:$D$45</c:f>
              <c:numCache>
                <c:formatCode>General</c:formatCode>
                <c:ptCount val="3"/>
                <c:pt idx="0">
                  <c:v>49.9</c:v>
                </c:pt>
                <c:pt idx="1">
                  <c:v>31.6</c:v>
                </c:pt>
                <c:pt idx="2">
                  <c:v>28.1</c:v>
                </c:pt>
              </c:numCache>
            </c:numRef>
          </c:val>
          <c:extLst>
            <c:ext xmlns:c16="http://schemas.microsoft.com/office/drawing/2014/chart" uri="{C3380CC4-5D6E-409C-BE32-E72D297353CC}">
              <c16:uniqueId val="{00000000-DD58-4401-970D-672771354AA9}"/>
            </c:ext>
          </c:extLst>
        </c:ser>
        <c:ser>
          <c:idx val="1"/>
          <c:order val="1"/>
          <c:tx>
            <c:strRef>
              <c:f>多介质下KV不同!$A$46</c:f>
              <c:strCache>
                <c:ptCount val="1"/>
                <c:pt idx="0">
                  <c:v>Flash-based SSD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多介质下KV不同!$B$44:$D$44</c:f>
              <c:strCache>
                <c:ptCount val="3"/>
                <c:pt idx="0">
                  <c:v>Seq Write</c:v>
                </c:pt>
                <c:pt idx="1">
                  <c:v>Rand Write</c:v>
                </c:pt>
                <c:pt idx="2">
                  <c:v>Update</c:v>
                </c:pt>
              </c:strCache>
            </c:strRef>
          </c:cat>
          <c:val>
            <c:numRef>
              <c:f>多介质下KV不同!$B$49:$D$49</c:f>
              <c:numCache>
                <c:formatCode>General</c:formatCode>
                <c:ptCount val="3"/>
                <c:pt idx="0">
                  <c:v>49.1</c:v>
                </c:pt>
                <c:pt idx="1">
                  <c:v>31</c:v>
                </c:pt>
                <c:pt idx="2">
                  <c:v>29.3</c:v>
                </c:pt>
              </c:numCache>
            </c:numRef>
          </c:val>
          <c:extLst>
            <c:ext xmlns:c16="http://schemas.microsoft.com/office/drawing/2014/chart" uri="{C3380CC4-5D6E-409C-BE32-E72D297353CC}">
              <c16:uniqueId val="{00000001-DD58-4401-970D-672771354AA9}"/>
            </c:ext>
          </c:extLst>
        </c:ser>
        <c:ser>
          <c:idx val="2"/>
          <c:order val="2"/>
          <c:tx>
            <c:strRef>
              <c:f>多介质下KV不同!$A$47</c:f>
              <c:strCache>
                <c:ptCount val="1"/>
                <c:pt idx="0">
                  <c:v>OptaneSSD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多介质下KV不同!$B$44:$D$44</c:f>
              <c:strCache>
                <c:ptCount val="3"/>
                <c:pt idx="0">
                  <c:v>Seq Write</c:v>
                </c:pt>
                <c:pt idx="1">
                  <c:v>Rand Write</c:v>
                </c:pt>
                <c:pt idx="2">
                  <c:v>Update</c:v>
                </c:pt>
              </c:strCache>
            </c:strRef>
          </c:cat>
          <c:val>
            <c:numRef>
              <c:f>多介质下KV不同!$B$47:$D$47</c:f>
              <c:numCache>
                <c:formatCode>General</c:formatCode>
                <c:ptCount val="3"/>
                <c:pt idx="0">
                  <c:v>52.8</c:v>
                </c:pt>
                <c:pt idx="1">
                  <c:v>28.3</c:v>
                </c:pt>
                <c:pt idx="2">
                  <c:v>31.6</c:v>
                </c:pt>
              </c:numCache>
            </c:numRef>
          </c:val>
          <c:extLst>
            <c:ext xmlns:c16="http://schemas.microsoft.com/office/drawing/2014/chart" uri="{C3380CC4-5D6E-409C-BE32-E72D297353CC}">
              <c16:uniqueId val="{00000002-DD58-4401-970D-672771354AA9}"/>
            </c:ext>
          </c:extLst>
        </c:ser>
        <c:dLbls>
          <c:showLegendKey val="0"/>
          <c:showVal val="0"/>
          <c:showCatName val="0"/>
          <c:showSerName val="0"/>
          <c:showPercent val="0"/>
          <c:showBubbleSize val="0"/>
        </c:dLbls>
        <c:gapWidth val="100"/>
        <c:overlap val="-24"/>
        <c:axId val="405735024"/>
        <c:axId val="411021456"/>
      </c:barChart>
      <c:catAx>
        <c:axId val="4057350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411021456"/>
        <c:crosses val="autoZero"/>
        <c:auto val="1"/>
        <c:lblAlgn val="ctr"/>
        <c:lblOffset val="100"/>
        <c:noMultiLvlLbl val="0"/>
      </c:catAx>
      <c:valAx>
        <c:axId val="41102145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405735024"/>
        <c:crosses val="autoZero"/>
        <c:crossBetween val="between"/>
      </c:valAx>
      <c:spPr>
        <a:noFill/>
        <a:ln>
          <a:noFill/>
        </a:ln>
        <a:effectLst/>
      </c:spPr>
    </c:plotArea>
    <c:legend>
      <c:legendPos val="b"/>
      <c:layout>
        <c:manualLayout>
          <c:xMode val="edge"/>
          <c:yMode val="edge"/>
          <c:x val="0.27560337063492929"/>
          <c:y val="0.90443328132031975"/>
          <c:w val="0.45368509689404918"/>
          <c:h val="8.00458057691963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4.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5" Type="http://schemas.openxmlformats.org/officeDocument/2006/relationships/chart" Target="../charts/chart36.xml"/><Relationship Id="rId4" Type="http://schemas.openxmlformats.org/officeDocument/2006/relationships/chart" Target="../charts/chart35.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45.xml"/><Relationship Id="rId13" Type="http://schemas.openxmlformats.org/officeDocument/2006/relationships/chart" Target="../charts/chart50.xml"/><Relationship Id="rId3" Type="http://schemas.openxmlformats.org/officeDocument/2006/relationships/chart" Target="../charts/chart40.xml"/><Relationship Id="rId7" Type="http://schemas.openxmlformats.org/officeDocument/2006/relationships/chart" Target="../charts/chart44.xml"/><Relationship Id="rId12" Type="http://schemas.openxmlformats.org/officeDocument/2006/relationships/chart" Target="../charts/chart49.xml"/><Relationship Id="rId2" Type="http://schemas.openxmlformats.org/officeDocument/2006/relationships/chart" Target="../charts/chart39.xml"/><Relationship Id="rId1" Type="http://schemas.openxmlformats.org/officeDocument/2006/relationships/chart" Target="../charts/chart38.xml"/><Relationship Id="rId6" Type="http://schemas.openxmlformats.org/officeDocument/2006/relationships/chart" Target="../charts/chart43.xml"/><Relationship Id="rId11" Type="http://schemas.openxmlformats.org/officeDocument/2006/relationships/chart" Target="../charts/chart48.xml"/><Relationship Id="rId5" Type="http://schemas.openxmlformats.org/officeDocument/2006/relationships/chart" Target="../charts/chart42.xml"/><Relationship Id="rId10" Type="http://schemas.openxmlformats.org/officeDocument/2006/relationships/chart" Target="../charts/chart47.xml"/><Relationship Id="rId4" Type="http://schemas.openxmlformats.org/officeDocument/2006/relationships/chart" Target="../charts/chart41.xml"/><Relationship Id="rId9" Type="http://schemas.openxmlformats.org/officeDocument/2006/relationships/chart" Target="../charts/chart46.xml"/><Relationship Id="rId14" Type="http://schemas.openxmlformats.org/officeDocument/2006/relationships/chart" Target="../charts/chart51.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4.xml"/><Relationship Id="rId7" Type="http://schemas.openxmlformats.org/officeDocument/2006/relationships/chart" Target="../charts/chart58.xml"/><Relationship Id="rId2" Type="http://schemas.openxmlformats.org/officeDocument/2006/relationships/chart" Target="../charts/chart53.xml"/><Relationship Id="rId1" Type="http://schemas.openxmlformats.org/officeDocument/2006/relationships/chart" Target="../charts/chart52.xml"/><Relationship Id="rId6" Type="http://schemas.openxmlformats.org/officeDocument/2006/relationships/chart" Target="../charts/chart57.xml"/><Relationship Id="rId5" Type="http://schemas.openxmlformats.org/officeDocument/2006/relationships/chart" Target="../charts/chart56.xml"/><Relationship Id="rId4" Type="http://schemas.openxmlformats.org/officeDocument/2006/relationships/chart" Target="../charts/chart55.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png"/><Relationship Id="rId18" Type="http://schemas.openxmlformats.org/officeDocument/2006/relationships/image" Target="../media/image15.png"/><Relationship Id="rId3" Type="http://schemas.openxmlformats.org/officeDocument/2006/relationships/chart" Target="../charts/chart60.xml"/><Relationship Id="rId7" Type="http://schemas.openxmlformats.org/officeDocument/2006/relationships/chart" Target="../charts/chart61.xml"/><Relationship Id="rId12" Type="http://schemas.openxmlformats.org/officeDocument/2006/relationships/image" Target="../media/image9.png"/><Relationship Id="rId17" Type="http://schemas.openxmlformats.org/officeDocument/2006/relationships/image" Target="../media/image14.png"/><Relationship Id="rId2" Type="http://schemas.openxmlformats.org/officeDocument/2006/relationships/chart" Target="../charts/chart59.xml"/><Relationship Id="rId16" Type="http://schemas.openxmlformats.org/officeDocument/2006/relationships/image" Target="../media/image13.png"/><Relationship Id="rId20" Type="http://schemas.openxmlformats.org/officeDocument/2006/relationships/chart" Target="../charts/chart63.xml"/><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image" Target="../media/image3.png"/><Relationship Id="rId15" Type="http://schemas.openxmlformats.org/officeDocument/2006/relationships/image" Target="../media/image12.png"/><Relationship Id="rId10" Type="http://schemas.openxmlformats.org/officeDocument/2006/relationships/image" Target="../media/image7.png"/><Relationship Id="rId19" Type="http://schemas.openxmlformats.org/officeDocument/2006/relationships/chart" Target="../charts/chart62.xml"/><Relationship Id="rId4" Type="http://schemas.openxmlformats.org/officeDocument/2006/relationships/image" Target="../media/image2.png"/><Relationship Id="rId9" Type="http://schemas.openxmlformats.org/officeDocument/2006/relationships/image" Target="../media/image6.png"/><Relationship Id="rId14" Type="http://schemas.openxmlformats.org/officeDocument/2006/relationships/image" Target="../media/image11.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66.xml"/><Relationship Id="rId2" Type="http://schemas.openxmlformats.org/officeDocument/2006/relationships/chart" Target="../charts/chart65.xml"/><Relationship Id="rId1" Type="http://schemas.openxmlformats.org/officeDocument/2006/relationships/chart" Target="../charts/chart64.xml"/><Relationship Id="rId6" Type="http://schemas.openxmlformats.org/officeDocument/2006/relationships/chart" Target="../charts/chart69.xml"/><Relationship Id="rId5" Type="http://schemas.openxmlformats.org/officeDocument/2006/relationships/chart" Target="../charts/chart68.xml"/><Relationship Id="rId4" Type="http://schemas.openxmlformats.org/officeDocument/2006/relationships/chart" Target="../charts/chart67.xml"/></Relationships>
</file>

<file path=xl/drawings/_rels/drawing23.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chart" Target="../charts/chart71.xml"/><Relationship Id="rId1" Type="http://schemas.openxmlformats.org/officeDocument/2006/relationships/chart" Target="../charts/chart70.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73.xml"/><Relationship Id="rId1" Type="http://schemas.openxmlformats.org/officeDocument/2006/relationships/chart" Target="../charts/chart72.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75.xml"/><Relationship Id="rId1" Type="http://schemas.openxmlformats.org/officeDocument/2006/relationships/chart" Target="../charts/chart74.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7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4" Type="http://schemas.openxmlformats.org/officeDocument/2006/relationships/chart" Target="../charts/chart2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6.xml"/><Relationship Id="rId7" Type="http://schemas.openxmlformats.org/officeDocument/2006/relationships/chart" Target="../charts/chart30.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9</xdr:col>
      <xdr:colOff>247650</xdr:colOff>
      <xdr:row>77</xdr:row>
      <xdr:rowOff>155575</xdr:rowOff>
    </xdr:from>
    <xdr:to>
      <xdr:col>16</xdr:col>
      <xdr:colOff>196850</xdr:colOff>
      <xdr:row>93</xdr:row>
      <xdr:rowOff>53975</xdr:rowOff>
    </xdr:to>
    <xdr:graphicFrame macro="">
      <xdr:nvGraphicFramePr>
        <xdr:cNvPr id="4" name="图表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233684</xdr:colOff>
      <xdr:row>93</xdr:row>
      <xdr:rowOff>38367</xdr:rowOff>
    </xdr:from>
    <xdr:to>
      <xdr:col>16</xdr:col>
      <xdr:colOff>107187</xdr:colOff>
      <xdr:row>106</xdr:row>
      <xdr:rowOff>116061</xdr:rowOff>
    </xdr:to>
    <xdr:graphicFrame macro="">
      <xdr:nvGraphicFramePr>
        <xdr:cNvPr id="5" name="图表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642470</xdr:colOff>
      <xdr:row>35</xdr:row>
      <xdr:rowOff>104589</xdr:rowOff>
    </xdr:from>
    <xdr:to>
      <xdr:col>15</xdr:col>
      <xdr:colOff>169209</xdr:colOff>
      <xdr:row>50</xdr:row>
      <xdr:rowOff>60553</xdr:rowOff>
    </xdr:to>
    <xdr:grpSp>
      <xdr:nvGrpSpPr>
        <xdr:cNvPr id="6" name="组合 5">
          <a:extLst>
            <a:ext uri="{FF2B5EF4-FFF2-40B4-BE49-F238E27FC236}">
              <a16:creationId xmlns:a16="http://schemas.microsoft.com/office/drawing/2014/main" id="{00000000-0008-0000-0000-000006000000}"/>
            </a:ext>
          </a:extLst>
        </xdr:cNvPr>
        <xdr:cNvGrpSpPr/>
      </xdr:nvGrpSpPr>
      <xdr:grpSpPr>
        <a:xfrm>
          <a:off x="4615756" y="6454589"/>
          <a:ext cx="5486667" cy="2677393"/>
          <a:chOff x="4586941" y="6379883"/>
          <a:chExt cx="5443444" cy="2645376"/>
        </a:xfrm>
      </xdr:grpSpPr>
      <xdr:graphicFrame macro="">
        <xdr:nvGraphicFramePr>
          <xdr:cNvPr id="12" name="图表 11">
            <a:extLst>
              <a:ext uri="{FF2B5EF4-FFF2-40B4-BE49-F238E27FC236}">
                <a16:creationId xmlns:a16="http://schemas.microsoft.com/office/drawing/2014/main" id="{00000000-0008-0000-0000-00000C000000}"/>
              </a:ext>
            </a:extLst>
          </xdr:cNvPr>
          <xdr:cNvGraphicFramePr>
            <a:graphicFrameLocks/>
          </xdr:cNvGraphicFramePr>
        </xdr:nvGraphicFramePr>
        <xdr:xfrm>
          <a:off x="4586941" y="6379883"/>
          <a:ext cx="5443444" cy="2645376"/>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3" name="图表 12">
            <a:extLst>
              <a:ext uri="{FF2B5EF4-FFF2-40B4-BE49-F238E27FC236}">
                <a16:creationId xmlns:a16="http://schemas.microsoft.com/office/drawing/2014/main" id="{00000000-0008-0000-0000-00000D000000}"/>
              </a:ext>
            </a:extLst>
          </xdr:cNvPr>
          <xdr:cNvGraphicFramePr>
            <a:graphicFrameLocks/>
          </xdr:cNvGraphicFramePr>
        </xdr:nvGraphicFramePr>
        <xdr:xfrm>
          <a:off x="7470214" y="6769288"/>
          <a:ext cx="1219573" cy="2135792"/>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4" name="图表 13">
            <a:extLst>
              <a:ext uri="{FF2B5EF4-FFF2-40B4-BE49-F238E27FC236}">
                <a16:creationId xmlns:a16="http://schemas.microsoft.com/office/drawing/2014/main" id="{00000000-0008-0000-0000-00000E000000}"/>
              </a:ext>
            </a:extLst>
          </xdr:cNvPr>
          <xdr:cNvGraphicFramePr>
            <a:graphicFrameLocks/>
          </xdr:cNvGraphicFramePr>
        </xdr:nvGraphicFramePr>
        <xdr:xfrm>
          <a:off x="8737972" y="6746876"/>
          <a:ext cx="1276915" cy="2094379"/>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14</xdr:col>
      <xdr:colOff>37353</xdr:colOff>
      <xdr:row>51</xdr:row>
      <xdr:rowOff>89647</xdr:rowOff>
    </xdr:from>
    <xdr:to>
      <xdr:col>22</xdr:col>
      <xdr:colOff>221503</xdr:colOff>
      <xdr:row>66</xdr:row>
      <xdr:rowOff>45611</xdr:rowOff>
    </xdr:to>
    <xdr:grpSp>
      <xdr:nvGrpSpPr>
        <xdr:cNvPr id="2" name="组合 1">
          <a:extLst>
            <a:ext uri="{FF2B5EF4-FFF2-40B4-BE49-F238E27FC236}">
              <a16:creationId xmlns:a16="http://schemas.microsoft.com/office/drawing/2014/main" id="{4EB1D0FC-53B1-4878-AF03-607D5DDBA3A3}"/>
            </a:ext>
          </a:extLst>
        </xdr:cNvPr>
        <xdr:cNvGrpSpPr/>
      </xdr:nvGrpSpPr>
      <xdr:grpSpPr>
        <a:xfrm>
          <a:off x="9308353" y="9342504"/>
          <a:ext cx="5481864" cy="2677393"/>
          <a:chOff x="8867588" y="9143999"/>
          <a:chExt cx="5443444" cy="2645376"/>
        </a:xfrm>
      </xdr:grpSpPr>
      <xdr:graphicFrame macro="">
        <xdr:nvGraphicFramePr>
          <xdr:cNvPr id="15" name="图表 14">
            <a:extLst>
              <a:ext uri="{FF2B5EF4-FFF2-40B4-BE49-F238E27FC236}">
                <a16:creationId xmlns:a16="http://schemas.microsoft.com/office/drawing/2014/main" id="{877DC407-1B26-4B2E-8094-95D632ACF749}"/>
              </a:ext>
            </a:extLst>
          </xdr:cNvPr>
          <xdr:cNvGraphicFramePr>
            <a:graphicFrameLocks/>
          </xdr:cNvGraphicFramePr>
        </xdr:nvGraphicFramePr>
        <xdr:xfrm>
          <a:off x="8867588" y="9143999"/>
          <a:ext cx="5443444" cy="2645376"/>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6" name="图表 15">
            <a:extLst>
              <a:ext uri="{FF2B5EF4-FFF2-40B4-BE49-F238E27FC236}">
                <a16:creationId xmlns:a16="http://schemas.microsoft.com/office/drawing/2014/main" id="{89662470-4E6C-4FE4-8325-5BC5C660CF06}"/>
              </a:ext>
            </a:extLst>
          </xdr:cNvPr>
          <xdr:cNvGraphicFramePr>
            <a:graphicFrameLocks/>
          </xdr:cNvGraphicFramePr>
        </xdr:nvGraphicFramePr>
        <xdr:xfrm>
          <a:off x="11750861" y="9533404"/>
          <a:ext cx="1219573" cy="2135792"/>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7" name="图表 16">
            <a:extLst>
              <a:ext uri="{FF2B5EF4-FFF2-40B4-BE49-F238E27FC236}">
                <a16:creationId xmlns:a16="http://schemas.microsoft.com/office/drawing/2014/main" id="{29242DFC-F7B6-434B-94C8-96954B8913BA}"/>
              </a:ext>
            </a:extLst>
          </xdr:cNvPr>
          <xdr:cNvGraphicFramePr>
            <a:graphicFrameLocks/>
          </xdr:cNvGraphicFramePr>
        </xdr:nvGraphicFramePr>
        <xdr:xfrm>
          <a:off x="13018619" y="9510992"/>
          <a:ext cx="1276915" cy="2094379"/>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16</xdr:col>
      <xdr:colOff>351118</xdr:colOff>
      <xdr:row>36</xdr:row>
      <xdr:rowOff>59765</xdr:rowOff>
    </xdr:from>
    <xdr:to>
      <xdr:col>24</xdr:col>
      <xdr:colOff>535268</xdr:colOff>
      <xdr:row>51</xdr:row>
      <xdr:rowOff>15729</xdr:rowOff>
    </xdr:to>
    <xdr:grpSp>
      <xdr:nvGrpSpPr>
        <xdr:cNvPr id="18" name="组合 17">
          <a:extLst>
            <a:ext uri="{FF2B5EF4-FFF2-40B4-BE49-F238E27FC236}">
              <a16:creationId xmlns:a16="http://schemas.microsoft.com/office/drawing/2014/main" id="{287F1E22-A55D-4281-9E59-D2C3DD2755F2}"/>
            </a:ext>
          </a:extLst>
        </xdr:cNvPr>
        <xdr:cNvGrpSpPr/>
      </xdr:nvGrpSpPr>
      <xdr:grpSpPr>
        <a:xfrm>
          <a:off x="10946547" y="6591194"/>
          <a:ext cx="5481864" cy="2677392"/>
          <a:chOff x="4586941" y="6379883"/>
          <a:chExt cx="5443444" cy="2645376"/>
        </a:xfrm>
      </xdr:grpSpPr>
      <xdr:graphicFrame macro="">
        <xdr:nvGraphicFramePr>
          <xdr:cNvPr id="19" name="图表 18">
            <a:extLst>
              <a:ext uri="{FF2B5EF4-FFF2-40B4-BE49-F238E27FC236}">
                <a16:creationId xmlns:a16="http://schemas.microsoft.com/office/drawing/2014/main" id="{AF304D50-3137-4325-9A7C-7EDE090F54DB}"/>
              </a:ext>
            </a:extLst>
          </xdr:cNvPr>
          <xdr:cNvGraphicFramePr>
            <a:graphicFrameLocks/>
          </xdr:cNvGraphicFramePr>
        </xdr:nvGraphicFramePr>
        <xdr:xfrm>
          <a:off x="4586941" y="6379883"/>
          <a:ext cx="5443444" cy="2645376"/>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0" name="图表 19">
            <a:extLst>
              <a:ext uri="{FF2B5EF4-FFF2-40B4-BE49-F238E27FC236}">
                <a16:creationId xmlns:a16="http://schemas.microsoft.com/office/drawing/2014/main" id="{F7C6994F-C155-407C-87AD-67ACA198DB02}"/>
              </a:ext>
            </a:extLst>
          </xdr:cNvPr>
          <xdr:cNvGraphicFramePr>
            <a:graphicFrameLocks/>
          </xdr:cNvGraphicFramePr>
        </xdr:nvGraphicFramePr>
        <xdr:xfrm>
          <a:off x="7470214" y="6769288"/>
          <a:ext cx="1219573" cy="2135792"/>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21" name="图表 20">
            <a:extLst>
              <a:ext uri="{FF2B5EF4-FFF2-40B4-BE49-F238E27FC236}">
                <a16:creationId xmlns:a16="http://schemas.microsoft.com/office/drawing/2014/main" id="{7889A5AB-E37E-4A03-A562-6AA5AA0D29E7}"/>
              </a:ext>
            </a:extLst>
          </xdr:cNvPr>
          <xdr:cNvGraphicFramePr>
            <a:graphicFrameLocks/>
          </xdr:cNvGraphicFramePr>
        </xdr:nvGraphicFramePr>
        <xdr:xfrm>
          <a:off x="8737972" y="6746876"/>
          <a:ext cx="1276915" cy="2094379"/>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xdr:col>
      <xdr:colOff>0</xdr:colOff>
      <xdr:row>64</xdr:row>
      <xdr:rowOff>127000</xdr:rowOff>
    </xdr:from>
    <xdr:to>
      <xdr:col>9</xdr:col>
      <xdr:colOff>184150</xdr:colOff>
      <xdr:row>79</xdr:row>
      <xdr:rowOff>12808</xdr:rowOff>
    </xdr:to>
    <xdr:grpSp>
      <xdr:nvGrpSpPr>
        <xdr:cNvPr id="22" name="组合 21">
          <a:extLst>
            <a:ext uri="{FF2B5EF4-FFF2-40B4-BE49-F238E27FC236}">
              <a16:creationId xmlns:a16="http://schemas.microsoft.com/office/drawing/2014/main" id="{98914095-95D3-4AAC-85CF-CBDCD8BAAB72}"/>
            </a:ext>
          </a:extLst>
        </xdr:cNvPr>
        <xdr:cNvGrpSpPr/>
      </xdr:nvGrpSpPr>
      <xdr:grpSpPr>
        <a:xfrm>
          <a:off x="662214" y="11738429"/>
          <a:ext cx="5481865" cy="2607236"/>
          <a:chOff x="4586941" y="6379883"/>
          <a:chExt cx="5443444" cy="2645376"/>
        </a:xfrm>
      </xdr:grpSpPr>
      <xdr:graphicFrame macro="">
        <xdr:nvGraphicFramePr>
          <xdr:cNvPr id="23" name="图表 22">
            <a:extLst>
              <a:ext uri="{FF2B5EF4-FFF2-40B4-BE49-F238E27FC236}">
                <a16:creationId xmlns:a16="http://schemas.microsoft.com/office/drawing/2014/main" id="{D57760E7-C130-46DF-9E87-989432CFA533}"/>
              </a:ext>
            </a:extLst>
          </xdr:cNvPr>
          <xdr:cNvGraphicFramePr>
            <a:graphicFrameLocks/>
          </xdr:cNvGraphicFramePr>
        </xdr:nvGraphicFramePr>
        <xdr:xfrm>
          <a:off x="4586941" y="6379883"/>
          <a:ext cx="5443444" cy="2645376"/>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24" name="图表 23">
            <a:extLst>
              <a:ext uri="{FF2B5EF4-FFF2-40B4-BE49-F238E27FC236}">
                <a16:creationId xmlns:a16="http://schemas.microsoft.com/office/drawing/2014/main" id="{9F6A85FB-C8D3-42C8-A1B3-1564AB0C4101}"/>
              </a:ext>
            </a:extLst>
          </xdr:cNvPr>
          <xdr:cNvGraphicFramePr>
            <a:graphicFrameLocks/>
          </xdr:cNvGraphicFramePr>
        </xdr:nvGraphicFramePr>
        <xdr:xfrm>
          <a:off x="7470214" y="6769288"/>
          <a:ext cx="1219573" cy="2135792"/>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25" name="图表 24">
            <a:extLst>
              <a:ext uri="{FF2B5EF4-FFF2-40B4-BE49-F238E27FC236}">
                <a16:creationId xmlns:a16="http://schemas.microsoft.com/office/drawing/2014/main" id="{78482F99-58E9-4075-AF71-41DF45050E78}"/>
              </a:ext>
            </a:extLst>
          </xdr:cNvPr>
          <xdr:cNvGraphicFramePr>
            <a:graphicFrameLocks/>
          </xdr:cNvGraphicFramePr>
        </xdr:nvGraphicFramePr>
        <xdr:xfrm>
          <a:off x="8737972" y="6746876"/>
          <a:ext cx="1276915" cy="2094379"/>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9</xdr:col>
      <xdr:colOff>421341</xdr:colOff>
      <xdr:row>64</xdr:row>
      <xdr:rowOff>137458</xdr:rowOff>
    </xdr:from>
    <xdr:to>
      <xdr:col>17</xdr:col>
      <xdr:colOff>605491</xdr:colOff>
      <xdr:row>79</xdr:row>
      <xdr:rowOff>93423</xdr:rowOff>
    </xdr:to>
    <xdr:grpSp>
      <xdr:nvGrpSpPr>
        <xdr:cNvPr id="26" name="组合 25">
          <a:extLst>
            <a:ext uri="{FF2B5EF4-FFF2-40B4-BE49-F238E27FC236}">
              <a16:creationId xmlns:a16="http://schemas.microsoft.com/office/drawing/2014/main" id="{EE5A2A13-9C4B-4D6F-BDBA-8AF423698AB2}"/>
            </a:ext>
          </a:extLst>
        </xdr:cNvPr>
        <xdr:cNvGrpSpPr/>
      </xdr:nvGrpSpPr>
      <xdr:grpSpPr>
        <a:xfrm>
          <a:off x="6381270" y="11748887"/>
          <a:ext cx="5481864" cy="2677393"/>
          <a:chOff x="8867588" y="9143999"/>
          <a:chExt cx="5443444" cy="2645376"/>
        </a:xfrm>
      </xdr:grpSpPr>
      <xdr:graphicFrame macro="">
        <xdr:nvGraphicFramePr>
          <xdr:cNvPr id="27" name="图表 26">
            <a:extLst>
              <a:ext uri="{FF2B5EF4-FFF2-40B4-BE49-F238E27FC236}">
                <a16:creationId xmlns:a16="http://schemas.microsoft.com/office/drawing/2014/main" id="{10F3C69A-A41B-4EE9-AA25-B51AD15AE136}"/>
              </a:ext>
            </a:extLst>
          </xdr:cNvPr>
          <xdr:cNvGraphicFramePr>
            <a:graphicFrameLocks/>
          </xdr:cNvGraphicFramePr>
        </xdr:nvGraphicFramePr>
        <xdr:xfrm>
          <a:off x="8867588" y="9143999"/>
          <a:ext cx="5443444" cy="2645376"/>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28" name="图表 27">
            <a:extLst>
              <a:ext uri="{FF2B5EF4-FFF2-40B4-BE49-F238E27FC236}">
                <a16:creationId xmlns:a16="http://schemas.microsoft.com/office/drawing/2014/main" id="{C70A5089-2862-4C44-9FB6-937060ED4A5D}"/>
              </a:ext>
            </a:extLst>
          </xdr:cNvPr>
          <xdr:cNvGraphicFramePr>
            <a:graphicFrameLocks/>
          </xdr:cNvGraphicFramePr>
        </xdr:nvGraphicFramePr>
        <xdr:xfrm>
          <a:off x="11750861" y="9533404"/>
          <a:ext cx="1219573" cy="2135792"/>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29" name="图表 28">
            <a:extLst>
              <a:ext uri="{FF2B5EF4-FFF2-40B4-BE49-F238E27FC236}">
                <a16:creationId xmlns:a16="http://schemas.microsoft.com/office/drawing/2014/main" id="{7848C759-A12C-493F-AD06-E8EF91A1D978}"/>
              </a:ext>
            </a:extLst>
          </xdr:cNvPr>
          <xdr:cNvGraphicFramePr>
            <a:graphicFrameLocks/>
          </xdr:cNvGraphicFramePr>
        </xdr:nvGraphicFramePr>
        <xdr:xfrm>
          <a:off x="13018619" y="9510992"/>
          <a:ext cx="1276915" cy="2094379"/>
        </xdr:xfrm>
        <a:graphic>
          <a:graphicData uri="http://schemas.openxmlformats.org/drawingml/2006/chart">
            <c:chart xmlns:c="http://schemas.openxmlformats.org/drawingml/2006/chart" xmlns:r="http://schemas.openxmlformats.org/officeDocument/2006/relationships" r:id="rId17"/>
          </a:graphicData>
        </a:graphic>
      </xdr:graphicFrame>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546100</xdr:colOff>
      <xdr:row>1</xdr:row>
      <xdr:rowOff>22225</xdr:rowOff>
    </xdr:from>
    <xdr:to>
      <xdr:col>14</xdr:col>
      <xdr:colOff>495300</xdr:colOff>
      <xdr:row>16</xdr:row>
      <xdr:rowOff>98425</xdr:rowOff>
    </xdr:to>
    <xdr:graphicFrame macro="">
      <xdr:nvGraphicFramePr>
        <xdr:cNvPr id="2" name="图表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292100</xdr:colOff>
      <xdr:row>2</xdr:row>
      <xdr:rowOff>9711</xdr:rowOff>
    </xdr:from>
    <xdr:to>
      <xdr:col>11</xdr:col>
      <xdr:colOff>219636</xdr:colOff>
      <xdr:row>14</xdr:row>
      <xdr:rowOff>144182</xdr:rowOff>
    </xdr:to>
    <xdr:graphicFrame macro="">
      <xdr:nvGraphicFramePr>
        <xdr:cNvPr id="2" name="图表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139700</xdr:colOff>
      <xdr:row>15</xdr:row>
      <xdr:rowOff>76199</xdr:rowOff>
    </xdr:from>
    <xdr:to>
      <xdr:col>13</xdr:col>
      <xdr:colOff>234950</xdr:colOff>
      <xdr:row>28</xdr:row>
      <xdr:rowOff>174624</xdr:rowOff>
    </xdr:to>
    <xdr:graphicFrame macro="">
      <xdr:nvGraphicFramePr>
        <xdr:cNvPr id="3" name="图表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23</xdr:row>
      <xdr:rowOff>111125</xdr:rowOff>
    </xdr:from>
    <xdr:to>
      <xdr:col>6</xdr:col>
      <xdr:colOff>515470</xdr:colOff>
      <xdr:row>37</xdr:row>
      <xdr:rowOff>97118</xdr:rowOff>
    </xdr:to>
    <xdr:graphicFrame macro="">
      <xdr:nvGraphicFramePr>
        <xdr:cNvPr id="4" name="图表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84418</xdr:colOff>
      <xdr:row>33</xdr:row>
      <xdr:rowOff>14754</xdr:rowOff>
    </xdr:from>
    <xdr:to>
      <xdr:col>14</xdr:col>
      <xdr:colOff>33617</xdr:colOff>
      <xdr:row>48</xdr:row>
      <xdr:rowOff>92448</xdr:rowOff>
    </xdr:to>
    <xdr:graphicFrame macro="">
      <xdr:nvGraphicFramePr>
        <xdr:cNvPr id="7" name="图表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70</xdr:row>
      <xdr:rowOff>0</xdr:rowOff>
    </xdr:from>
    <xdr:to>
      <xdr:col>13</xdr:col>
      <xdr:colOff>586815</xdr:colOff>
      <xdr:row>79</xdr:row>
      <xdr:rowOff>109108</xdr:rowOff>
    </xdr:to>
    <xdr:graphicFrame macro="">
      <xdr:nvGraphicFramePr>
        <xdr:cNvPr id="6" name="图表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601868</xdr:colOff>
      <xdr:row>70</xdr:row>
      <xdr:rowOff>5521</xdr:rowOff>
    </xdr:from>
    <xdr:to>
      <xdr:col>18</xdr:col>
      <xdr:colOff>419652</xdr:colOff>
      <xdr:row>79</xdr:row>
      <xdr:rowOff>127000</xdr:rowOff>
    </xdr:to>
    <xdr:graphicFrame macro="">
      <xdr:nvGraphicFramePr>
        <xdr:cNvPr id="8" name="图表 7">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16</xdr:col>
      <xdr:colOff>381000</xdr:colOff>
      <xdr:row>1</xdr:row>
      <xdr:rowOff>3175</xdr:rowOff>
    </xdr:from>
    <xdr:to>
      <xdr:col>27</xdr:col>
      <xdr:colOff>387350</xdr:colOff>
      <xdr:row>19</xdr:row>
      <xdr:rowOff>139700</xdr:rowOff>
    </xdr:to>
    <xdr:graphicFrame macro="">
      <xdr:nvGraphicFramePr>
        <xdr:cNvPr id="3" name="图表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177800</xdr:colOff>
      <xdr:row>15</xdr:row>
      <xdr:rowOff>177799</xdr:rowOff>
    </xdr:from>
    <xdr:to>
      <xdr:col>15</xdr:col>
      <xdr:colOff>431800</xdr:colOff>
      <xdr:row>31</xdr:row>
      <xdr:rowOff>171450</xdr:rowOff>
    </xdr:to>
    <xdr:graphicFrame macro="">
      <xdr:nvGraphicFramePr>
        <xdr:cNvPr id="4" name="图表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45357</xdr:colOff>
      <xdr:row>44</xdr:row>
      <xdr:rowOff>154215</xdr:rowOff>
    </xdr:from>
    <xdr:to>
      <xdr:col>14</xdr:col>
      <xdr:colOff>299357</xdr:colOff>
      <xdr:row>60</xdr:row>
      <xdr:rowOff>147866</xdr:rowOff>
    </xdr:to>
    <xdr:graphicFrame macro="">
      <xdr:nvGraphicFramePr>
        <xdr:cNvPr id="5" name="图表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272143</xdr:colOff>
      <xdr:row>63</xdr:row>
      <xdr:rowOff>18143</xdr:rowOff>
    </xdr:from>
    <xdr:to>
      <xdr:col>22</xdr:col>
      <xdr:colOff>526143</xdr:colOff>
      <xdr:row>79</xdr:row>
      <xdr:rowOff>11794</xdr:rowOff>
    </xdr:to>
    <xdr:graphicFrame macro="">
      <xdr:nvGraphicFramePr>
        <xdr:cNvPr id="6" name="图表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281214</xdr:colOff>
      <xdr:row>78</xdr:row>
      <xdr:rowOff>136071</xdr:rowOff>
    </xdr:from>
    <xdr:to>
      <xdr:col>22</xdr:col>
      <xdr:colOff>535214</xdr:colOff>
      <xdr:row>94</xdr:row>
      <xdr:rowOff>129722</xdr:rowOff>
    </xdr:to>
    <xdr:graphicFrame macro="">
      <xdr:nvGraphicFramePr>
        <xdr:cNvPr id="7" name="图表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12273</xdr:colOff>
      <xdr:row>119</xdr:row>
      <xdr:rowOff>100638</xdr:rowOff>
    </xdr:from>
    <xdr:to>
      <xdr:col>29</xdr:col>
      <xdr:colOff>93916</xdr:colOff>
      <xdr:row>139</xdr:row>
      <xdr:rowOff>175026</xdr:rowOff>
    </xdr:to>
    <xdr:graphicFrame macro="">
      <xdr:nvGraphicFramePr>
        <xdr:cNvPr id="2" name="图表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589643</xdr:colOff>
      <xdr:row>142</xdr:row>
      <xdr:rowOff>163286</xdr:rowOff>
    </xdr:from>
    <xdr:to>
      <xdr:col>29</xdr:col>
      <xdr:colOff>9071</xdr:colOff>
      <xdr:row>163</xdr:row>
      <xdr:rowOff>56245</xdr:rowOff>
    </xdr:to>
    <xdr:graphicFrame macro="">
      <xdr:nvGraphicFramePr>
        <xdr:cNvPr id="8" name="图表 7">
          <a:extLst>
            <a:ext uri="{FF2B5EF4-FFF2-40B4-BE49-F238E27FC236}">
              <a16:creationId xmlns:a16="http://schemas.microsoft.com/office/drawing/2014/main" id="{05E3F246-05A8-4886-901D-EFEA68621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54428</xdr:colOff>
      <xdr:row>77</xdr:row>
      <xdr:rowOff>81643</xdr:rowOff>
    </xdr:from>
    <xdr:to>
      <xdr:col>37</xdr:col>
      <xdr:colOff>18142</xdr:colOff>
      <xdr:row>92</xdr:row>
      <xdr:rowOff>163285</xdr:rowOff>
    </xdr:to>
    <xdr:graphicFrame macro="">
      <xdr:nvGraphicFramePr>
        <xdr:cNvPr id="9" name="图表 8">
          <a:extLst>
            <a:ext uri="{FF2B5EF4-FFF2-40B4-BE49-F238E27FC236}">
              <a16:creationId xmlns:a16="http://schemas.microsoft.com/office/drawing/2014/main" id="{344D708A-6030-4972-9493-2506A3818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145143</xdr:colOff>
      <xdr:row>207</xdr:row>
      <xdr:rowOff>99786</xdr:rowOff>
    </xdr:from>
    <xdr:to>
      <xdr:col>23</xdr:col>
      <xdr:colOff>18142</xdr:colOff>
      <xdr:row>222</xdr:row>
      <xdr:rowOff>146958</xdr:rowOff>
    </xdr:to>
    <xdr:grpSp>
      <xdr:nvGrpSpPr>
        <xdr:cNvPr id="27" name="组合 26">
          <a:extLst>
            <a:ext uri="{FF2B5EF4-FFF2-40B4-BE49-F238E27FC236}">
              <a16:creationId xmlns:a16="http://schemas.microsoft.com/office/drawing/2014/main" id="{07DA9D10-F27B-44B2-97BA-CBFBCCCB7DFB}"/>
            </a:ext>
          </a:extLst>
        </xdr:cNvPr>
        <xdr:cNvGrpSpPr/>
      </xdr:nvGrpSpPr>
      <xdr:grpSpPr>
        <a:xfrm>
          <a:off x="9769929" y="37655500"/>
          <a:ext cx="6495142" cy="2768601"/>
          <a:chOff x="8863319" y="37213668"/>
          <a:chExt cx="6447117" cy="2736584"/>
        </a:xfrm>
      </xdr:grpSpPr>
      <xdr:graphicFrame macro="">
        <xdr:nvGraphicFramePr>
          <xdr:cNvPr id="11" name="图表 10">
            <a:extLst>
              <a:ext uri="{FF2B5EF4-FFF2-40B4-BE49-F238E27FC236}">
                <a16:creationId xmlns:a16="http://schemas.microsoft.com/office/drawing/2014/main" id="{D9B73E33-470D-4578-A857-F1D2BEE3E445}"/>
              </a:ext>
            </a:extLst>
          </xdr:cNvPr>
          <xdr:cNvGraphicFramePr>
            <a:graphicFrameLocks/>
          </xdr:cNvGraphicFramePr>
        </xdr:nvGraphicFramePr>
        <xdr:xfrm>
          <a:off x="8863319" y="37213668"/>
          <a:ext cx="6447117" cy="2736584"/>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13" name="文本框 12">
            <a:extLst>
              <a:ext uri="{FF2B5EF4-FFF2-40B4-BE49-F238E27FC236}">
                <a16:creationId xmlns:a16="http://schemas.microsoft.com/office/drawing/2014/main" id="{3F151ECF-82FA-4CCE-AC8D-622FDB66EC38}"/>
              </a:ext>
            </a:extLst>
          </xdr:cNvPr>
          <xdr:cNvSpPr txBox="1"/>
        </xdr:nvSpPr>
        <xdr:spPr>
          <a:xfrm>
            <a:off x="9495117" y="38241941"/>
            <a:ext cx="424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FF0000"/>
                </a:solidFill>
              </a:rPr>
              <a:t>5.5x</a:t>
            </a:r>
            <a:endParaRPr lang="zh-CN" altLang="en-US" sz="1100">
              <a:solidFill>
                <a:srgbClr val="FF0000"/>
              </a:solidFill>
            </a:endParaRPr>
          </a:p>
        </xdr:txBody>
      </xdr:sp>
      <xdr:sp macro="" textlink="">
        <xdr:nvSpPr>
          <xdr:cNvPr id="14" name="文本框 13">
            <a:extLst>
              <a:ext uri="{FF2B5EF4-FFF2-40B4-BE49-F238E27FC236}">
                <a16:creationId xmlns:a16="http://schemas.microsoft.com/office/drawing/2014/main" id="{58D30F55-B699-4A35-9EAA-53E590F92675}"/>
              </a:ext>
            </a:extLst>
          </xdr:cNvPr>
          <xdr:cNvSpPr txBox="1"/>
        </xdr:nvSpPr>
        <xdr:spPr>
          <a:xfrm>
            <a:off x="9826812" y="37677163"/>
            <a:ext cx="424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FF0000"/>
                </a:solidFill>
              </a:rPr>
              <a:t>6.2x</a:t>
            </a:r>
            <a:endParaRPr lang="zh-CN" altLang="en-US" sz="1100">
              <a:solidFill>
                <a:srgbClr val="FF0000"/>
              </a:solidFill>
            </a:endParaRPr>
          </a:p>
        </xdr:txBody>
      </xdr:sp>
      <xdr:sp macro="" textlink="">
        <xdr:nvSpPr>
          <xdr:cNvPr id="15" name="文本框 14">
            <a:extLst>
              <a:ext uri="{FF2B5EF4-FFF2-40B4-BE49-F238E27FC236}">
                <a16:creationId xmlns:a16="http://schemas.microsoft.com/office/drawing/2014/main" id="{142981E2-C6CF-4A05-A373-57FFC9DBBBEE}"/>
              </a:ext>
            </a:extLst>
          </xdr:cNvPr>
          <xdr:cNvSpPr txBox="1"/>
        </xdr:nvSpPr>
        <xdr:spPr>
          <a:xfrm>
            <a:off x="10367683" y="38643858"/>
            <a:ext cx="31726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FF0000"/>
                </a:solidFill>
              </a:rPr>
              <a:t>3x</a:t>
            </a:r>
            <a:endParaRPr lang="zh-CN" altLang="en-US" sz="1100">
              <a:solidFill>
                <a:srgbClr val="FF0000"/>
              </a:solidFill>
            </a:endParaRPr>
          </a:p>
        </xdr:txBody>
      </xdr:sp>
      <xdr:sp macro="" textlink="">
        <xdr:nvSpPr>
          <xdr:cNvPr id="16" name="文本框 15">
            <a:extLst>
              <a:ext uri="{FF2B5EF4-FFF2-40B4-BE49-F238E27FC236}">
                <a16:creationId xmlns:a16="http://schemas.microsoft.com/office/drawing/2014/main" id="{AC6135D6-94BF-44AF-B7CF-D663FE3AA630}"/>
              </a:ext>
            </a:extLst>
          </xdr:cNvPr>
          <xdr:cNvSpPr txBox="1"/>
        </xdr:nvSpPr>
        <xdr:spPr>
          <a:xfrm>
            <a:off x="10699376" y="38445140"/>
            <a:ext cx="424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FF0000"/>
                </a:solidFill>
              </a:rPr>
              <a:t>2.7x</a:t>
            </a:r>
            <a:endParaRPr lang="zh-CN" altLang="en-US" sz="1100">
              <a:solidFill>
                <a:srgbClr val="FF0000"/>
              </a:solidFill>
            </a:endParaRPr>
          </a:p>
        </xdr:txBody>
      </xdr:sp>
      <xdr:sp macro="" textlink="">
        <xdr:nvSpPr>
          <xdr:cNvPr id="17" name="文本框 16">
            <a:extLst>
              <a:ext uri="{FF2B5EF4-FFF2-40B4-BE49-F238E27FC236}">
                <a16:creationId xmlns:a16="http://schemas.microsoft.com/office/drawing/2014/main" id="{D9CE9DAE-7E8B-41A2-A706-F9D76DB24802}"/>
              </a:ext>
            </a:extLst>
          </xdr:cNvPr>
          <xdr:cNvSpPr txBox="1"/>
        </xdr:nvSpPr>
        <xdr:spPr>
          <a:xfrm>
            <a:off x="11143129" y="38612482"/>
            <a:ext cx="424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FF0000"/>
                </a:solidFill>
              </a:rPr>
              <a:t>2.6x</a:t>
            </a:r>
            <a:endParaRPr lang="zh-CN" altLang="en-US" sz="1100">
              <a:solidFill>
                <a:srgbClr val="FF0000"/>
              </a:solidFill>
            </a:endParaRPr>
          </a:p>
        </xdr:txBody>
      </xdr:sp>
      <xdr:sp macro="" textlink="">
        <xdr:nvSpPr>
          <xdr:cNvPr id="18" name="文本框 17">
            <a:extLst>
              <a:ext uri="{FF2B5EF4-FFF2-40B4-BE49-F238E27FC236}">
                <a16:creationId xmlns:a16="http://schemas.microsoft.com/office/drawing/2014/main" id="{76605E89-A304-4A49-BC68-FA92087162EC}"/>
              </a:ext>
            </a:extLst>
          </xdr:cNvPr>
          <xdr:cNvSpPr txBox="1"/>
        </xdr:nvSpPr>
        <xdr:spPr>
          <a:xfrm>
            <a:off x="11527118" y="38503411"/>
            <a:ext cx="424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FF0000"/>
                </a:solidFill>
              </a:rPr>
              <a:t>2.1x</a:t>
            </a:r>
            <a:endParaRPr lang="zh-CN" altLang="en-US" sz="1100">
              <a:solidFill>
                <a:srgbClr val="FF0000"/>
              </a:solidFill>
            </a:endParaRPr>
          </a:p>
        </xdr:txBody>
      </xdr:sp>
      <xdr:sp macro="" textlink="">
        <xdr:nvSpPr>
          <xdr:cNvPr id="19" name="文本框 18">
            <a:extLst>
              <a:ext uri="{FF2B5EF4-FFF2-40B4-BE49-F238E27FC236}">
                <a16:creationId xmlns:a16="http://schemas.microsoft.com/office/drawing/2014/main" id="{B13E33BE-EFB9-40B8-AD90-7B48E76030D9}"/>
              </a:ext>
            </a:extLst>
          </xdr:cNvPr>
          <xdr:cNvSpPr txBox="1"/>
        </xdr:nvSpPr>
        <xdr:spPr>
          <a:xfrm>
            <a:off x="11993282" y="38618458"/>
            <a:ext cx="424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FF0000"/>
                </a:solidFill>
              </a:rPr>
              <a:t>2.7x</a:t>
            </a:r>
            <a:endParaRPr lang="zh-CN" altLang="en-US" sz="1100">
              <a:solidFill>
                <a:srgbClr val="FF0000"/>
              </a:solidFill>
            </a:endParaRPr>
          </a:p>
        </xdr:txBody>
      </xdr:sp>
      <xdr:sp macro="" textlink="">
        <xdr:nvSpPr>
          <xdr:cNvPr id="20" name="文本框 19">
            <a:extLst>
              <a:ext uri="{FF2B5EF4-FFF2-40B4-BE49-F238E27FC236}">
                <a16:creationId xmlns:a16="http://schemas.microsoft.com/office/drawing/2014/main" id="{133BD5B5-E1F2-4199-A3BC-01D5A3404E2D}"/>
              </a:ext>
            </a:extLst>
          </xdr:cNvPr>
          <xdr:cNvSpPr txBox="1"/>
        </xdr:nvSpPr>
        <xdr:spPr>
          <a:xfrm>
            <a:off x="12324976" y="38516857"/>
            <a:ext cx="424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FF0000"/>
                </a:solidFill>
              </a:rPr>
              <a:t>2.1x</a:t>
            </a:r>
            <a:endParaRPr lang="zh-CN" altLang="en-US" sz="1100">
              <a:solidFill>
                <a:srgbClr val="FF0000"/>
              </a:solidFill>
            </a:endParaRPr>
          </a:p>
        </xdr:txBody>
      </xdr:sp>
      <xdr:sp macro="" textlink="">
        <xdr:nvSpPr>
          <xdr:cNvPr id="21" name="文本框 20">
            <a:extLst>
              <a:ext uri="{FF2B5EF4-FFF2-40B4-BE49-F238E27FC236}">
                <a16:creationId xmlns:a16="http://schemas.microsoft.com/office/drawing/2014/main" id="{47517486-B988-4337-9CF7-5226CF15BE7C}"/>
              </a:ext>
            </a:extLst>
          </xdr:cNvPr>
          <xdr:cNvSpPr txBox="1"/>
        </xdr:nvSpPr>
        <xdr:spPr>
          <a:xfrm>
            <a:off x="12813552" y="38460082"/>
            <a:ext cx="424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FF0000"/>
                </a:solidFill>
              </a:rPr>
              <a:t>2.6x</a:t>
            </a:r>
            <a:endParaRPr lang="zh-CN" altLang="en-US" sz="1100">
              <a:solidFill>
                <a:srgbClr val="FF0000"/>
              </a:solidFill>
            </a:endParaRPr>
          </a:p>
        </xdr:txBody>
      </xdr:sp>
      <xdr:sp macro="" textlink="">
        <xdr:nvSpPr>
          <xdr:cNvPr id="22" name="文本框 21">
            <a:extLst>
              <a:ext uri="{FF2B5EF4-FFF2-40B4-BE49-F238E27FC236}">
                <a16:creationId xmlns:a16="http://schemas.microsoft.com/office/drawing/2014/main" id="{C67EDAF2-E945-4564-A0EE-A40BA70BD7EB}"/>
              </a:ext>
            </a:extLst>
          </xdr:cNvPr>
          <xdr:cNvSpPr txBox="1"/>
        </xdr:nvSpPr>
        <xdr:spPr>
          <a:xfrm>
            <a:off x="13182599" y="38418245"/>
            <a:ext cx="424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FF0000"/>
                </a:solidFill>
              </a:rPr>
              <a:t>1.7x</a:t>
            </a:r>
            <a:endParaRPr lang="zh-CN" altLang="en-US" sz="1100">
              <a:solidFill>
                <a:srgbClr val="FF0000"/>
              </a:solidFill>
            </a:endParaRPr>
          </a:p>
        </xdr:txBody>
      </xdr:sp>
      <xdr:sp macro="" textlink="">
        <xdr:nvSpPr>
          <xdr:cNvPr id="23" name="文本框 22">
            <a:extLst>
              <a:ext uri="{FF2B5EF4-FFF2-40B4-BE49-F238E27FC236}">
                <a16:creationId xmlns:a16="http://schemas.microsoft.com/office/drawing/2014/main" id="{77B325C8-C3BC-4B56-B547-6B52E31F562A}"/>
              </a:ext>
            </a:extLst>
          </xdr:cNvPr>
          <xdr:cNvSpPr txBox="1"/>
        </xdr:nvSpPr>
        <xdr:spPr>
          <a:xfrm>
            <a:off x="13805646" y="39011410"/>
            <a:ext cx="31726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FF0000"/>
                </a:solidFill>
              </a:rPr>
              <a:t>1x</a:t>
            </a:r>
            <a:endParaRPr lang="zh-CN" altLang="en-US" sz="1100">
              <a:solidFill>
                <a:srgbClr val="FF0000"/>
              </a:solidFill>
            </a:endParaRPr>
          </a:p>
        </xdr:txBody>
      </xdr:sp>
      <xdr:sp macro="" textlink="">
        <xdr:nvSpPr>
          <xdr:cNvPr id="25" name="文本框 24">
            <a:extLst>
              <a:ext uri="{FF2B5EF4-FFF2-40B4-BE49-F238E27FC236}">
                <a16:creationId xmlns:a16="http://schemas.microsoft.com/office/drawing/2014/main" id="{804207EA-3F32-427F-A5C8-D8D5C1D18319}"/>
              </a:ext>
            </a:extLst>
          </xdr:cNvPr>
          <xdr:cNvSpPr txBox="1"/>
        </xdr:nvSpPr>
        <xdr:spPr>
          <a:xfrm>
            <a:off x="14461563" y="38673739"/>
            <a:ext cx="424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FF0000"/>
                </a:solidFill>
              </a:rPr>
              <a:t>2.8x</a:t>
            </a:r>
            <a:endParaRPr lang="zh-CN" altLang="en-US" sz="1100">
              <a:solidFill>
                <a:srgbClr val="FF0000"/>
              </a:solidFill>
            </a:endParaRPr>
          </a:p>
        </xdr:txBody>
      </xdr:sp>
      <xdr:sp macro="" textlink="">
        <xdr:nvSpPr>
          <xdr:cNvPr id="26" name="文本框 25">
            <a:extLst>
              <a:ext uri="{FF2B5EF4-FFF2-40B4-BE49-F238E27FC236}">
                <a16:creationId xmlns:a16="http://schemas.microsoft.com/office/drawing/2014/main" id="{3087CE90-10B0-4FD9-93EB-49D36A7A9B2E}"/>
              </a:ext>
            </a:extLst>
          </xdr:cNvPr>
          <xdr:cNvSpPr txBox="1"/>
        </xdr:nvSpPr>
        <xdr:spPr>
          <a:xfrm>
            <a:off x="14823139" y="38437668"/>
            <a:ext cx="424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FF0000"/>
                </a:solidFill>
              </a:rPr>
              <a:t>2.5x</a:t>
            </a:r>
            <a:endParaRPr lang="zh-CN" altLang="en-US" sz="1100">
              <a:solidFill>
                <a:srgbClr val="FF0000"/>
              </a:solidFill>
            </a:endParaRPr>
          </a:p>
        </xdr:txBody>
      </xdr:sp>
    </xdr:grpSp>
    <xdr:clientData/>
  </xdr:twoCellAnchor>
  <xdr:twoCellAnchor>
    <xdr:from>
      <xdr:col>13</xdr:col>
      <xdr:colOff>163287</xdr:colOff>
      <xdr:row>167</xdr:row>
      <xdr:rowOff>52616</xdr:rowOff>
    </xdr:from>
    <xdr:to>
      <xdr:col>26</xdr:col>
      <xdr:colOff>154215</xdr:colOff>
      <xdr:row>183</xdr:row>
      <xdr:rowOff>90714</xdr:rowOff>
    </xdr:to>
    <xdr:graphicFrame macro="">
      <xdr:nvGraphicFramePr>
        <xdr:cNvPr id="28" name="图表 27">
          <a:extLst>
            <a:ext uri="{FF2B5EF4-FFF2-40B4-BE49-F238E27FC236}">
              <a16:creationId xmlns:a16="http://schemas.microsoft.com/office/drawing/2014/main" id="{9EFE59C0-4074-4E45-BF71-F847B7610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54427</xdr:colOff>
      <xdr:row>248</xdr:row>
      <xdr:rowOff>96344</xdr:rowOff>
    </xdr:from>
    <xdr:to>
      <xdr:col>15</xdr:col>
      <xdr:colOff>380999</xdr:colOff>
      <xdr:row>257</xdr:row>
      <xdr:rowOff>103187</xdr:rowOff>
    </xdr:to>
    <xdr:graphicFrame macro="">
      <xdr:nvGraphicFramePr>
        <xdr:cNvPr id="24" name="图表 23">
          <a:extLst>
            <a:ext uri="{FF2B5EF4-FFF2-40B4-BE49-F238E27FC236}">
              <a16:creationId xmlns:a16="http://schemas.microsoft.com/office/drawing/2014/main" id="{6E967186-DDF2-448A-9EE0-FBB841706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74706</xdr:colOff>
      <xdr:row>257</xdr:row>
      <xdr:rowOff>156882</xdr:rowOff>
    </xdr:from>
    <xdr:to>
      <xdr:col>15</xdr:col>
      <xdr:colOff>401278</xdr:colOff>
      <xdr:row>266</xdr:row>
      <xdr:rowOff>163725</xdr:rowOff>
    </xdr:to>
    <xdr:graphicFrame macro="">
      <xdr:nvGraphicFramePr>
        <xdr:cNvPr id="34" name="图表 33">
          <a:extLst>
            <a:ext uri="{FF2B5EF4-FFF2-40B4-BE49-F238E27FC236}">
              <a16:creationId xmlns:a16="http://schemas.microsoft.com/office/drawing/2014/main" id="{E7C8B695-5536-4855-B4E5-769B42B38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585305</xdr:colOff>
      <xdr:row>270</xdr:row>
      <xdr:rowOff>165652</xdr:rowOff>
    </xdr:from>
    <xdr:to>
      <xdr:col>15</xdr:col>
      <xdr:colOff>249821</xdr:colOff>
      <xdr:row>279</xdr:row>
      <xdr:rowOff>172495</xdr:rowOff>
    </xdr:to>
    <xdr:graphicFrame macro="">
      <xdr:nvGraphicFramePr>
        <xdr:cNvPr id="35" name="图表 34">
          <a:extLst>
            <a:ext uri="{FF2B5EF4-FFF2-40B4-BE49-F238E27FC236}">
              <a16:creationId xmlns:a16="http://schemas.microsoft.com/office/drawing/2014/main" id="{0C68FB5F-FBAD-431A-BCDD-7229B98FB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1008529</xdr:colOff>
      <xdr:row>268</xdr:row>
      <xdr:rowOff>67235</xdr:rowOff>
    </xdr:from>
    <xdr:to>
      <xdr:col>7</xdr:col>
      <xdr:colOff>329494</xdr:colOff>
      <xdr:row>277</xdr:row>
      <xdr:rowOff>74077</xdr:rowOff>
    </xdr:to>
    <xdr:graphicFrame macro="">
      <xdr:nvGraphicFramePr>
        <xdr:cNvPr id="36" name="图表 35">
          <a:extLst>
            <a:ext uri="{FF2B5EF4-FFF2-40B4-BE49-F238E27FC236}">
              <a16:creationId xmlns:a16="http://schemas.microsoft.com/office/drawing/2014/main" id="{54084664-8B22-42EF-90D0-AD4787AE05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0.10348</cdr:x>
      <cdr:y>0.22371</cdr:y>
    </cdr:from>
    <cdr:to>
      <cdr:x>0.17316</cdr:x>
      <cdr:y>0.34452</cdr:y>
    </cdr:to>
    <cdr:sp macro="" textlink="">
      <cdr:nvSpPr>
        <cdr:cNvPr id="2" name="文本框 1">
          <a:extLst xmlns:a="http://schemas.openxmlformats.org/drawingml/2006/main">
            <a:ext uri="{FF2B5EF4-FFF2-40B4-BE49-F238E27FC236}">
              <a16:creationId xmlns:a16="http://schemas.microsoft.com/office/drawing/2014/main" id="{2C735FA0-7DC8-4DD2-87AD-651E4AF6D5BA}"/>
            </a:ext>
          </a:extLst>
        </cdr:cNvPr>
        <cdr:cNvSpPr txBox="1"/>
      </cdr:nvSpPr>
      <cdr:spPr>
        <a:xfrm xmlns:a="http://schemas.openxmlformats.org/drawingml/2006/main">
          <a:off x="641350" y="635001"/>
          <a:ext cx="43180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altLang="zh-CN" sz="1100">
              <a:solidFill>
                <a:srgbClr val="FF0000"/>
              </a:solidFill>
            </a:rPr>
            <a:t>17x</a:t>
          </a:r>
          <a:endParaRPr lang="zh-CN" altLang="en-US" sz="1100">
            <a:solidFill>
              <a:srgbClr val="FF0000"/>
            </a:solidFill>
          </a:endParaRPr>
        </a:p>
      </cdr:txBody>
    </cdr:sp>
  </cdr:relSizeAnchor>
  <cdr:relSizeAnchor xmlns:cdr="http://schemas.openxmlformats.org/drawingml/2006/chartDrawing">
    <cdr:from>
      <cdr:x>0.21926</cdr:x>
      <cdr:y>0.41387</cdr:y>
    </cdr:from>
    <cdr:to>
      <cdr:x>0.28893</cdr:x>
      <cdr:y>0.53468</cdr:y>
    </cdr:to>
    <cdr:sp macro="" textlink="">
      <cdr:nvSpPr>
        <cdr:cNvPr id="3"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1358900" y="1174750"/>
          <a:ext cx="43180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14.5x</a:t>
          </a:r>
          <a:endParaRPr lang="zh-CN" altLang="en-US" sz="1100">
            <a:solidFill>
              <a:srgbClr val="FF0000"/>
            </a:solidFill>
          </a:endParaRPr>
        </a:p>
      </cdr:txBody>
    </cdr:sp>
  </cdr:relSizeAnchor>
  <cdr:relSizeAnchor xmlns:cdr="http://schemas.openxmlformats.org/drawingml/2006/chartDrawing">
    <cdr:from>
      <cdr:x>0.34426</cdr:x>
      <cdr:y>0.32886</cdr:y>
    </cdr:from>
    <cdr:to>
      <cdr:x>0.41393</cdr:x>
      <cdr:y>0.44966</cdr:y>
    </cdr:to>
    <cdr:sp macro="" textlink="">
      <cdr:nvSpPr>
        <cdr:cNvPr id="4"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2133600" y="933450"/>
          <a:ext cx="43180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17.5x</a:t>
          </a:r>
          <a:endParaRPr lang="zh-CN" altLang="en-US" sz="1100">
            <a:solidFill>
              <a:srgbClr val="FF0000"/>
            </a:solidFill>
          </a:endParaRPr>
        </a:p>
      </cdr:txBody>
    </cdr:sp>
  </cdr:relSizeAnchor>
  <cdr:relSizeAnchor xmlns:cdr="http://schemas.openxmlformats.org/drawingml/2006/chartDrawing">
    <cdr:from>
      <cdr:x>0.47131</cdr:x>
      <cdr:y>0.33557</cdr:y>
    </cdr:from>
    <cdr:to>
      <cdr:x>0.54098</cdr:x>
      <cdr:y>0.45638</cdr:y>
    </cdr:to>
    <cdr:sp macro="" textlink="">
      <cdr:nvSpPr>
        <cdr:cNvPr id="5"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2921000" y="952500"/>
          <a:ext cx="43180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16.5x</a:t>
          </a:r>
          <a:endParaRPr lang="zh-CN" altLang="en-US" sz="1100">
            <a:solidFill>
              <a:srgbClr val="FF0000"/>
            </a:solidFill>
          </a:endParaRPr>
        </a:p>
      </cdr:txBody>
    </cdr:sp>
  </cdr:relSizeAnchor>
  <cdr:relSizeAnchor xmlns:cdr="http://schemas.openxmlformats.org/drawingml/2006/chartDrawing">
    <cdr:from>
      <cdr:x>0.61783</cdr:x>
      <cdr:y>0.22371</cdr:y>
    </cdr:from>
    <cdr:to>
      <cdr:x>0.6875</cdr:x>
      <cdr:y>0.34452</cdr:y>
    </cdr:to>
    <cdr:sp macro="" textlink="">
      <cdr:nvSpPr>
        <cdr:cNvPr id="6"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3829050" y="635000"/>
          <a:ext cx="43180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16x</a:t>
          </a:r>
          <a:endParaRPr lang="zh-CN" altLang="en-US" sz="1100">
            <a:solidFill>
              <a:srgbClr val="FF0000"/>
            </a:solidFill>
          </a:endParaRPr>
        </a:p>
      </cdr:txBody>
    </cdr:sp>
  </cdr:relSizeAnchor>
  <cdr:relSizeAnchor xmlns:cdr="http://schemas.openxmlformats.org/drawingml/2006/chartDrawing">
    <cdr:from>
      <cdr:x>0.86475</cdr:x>
      <cdr:y>0.43624</cdr:y>
    </cdr:from>
    <cdr:to>
      <cdr:x>0.93443</cdr:x>
      <cdr:y>0.55705</cdr:y>
    </cdr:to>
    <cdr:sp macro="" textlink="">
      <cdr:nvSpPr>
        <cdr:cNvPr id="7"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5359400" y="1238250"/>
          <a:ext cx="43180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12x</a:t>
          </a:r>
          <a:endParaRPr lang="zh-CN" altLang="en-US" sz="1100">
            <a:solidFill>
              <a:srgbClr val="FF0000"/>
            </a:solidFill>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0.10348</cdr:x>
      <cdr:y>0.22371</cdr:y>
    </cdr:from>
    <cdr:to>
      <cdr:x>0.17316</cdr:x>
      <cdr:y>0.34452</cdr:y>
    </cdr:to>
    <cdr:sp macro="" textlink="">
      <cdr:nvSpPr>
        <cdr:cNvPr id="2" name="文本框 1">
          <a:extLst xmlns:a="http://schemas.openxmlformats.org/drawingml/2006/main">
            <a:ext uri="{FF2B5EF4-FFF2-40B4-BE49-F238E27FC236}">
              <a16:creationId xmlns:a16="http://schemas.microsoft.com/office/drawing/2014/main" id="{2C735FA0-7DC8-4DD2-87AD-651E4AF6D5BA}"/>
            </a:ext>
          </a:extLst>
        </cdr:cNvPr>
        <cdr:cNvSpPr txBox="1"/>
      </cdr:nvSpPr>
      <cdr:spPr>
        <a:xfrm xmlns:a="http://schemas.openxmlformats.org/drawingml/2006/main">
          <a:off x="641350" y="635001"/>
          <a:ext cx="43180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altLang="zh-CN" sz="1100">
              <a:solidFill>
                <a:srgbClr val="FF0000"/>
              </a:solidFill>
            </a:rPr>
            <a:t>14x</a:t>
          </a:r>
          <a:endParaRPr lang="zh-CN" altLang="en-US" sz="1100">
            <a:solidFill>
              <a:srgbClr val="FF0000"/>
            </a:solidFill>
          </a:endParaRPr>
        </a:p>
      </cdr:txBody>
    </cdr:sp>
  </cdr:relSizeAnchor>
  <cdr:relSizeAnchor xmlns:cdr="http://schemas.openxmlformats.org/drawingml/2006/chartDrawing">
    <cdr:from>
      <cdr:x>0.21926</cdr:x>
      <cdr:y>0.41387</cdr:y>
    </cdr:from>
    <cdr:to>
      <cdr:x>0.28893</cdr:x>
      <cdr:y>0.53468</cdr:y>
    </cdr:to>
    <cdr:sp macro="" textlink="">
      <cdr:nvSpPr>
        <cdr:cNvPr id="3"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1358900" y="1174750"/>
          <a:ext cx="43180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13.5x</a:t>
          </a:r>
          <a:endParaRPr lang="zh-CN" altLang="en-US" sz="1100">
            <a:solidFill>
              <a:srgbClr val="FF0000"/>
            </a:solidFill>
          </a:endParaRPr>
        </a:p>
      </cdr:txBody>
    </cdr:sp>
  </cdr:relSizeAnchor>
  <cdr:relSizeAnchor xmlns:cdr="http://schemas.openxmlformats.org/drawingml/2006/chartDrawing">
    <cdr:from>
      <cdr:x>0.34426</cdr:x>
      <cdr:y>0.32886</cdr:y>
    </cdr:from>
    <cdr:to>
      <cdr:x>0.41393</cdr:x>
      <cdr:y>0.44966</cdr:y>
    </cdr:to>
    <cdr:sp macro="" textlink="">
      <cdr:nvSpPr>
        <cdr:cNvPr id="4"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2133600" y="933450"/>
          <a:ext cx="43180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13x</a:t>
          </a:r>
          <a:endParaRPr lang="zh-CN" altLang="en-US" sz="1100">
            <a:solidFill>
              <a:srgbClr val="FF0000"/>
            </a:solidFill>
          </a:endParaRPr>
        </a:p>
      </cdr:txBody>
    </cdr:sp>
  </cdr:relSizeAnchor>
  <cdr:relSizeAnchor xmlns:cdr="http://schemas.openxmlformats.org/drawingml/2006/chartDrawing">
    <cdr:from>
      <cdr:x>0.47131</cdr:x>
      <cdr:y>0.33557</cdr:y>
    </cdr:from>
    <cdr:to>
      <cdr:x>0.54098</cdr:x>
      <cdr:y>0.45638</cdr:y>
    </cdr:to>
    <cdr:sp macro="" textlink="">
      <cdr:nvSpPr>
        <cdr:cNvPr id="5"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2921000" y="952500"/>
          <a:ext cx="43180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15x</a:t>
          </a:r>
          <a:endParaRPr lang="zh-CN" altLang="en-US" sz="1100">
            <a:solidFill>
              <a:srgbClr val="FF0000"/>
            </a:solidFill>
          </a:endParaRPr>
        </a:p>
      </cdr:txBody>
    </cdr:sp>
  </cdr:relSizeAnchor>
  <cdr:relSizeAnchor xmlns:cdr="http://schemas.openxmlformats.org/drawingml/2006/chartDrawing">
    <cdr:from>
      <cdr:x>0.61783</cdr:x>
      <cdr:y>0.22371</cdr:y>
    </cdr:from>
    <cdr:to>
      <cdr:x>0.6875</cdr:x>
      <cdr:y>0.34452</cdr:y>
    </cdr:to>
    <cdr:sp macro="" textlink="">
      <cdr:nvSpPr>
        <cdr:cNvPr id="6"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3829050" y="635000"/>
          <a:ext cx="43180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13x</a:t>
          </a:r>
          <a:endParaRPr lang="zh-CN" altLang="en-US" sz="1100">
            <a:solidFill>
              <a:srgbClr val="FF0000"/>
            </a:solidFill>
          </a:endParaRPr>
        </a:p>
      </cdr:txBody>
    </cdr:sp>
  </cdr:relSizeAnchor>
  <cdr:relSizeAnchor xmlns:cdr="http://schemas.openxmlformats.org/drawingml/2006/chartDrawing">
    <cdr:from>
      <cdr:x>0.86475</cdr:x>
      <cdr:y>0.43624</cdr:y>
    </cdr:from>
    <cdr:to>
      <cdr:x>0.93443</cdr:x>
      <cdr:y>0.55705</cdr:y>
    </cdr:to>
    <cdr:sp macro="" textlink="">
      <cdr:nvSpPr>
        <cdr:cNvPr id="7"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5359400" y="1238250"/>
          <a:ext cx="431800" cy="3429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13.5x</a:t>
          </a:r>
          <a:endParaRPr lang="zh-CN" altLang="en-US" sz="1100">
            <a:solidFill>
              <a:srgbClr val="FF0000"/>
            </a:solidFill>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0.10348</cdr:x>
      <cdr:y>0.22371</cdr:y>
    </cdr:from>
    <cdr:to>
      <cdr:x>0.17316</cdr:x>
      <cdr:y>0.34452</cdr:y>
    </cdr:to>
    <cdr:sp macro="" textlink="">
      <cdr:nvSpPr>
        <cdr:cNvPr id="2" name="文本框 1">
          <a:extLst xmlns:a="http://schemas.openxmlformats.org/drawingml/2006/main">
            <a:ext uri="{FF2B5EF4-FFF2-40B4-BE49-F238E27FC236}">
              <a16:creationId xmlns:a16="http://schemas.microsoft.com/office/drawing/2014/main" id="{2C735FA0-7DC8-4DD2-87AD-651E4AF6D5BA}"/>
            </a:ext>
          </a:extLst>
        </cdr:cNvPr>
        <cdr:cNvSpPr txBox="1"/>
      </cdr:nvSpPr>
      <cdr:spPr>
        <a:xfrm xmlns:a="http://schemas.openxmlformats.org/drawingml/2006/main">
          <a:off x="641350" y="635001"/>
          <a:ext cx="43180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altLang="zh-CN" sz="1100">
              <a:solidFill>
                <a:srgbClr val="FF0000"/>
              </a:solidFill>
            </a:rPr>
            <a:t>9.8x</a:t>
          </a:r>
          <a:endParaRPr lang="zh-CN" altLang="en-US" sz="1100">
            <a:solidFill>
              <a:srgbClr val="FF0000"/>
            </a:solidFill>
          </a:endParaRPr>
        </a:p>
      </cdr:txBody>
    </cdr:sp>
  </cdr:relSizeAnchor>
  <cdr:relSizeAnchor xmlns:cdr="http://schemas.openxmlformats.org/drawingml/2006/chartDrawing">
    <cdr:from>
      <cdr:x>0.2461</cdr:x>
      <cdr:y>0.56669</cdr:y>
    </cdr:from>
    <cdr:to>
      <cdr:x>0.31577</cdr:x>
      <cdr:y>0.6875</cdr:y>
    </cdr:to>
    <cdr:sp macro="" textlink="">
      <cdr:nvSpPr>
        <cdr:cNvPr id="3"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1523035" y="1593968"/>
          <a:ext cx="431174" cy="33981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5.2x</a:t>
          </a:r>
          <a:endParaRPr lang="zh-CN" altLang="en-US" sz="1100">
            <a:solidFill>
              <a:srgbClr val="FF0000"/>
            </a:solidFill>
          </a:endParaRPr>
        </a:p>
      </cdr:txBody>
    </cdr:sp>
  </cdr:relSizeAnchor>
  <cdr:relSizeAnchor xmlns:cdr="http://schemas.openxmlformats.org/drawingml/2006/chartDrawing">
    <cdr:from>
      <cdr:x>0.37346</cdr:x>
      <cdr:y>0.56677</cdr:y>
    </cdr:from>
    <cdr:to>
      <cdr:x>0.44313</cdr:x>
      <cdr:y>0.68757</cdr:y>
    </cdr:to>
    <cdr:sp macro="" textlink="">
      <cdr:nvSpPr>
        <cdr:cNvPr id="4"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2311290" y="1594201"/>
          <a:ext cx="431174" cy="33978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5.5x</a:t>
          </a:r>
          <a:endParaRPr lang="zh-CN" altLang="en-US" sz="1100">
            <a:solidFill>
              <a:srgbClr val="FF0000"/>
            </a:solidFill>
          </a:endParaRPr>
        </a:p>
      </cdr:txBody>
    </cdr:sp>
  </cdr:relSizeAnchor>
  <cdr:relSizeAnchor xmlns:cdr="http://schemas.openxmlformats.org/drawingml/2006/chartDrawing">
    <cdr:from>
      <cdr:x>0.51235</cdr:x>
      <cdr:y>0.57348</cdr:y>
    </cdr:from>
    <cdr:to>
      <cdr:x>0.58202</cdr:x>
      <cdr:y>0.69429</cdr:y>
    </cdr:to>
    <cdr:sp macro="" textlink="">
      <cdr:nvSpPr>
        <cdr:cNvPr id="5"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3170847" y="1613074"/>
          <a:ext cx="431174" cy="33981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5.4x</a:t>
          </a:r>
          <a:endParaRPr lang="zh-CN" altLang="en-US" sz="1100">
            <a:solidFill>
              <a:srgbClr val="FF0000"/>
            </a:solidFill>
          </a:endParaRPr>
        </a:p>
      </cdr:txBody>
    </cdr:sp>
  </cdr:relSizeAnchor>
  <cdr:relSizeAnchor xmlns:cdr="http://schemas.openxmlformats.org/drawingml/2006/chartDrawing">
    <cdr:from>
      <cdr:x>0.63362</cdr:x>
      <cdr:y>0.4842</cdr:y>
    </cdr:from>
    <cdr:to>
      <cdr:x>0.70329</cdr:x>
      <cdr:y>0.60501</cdr:y>
    </cdr:to>
    <cdr:sp macro="" textlink="">
      <cdr:nvSpPr>
        <cdr:cNvPr id="6"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3921323" y="1361937"/>
          <a:ext cx="431175" cy="33981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4.6x</a:t>
          </a:r>
          <a:endParaRPr lang="zh-CN" altLang="en-US" sz="1100">
            <a:solidFill>
              <a:srgbClr val="FF0000"/>
            </a:solidFill>
          </a:endParaRPr>
        </a:p>
      </cdr:txBody>
    </cdr:sp>
  </cdr:relSizeAnchor>
  <cdr:relSizeAnchor xmlns:cdr="http://schemas.openxmlformats.org/drawingml/2006/chartDrawing">
    <cdr:from>
      <cdr:x>0.88922</cdr:x>
      <cdr:y>0.51786</cdr:y>
    </cdr:from>
    <cdr:to>
      <cdr:x>0.9589</cdr:x>
      <cdr:y>0.63867</cdr:y>
    </cdr:to>
    <cdr:sp macro="" textlink="">
      <cdr:nvSpPr>
        <cdr:cNvPr id="7"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5503195" y="1456620"/>
          <a:ext cx="431236" cy="33981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5.6x</a:t>
          </a:r>
          <a:endParaRPr lang="zh-CN" altLang="en-US" sz="1100">
            <a:solidFill>
              <a:srgbClr val="FF0000"/>
            </a:solidFill>
          </a:endParaRPr>
        </a:p>
      </cdr:txBody>
    </cdr:sp>
  </cdr:relSizeAnchor>
  <cdr:relSizeAnchor xmlns:cdr="http://schemas.openxmlformats.org/drawingml/2006/chartDrawing">
    <cdr:from>
      <cdr:x>0.77143</cdr:x>
      <cdr:y>0.67449</cdr:y>
    </cdr:from>
    <cdr:to>
      <cdr:x>0.8411</cdr:x>
      <cdr:y>0.7953</cdr:y>
    </cdr:to>
    <cdr:sp macro="" textlink="">
      <cdr:nvSpPr>
        <cdr:cNvPr id="14" name="文本框 1">
          <a:extLst xmlns:a="http://schemas.openxmlformats.org/drawingml/2006/main">
            <a:ext uri="{FF2B5EF4-FFF2-40B4-BE49-F238E27FC236}">
              <a16:creationId xmlns:a16="http://schemas.microsoft.com/office/drawing/2014/main" id="{9A188181-6D11-4138-86CA-77A118159618}"/>
            </a:ext>
          </a:extLst>
        </cdr:cNvPr>
        <cdr:cNvSpPr txBox="1"/>
      </cdr:nvSpPr>
      <cdr:spPr>
        <a:xfrm xmlns:a="http://schemas.openxmlformats.org/drawingml/2006/main">
          <a:off x="4774223" y="1897185"/>
          <a:ext cx="431175" cy="33981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zh-CN" altLang="en-US" sz="1100">
              <a:solidFill>
                <a:srgbClr val="FF0000"/>
              </a:solidFill>
            </a:rPr>
            <a:t>不变</a:t>
          </a:r>
        </a:p>
      </cdr:txBody>
    </cdr:sp>
  </cdr:relSizeAnchor>
</c:userShapes>
</file>

<file path=xl/drawings/drawing16.xml><?xml version="1.0" encoding="utf-8"?>
<c:userShapes xmlns:c="http://schemas.openxmlformats.org/drawingml/2006/chart">
  <cdr:relSizeAnchor xmlns:cdr="http://schemas.openxmlformats.org/drawingml/2006/chartDrawing">
    <cdr:from>
      <cdr:x>0.1127</cdr:x>
      <cdr:y>0.30425</cdr:y>
    </cdr:from>
    <cdr:to>
      <cdr:x>0.18238</cdr:x>
      <cdr:y>0.42506</cdr:y>
    </cdr:to>
    <cdr:sp macro="" textlink="">
      <cdr:nvSpPr>
        <cdr:cNvPr id="2" name="文本框 1">
          <a:extLst xmlns:a="http://schemas.openxmlformats.org/drawingml/2006/main">
            <a:ext uri="{FF2B5EF4-FFF2-40B4-BE49-F238E27FC236}">
              <a16:creationId xmlns:a16="http://schemas.microsoft.com/office/drawing/2014/main" id="{2C735FA0-7DC8-4DD2-87AD-651E4AF6D5BA}"/>
            </a:ext>
          </a:extLst>
        </cdr:cNvPr>
        <cdr:cNvSpPr txBox="1"/>
      </cdr:nvSpPr>
      <cdr:spPr>
        <a:xfrm xmlns:a="http://schemas.openxmlformats.org/drawingml/2006/main">
          <a:off x="698478" y="863590"/>
          <a:ext cx="431849" cy="34291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altLang="zh-CN" sz="1100">
              <a:solidFill>
                <a:srgbClr val="FF0000"/>
              </a:solidFill>
            </a:rPr>
            <a:t>9.5x</a:t>
          </a:r>
          <a:endParaRPr lang="zh-CN" altLang="en-US" sz="1100">
            <a:solidFill>
              <a:srgbClr val="FF0000"/>
            </a:solidFill>
          </a:endParaRPr>
        </a:p>
      </cdr:txBody>
    </cdr:sp>
  </cdr:relSizeAnchor>
  <cdr:relSizeAnchor xmlns:cdr="http://schemas.openxmlformats.org/drawingml/2006/chartDrawing">
    <cdr:from>
      <cdr:x>0.23278</cdr:x>
      <cdr:y>0.5555</cdr:y>
    </cdr:from>
    <cdr:to>
      <cdr:x>0.30245</cdr:x>
      <cdr:y>0.67631</cdr:y>
    </cdr:to>
    <cdr:sp macro="" textlink="">
      <cdr:nvSpPr>
        <cdr:cNvPr id="3"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1442680" y="1576771"/>
          <a:ext cx="431786" cy="34291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10.5x</a:t>
          </a:r>
          <a:endParaRPr lang="zh-CN" altLang="en-US" sz="1100">
            <a:solidFill>
              <a:srgbClr val="FF0000"/>
            </a:solidFill>
          </a:endParaRPr>
        </a:p>
      </cdr:txBody>
    </cdr:sp>
  </cdr:relSizeAnchor>
  <cdr:relSizeAnchor xmlns:cdr="http://schemas.openxmlformats.org/drawingml/2006/chartDrawing">
    <cdr:from>
      <cdr:x>0.37346</cdr:x>
      <cdr:y>0.56677</cdr:y>
    </cdr:from>
    <cdr:to>
      <cdr:x>0.44313</cdr:x>
      <cdr:y>0.68757</cdr:y>
    </cdr:to>
    <cdr:sp macro="" textlink="">
      <cdr:nvSpPr>
        <cdr:cNvPr id="4"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2311290" y="1594201"/>
          <a:ext cx="431174" cy="33978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14.4x</a:t>
          </a:r>
          <a:endParaRPr lang="zh-CN" altLang="en-US" sz="1100">
            <a:solidFill>
              <a:srgbClr val="FF0000"/>
            </a:solidFill>
          </a:endParaRPr>
        </a:p>
      </cdr:txBody>
    </cdr:sp>
  </cdr:relSizeAnchor>
  <cdr:relSizeAnchor xmlns:cdr="http://schemas.openxmlformats.org/drawingml/2006/chartDrawing">
    <cdr:from>
      <cdr:x>0.50313</cdr:x>
      <cdr:y>0.57124</cdr:y>
    </cdr:from>
    <cdr:to>
      <cdr:x>0.5728</cdr:x>
      <cdr:y>0.69205</cdr:y>
    </cdr:to>
    <cdr:sp macro="" textlink="">
      <cdr:nvSpPr>
        <cdr:cNvPr id="5"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3118191" y="1621444"/>
          <a:ext cx="431787" cy="34291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13.8x</a:t>
          </a:r>
          <a:endParaRPr lang="zh-CN" altLang="en-US" sz="1100">
            <a:solidFill>
              <a:srgbClr val="FF0000"/>
            </a:solidFill>
          </a:endParaRPr>
        </a:p>
      </cdr:txBody>
    </cdr:sp>
  </cdr:relSizeAnchor>
  <cdr:relSizeAnchor xmlns:cdr="http://schemas.openxmlformats.org/drawingml/2006/chartDrawing">
    <cdr:from>
      <cdr:x>0.60391</cdr:x>
      <cdr:y>0.41485</cdr:y>
    </cdr:from>
    <cdr:to>
      <cdr:x>0.67358</cdr:x>
      <cdr:y>0.53566</cdr:y>
    </cdr:to>
    <cdr:sp macro="" textlink="">
      <cdr:nvSpPr>
        <cdr:cNvPr id="6"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3742774" y="1177527"/>
          <a:ext cx="431787" cy="34291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10.2x</a:t>
          </a:r>
          <a:endParaRPr lang="zh-CN" altLang="en-US" sz="1100">
            <a:solidFill>
              <a:srgbClr val="FF0000"/>
            </a:solidFill>
          </a:endParaRPr>
        </a:p>
      </cdr:txBody>
    </cdr:sp>
  </cdr:relSizeAnchor>
  <cdr:relSizeAnchor xmlns:cdr="http://schemas.openxmlformats.org/drawingml/2006/chartDrawing">
    <cdr:from>
      <cdr:x>0.88922</cdr:x>
      <cdr:y>0.51786</cdr:y>
    </cdr:from>
    <cdr:to>
      <cdr:x>0.9589</cdr:x>
      <cdr:y>0.63867</cdr:y>
    </cdr:to>
    <cdr:sp macro="" textlink="">
      <cdr:nvSpPr>
        <cdr:cNvPr id="7"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5503195" y="1456620"/>
          <a:ext cx="431236" cy="33981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14.1x</a:t>
          </a:r>
          <a:endParaRPr lang="zh-CN" altLang="en-US" sz="1100">
            <a:solidFill>
              <a:srgbClr val="FF0000"/>
            </a:solidFill>
          </a:endParaRPr>
        </a:p>
      </cdr:txBody>
    </cdr:sp>
  </cdr:relSizeAnchor>
  <cdr:relSizeAnchor xmlns:cdr="http://schemas.openxmlformats.org/drawingml/2006/chartDrawing">
    <cdr:from>
      <cdr:x>0.77143</cdr:x>
      <cdr:y>0.67449</cdr:y>
    </cdr:from>
    <cdr:to>
      <cdr:x>0.8411</cdr:x>
      <cdr:y>0.7953</cdr:y>
    </cdr:to>
    <cdr:sp macro="" textlink="">
      <cdr:nvSpPr>
        <cdr:cNvPr id="14" name="文本框 1">
          <a:extLst xmlns:a="http://schemas.openxmlformats.org/drawingml/2006/main">
            <a:ext uri="{FF2B5EF4-FFF2-40B4-BE49-F238E27FC236}">
              <a16:creationId xmlns:a16="http://schemas.microsoft.com/office/drawing/2014/main" id="{9A188181-6D11-4138-86CA-77A118159618}"/>
            </a:ext>
          </a:extLst>
        </cdr:cNvPr>
        <cdr:cNvSpPr txBox="1"/>
      </cdr:nvSpPr>
      <cdr:spPr>
        <a:xfrm xmlns:a="http://schemas.openxmlformats.org/drawingml/2006/main">
          <a:off x="4774223" y="1897185"/>
          <a:ext cx="431175" cy="33981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zh-CN" altLang="en-US" sz="1100">
              <a:solidFill>
                <a:srgbClr val="FF0000"/>
              </a:solidFill>
            </a:rPr>
            <a:t>不变</a:t>
          </a:r>
        </a:p>
      </cdr:txBody>
    </cdr:sp>
  </cdr:relSizeAnchor>
</c:userShapes>
</file>

<file path=xl/drawings/drawing17.xml><?xml version="1.0" encoding="utf-8"?>
<c:userShapes xmlns:c="http://schemas.openxmlformats.org/drawingml/2006/chart">
  <cdr:relSizeAnchor xmlns:cdr="http://schemas.openxmlformats.org/drawingml/2006/chartDrawing">
    <cdr:from>
      <cdr:x>0.1127</cdr:x>
      <cdr:y>0.30425</cdr:y>
    </cdr:from>
    <cdr:to>
      <cdr:x>0.18238</cdr:x>
      <cdr:y>0.42506</cdr:y>
    </cdr:to>
    <cdr:sp macro="" textlink="">
      <cdr:nvSpPr>
        <cdr:cNvPr id="2" name="文本框 1">
          <a:extLst xmlns:a="http://schemas.openxmlformats.org/drawingml/2006/main">
            <a:ext uri="{FF2B5EF4-FFF2-40B4-BE49-F238E27FC236}">
              <a16:creationId xmlns:a16="http://schemas.microsoft.com/office/drawing/2014/main" id="{2C735FA0-7DC8-4DD2-87AD-651E4AF6D5BA}"/>
            </a:ext>
          </a:extLst>
        </cdr:cNvPr>
        <cdr:cNvSpPr txBox="1"/>
      </cdr:nvSpPr>
      <cdr:spPr>
        <a:xfrm xmlns:a="http://schemas.openxmlformats.org/drawingml/2006/main">
          <a:off x="698478" y="863590"/>
          <a:ext cx="431849" cy="34291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altLang="zh-CN" sz="1100">
              <a:solidFill>
                <a:srgbClr val="FF0000"/>
              </a:solidFill>
            </a:rPr>
            <a:t>9.5x</a:t>
          </a:r>
          <a:endParaRPr lang="zh-CN" altLang="en-US" sz="1100">
            <a:solidFill>
              <a:srgbClr val="FF0000"/>
            </a:solidFill>
          </a:endParaRPr>
        </a:p>
      </cdr:txBody>
    </cdr:sp>
  </cdr:relSizeAnchor>
  <cdr:relSizeAnchor xmlns:cdr="http://schemas.openxmlformats.org/drawingml/2006/chartDrawing">
    <cdr:from>
      <cdr:x>0.23278</cdr:x>
      <cdr:y>0.5555</cdr:y>
    </cdr:from>
    <cdr:to>
      <cdr:x>0.30245</cdr:x>
      <cdr:y>0.67631</cdr:y>
    </cdr:to>
    <cdr:sp macro="" textlink="">
      <cdr:nvSpPr>
        <cdr:cNvPr id="3"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1442680" y="1576771"/>
          <a:ext cx="431786" cy="34291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10.5x</a:t>
          </a:r>
          <a:endParaRPr lang="zh-CN" altLang="en-US" sz="1100">
            <a:solidFill>
              <a:srgbClr val="FF0000"/>
            </a:solidFill>
          </a:endParaRPr>
        </a:p>
      </cdr:txBody>
    </cdr:sp>
  </cdr:relSizeAnchor>
  <cdr:relSizeAnchor xmlns:cdr="http://schemas.openxmlformats.org/drawingml/2006/chartDrawing">
    <cdr:from>
      <cdr:x>0.37346</cdr:x>
      <cdr:y>0.56677</cdr:y>
    </cdr:from>
    <cdr:to>
      <cdr:x>0.44313</cdr:x>
      <cdr:y>0.68757</cdr:y>
    </cdr:to>
    <cdr:sp macro="" textlink="">
      <cdr:nvSpPr>
        <cdr:cNvPr id="4"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2311290" y="1594201"/>
          <a:ext cx="431174" cy="33978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14.4x</a:t>
          </a:r>
          <a:endParaRPr lang="zh-CN" altLang="en-US" sz="1100">
            <a:solidFill>
              <a:srgbClr val="FF0000"/>
            </a:solidFill>
          </a:endParaRPr>
        </a:p>
      </cdr:txBody>
    </cdr:sp>
  </cdr:relSizeAnchor>
  <cdr:relSizeAnchor xmlns:cdr="http://schemas.openxmlformats.org/drawingml/2006/chartDrawing">
    <cdr:from>
      <cdr:x>0.50313</cdr:x>
      <cdr:y>0.57124</cdr:y>
    </cdr:from>
    <cdr:to>
      <cdr:x>0.5728</cdr:x>
      <cdr:y>0.69205</cdr:y>
    </cdr:to>
    <cdr:sp macro="" textlink="">
      <cdr:nvSpPr>
        <cdr:cNvPr id="5"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3118191" y="1621444"/>
          <a:ext cx="431787" cy="34291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13.8x</a:t>
          </a:r>
          <a:endParaRPr lang="zh-CN" altLang="en-US" sz="1100">
            <a:solidFill>
              <a:srgbClr val="FF0000"/>
            </a:solidFill>
          </a:endParaRPr>
        </a:p>
      </cdr:txBody>
    </cdr:sp>
  </cdr:relSizeAnchor>
  <cdr:relSizeAnchor xmlns:cdr="http://schemas.openxmlformats.org/drawingml/2006/chartDrawing">
    <cdr:from>
      <cdr:x>0.60391</cdr:x>
      <cdr:y>0.41485</cdr:y>
    </cdr:from>
    <cdr:to>
      <cdr:x>0.67358</cdr:x>
      <cdr:y>0.53566</cdr:y>
    </cdr:to>
    <cdr:sp macro="" textlink="">
      <cdr:nvSpPr>
        <cdr:cNvPr id="6"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3742774" y="1177527"/>
          <a:ext cx="431787" cy="34291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10.2x</a:t>
          </a:r>
          <a:endParaRPr lang="zh-CN" altLang="en-US" sz="1100">
            <a:solidFill>
              <a:srgbClr val="FF0000"/>
            </a:solidFill>
          </a:endParaRPr>
        </a:p>
      </cdr:txBody>
    </cdr:sp>
  </cdr:relSizeAnchor>
  <cdr:relSizeAnchor xmlns:cdr="http://schemas.openxmlformats.org/drawingml/2006/chartDrawing">
    <cdr:from>
      <cdr:x>0.88922</cdr:x>
      <cdr:y>0.51786</cdr:y>
    </cdr:from>
    <cdr:to>
      <cdr:x>0.9589</cdr:x>
      <cdr:y>0.63867</cdr:y>
    </cdr:to>
    <cdr:sp macro="" textlink="">
      <cdr:nvSpPr>
        <cdr:cNvPr id="7" name="文本框 1">
          <a:extLst xmlns:a="http://schemas.openxmlformats.org/drawingml/2006/main">
            <a:ext uri="{FF2B5EF4-FFF2-40B4-BE49-F238E27FC236}">
              <a16:creationId xmlns:a16="http://schemas.microsoft.com/office/drawing/2014/main" id="{0C4E4919-ECD6-42F2-A103-C9A08373751B}"/>
            </a:ext>
          </a:extLst>
        </cdr:cNvPr>
        <cdr:cNvSpPr txBox="1"/>
      </cdr:nvSpPr>
      <cdr:spPr>
        <a:xfrm xmlns:a="http://schemas.openxmlformats.org/drawingml/2006/main">
          <a:off x="5503195" y="1456620"/>
          <a:ext cx="431236" cy="33981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14.1x</a:t>
          </a:r>
          <a:endParaRPr lang="zh-CN" altLang="en-US" sz="1100">
            <a:solidFill>
              <a:srgbClr val="FF0000"/>
            </a:solidFill>
          </a:endParaRPr>
        </a:p>
      </cdr:txBody>
    </cdr:sp>
  </cdr:relSizeAnchor>
  <cdr:relSizeAnchor xmlns:cdr="http://schemas.openxmlformats.org/drawingml/2006/chartDrawing">
    <cdr:from>
      <cdr:x>0.77143</cdr:x>
      <cdr:y>0.67449</cdr:y>
    </cdr:from>
    <cdr:to>
      <cdr:x>0.8411</cdr:x>
      <cdr:y>0.7953</cdr:y>
    </cdr:to>
    <cdr:sp macro="" textlink="">
      <cdr:nvSpPr>
        <cdr:cNvPr id="14" name="文本框 1">
          <a:extLst xmlns:a="http://schemas.openxmlformats.org/drawingml/2006/main">
            <a:ext uri="{FF2B5EF4-FFF2-40B4-BE49-F238E27FC236}">
              <a16:creationId xmlns:a16="http://schemas.microsoft.com/office/drawing/2014/main" id="{9A188181-6D11-4138-86CA-77A118159618}"/>
            </a:ext>
          </a:extLst>
        </cdr:cNvPr>
        <cdr:cNvSpPr txBox="1"/>
      </cdr:nvSpPr>
      <cdr:spPr>
        <a:xfrm xmlns:a="http://schemas.openxmlformats.org/drawingml/2006/main">
          <a:off x="4774223" y="1897185"/>
          <a:ext cx="431175" cy="33981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rPr>
            <a:t>same</a:t>
          </a:r>
          <a:endParaRPr lang="zh-CN" altLang="en-US" sz="1100">
            <a:solidFill>
              <a:srgbClr val="FF0000"/>
            </a:solidFill>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9</xdr:col>
      <xdr:colOff>647700</xdr:colOff>
      <xdr:row>1</xdr:row>
      <xdr:rowOff>60325</xdr:rowOff>
    </xdr:from>
    <xdr:to>
      <xdr:col>16</xdr:col>
      <xdr:colOff>596900</xdr:colOff>
      <xdr:row>16</xdr:row>
      <xdr:rowOff>136525</xdr:rowOff>
    </xdr:to>
    <xdr:graphicFrame macro="">
      <xdr:nvGraphicFramePr>
        <xdr:cNvPr id="2" name="图表 1">
          <a:extLst>
            <a:ext uri="{FF2B5EF4-FFF2-40B4-BE49-F238E27FC236}">
              <a16:creationId xmlns:a16="http://schemas.microsoft.com/office/drawing/2014/main" id="{EF9BC65F-BB1F-48C9-B95D-A3A714CA3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69850</xdr:colOff>
      <xdr:row>17</xdr:row>
      <xdr:rowOff>73025</xdr:rowOff>
    </xdr:from>
    <xdr:to>
      <xdr:col>16</xdr:col>
      <xdr:colOff>19050</xdr:colOff>
      <xdr:row>32</xdr:row>
      <xdr:rowOff>149225</xdr:rowOff>
    </xdr:to>
    <xdr:graphicFrame macro="">
      <xdr:nvGraphicFramePr>
        <xdr:cNvPr id="3" name="图表 2">
          <a:extLst>
            <a:ext uri="{FF2B5EF4-FFF2-40B4-BE49-F238E27FC236}">
              <a16:creationId xmlns:a16="http://schemas.microsoft.com/office/drawing/2014/main" id="{0AC5E491-A4CD-47BC-B84D-E16DFBBF4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88900</xdr:colOff>
      <xdr:row>2</xdr:row>
      <xdr:rowOff>92075</xdr:rowOff>
    </xdr:from>
    <xdr:to>
      <xdr:col>26</xdr:col>
      <xdr:colOff>38100</xdr:colOff>
      <xdr:row>17</xdr:row>
      <xdr:rowOff>168275</xdr:rowOff>
    </xdr:to>
    <xdr:graphicFrame macro="">
      <xdr:nvGraphicFramePr>
        <xdr:cNvPr id="4" name="图表 3">
          <a:extLst>
            <a:ext uri="{FF2B5EF4-FFF2-40B4-BE49-F238E27FC236}">
              <a16:creationId xmlns:a16="http://schemas.microsoft.com/office/drawing/2014/main" id="{4EFAFE85-DE02-487B-96E8-5AF083A4C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33</xdr:row>
      <xdr:rowOff>0</xdr:rowOff>
    </xdr:from>
    <xdr:to>
      <xdr:col>15</xdr:col>
      <xdr:colOff>609600</xdr:colOff>
      <xdr:row>48</xdr:row>
      <xdr:rowOff>76200</xdr:rowOff>
    </xdr:to>
    <xdr:graphicFrame macro="">
      <xdr:nvGraphicFramePr>
        <xdr:cNvPr id="5" name="图表 4">
          <a:extLst>
            <a:ext uri="{FF2B5EF4-FFF2-40B4-BE49-F238E27FC236}">
              <a16:creationId xmlns:a16="http://schemas.microsoft.com/office/drawing/2014/main" id="{E1B2EB1C-EA3F-4C3B-B6C3-7FD1ABE00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52</xdr:row>
      <xdr:rowOff>0</xdr:rowOff>
    </xdr:from>
    <xdr:to>
      <xdr:col>15</xdr:col>
      <xdr:colOff>609600</xdr:colOff>
      <xdr:row>67</xdr:row>
      <xdr:rowOff>76200</xdr:rowOff>
    </xdr:to>
    <xdr:graphicFrame macro="">
      <xdr:nvGraphicFramePr>
        <xdr:cNvPr id="6" name="图表 5">
          <a:extLst>
            <a:ext uri="{FF2B5EF4-FFF2-40B4-BE49-F238E27FC236}">
              <a16:creationId xmlns:a16="http://schemas.microsoft.com/office/drawing/2014/main" id="{83E0AE34-A80B-49E1-A26F-C2A3E9FA3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70</xdr:row>
      <xdr:rowOff>0</xdr:rowOff>
    </xdr:from>
    <xdr:to>
      <xdr:col>15</xdr:col>
      <xdr:colOff>609600</xdr:colOff>
      <xdr:row>85</xdr:row>
      <xdr:rowOff>76200</xdr:rowOff>
    </xdr:to>
    <xdr:graphicFrame macro="">
      <xdr:nvGraphicFramePr>
        <xdr:cNvPr id="7" name="图表 6">
          <a:extLst>
            <a:ext uri="{FF2B5EF4-FFF2-40B4-BE49-F238E27FC236}">
              <a16:creationId xmlns:a16="http://schemas.microsoft.com/office/drawing/2014/main" id="{242A7C49-96B8-4602-B176-A08F65C78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654050</xdr:colOff>
      <xdr:row>85</xdr:row>
      <xdr:rowOff>114300</xdr:rowOff>
    </xdr:from>
    <xdr:to>
      <xdr:col>15</xdr:col>
      <xdr:colOff>603250</xdr:colOff>
      <xdr:row>101</xdr:row>
      <xdr:rowOff>12700</xdr:rowOff>
    </xdr:to>
    <xdr:graphicFrame macro="">
      <xdr:nvGraphicFramePr>
        <xdr:cNvPr id="8" name="图表 7">
          <a:extLst>
            <a:ext uri="{FF2B5EF4-FFF2-40B4-BE49-F238E27FC236}">
              <a16:creationId xmlns:a16="http://schemas.microsoft.com/office/drawing/2014/main" id="{FF6ED1DE-F9E5-4175-8ABB-3C6DA2E50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0.84028</cdr:y>
    </cdr:from>
    <cdr:to>
      <cdr:x>0.21389</cdr:x>
      <cdr:y>0.90972</cdr:y>
    </cdr:to>
    <cdr:sp macro="" textlink="">
      <cdr:nvSpPr>
        <cdr:cNvPr id="2" name="文本框 1">
          <a:extLst xmlns:a="http://schemas.openxmlformats.org/drawingml/2006/main">
            <a:ext uri="{FF2B5EF4-FFF2-40B4-BE49-F238E27FC236}">
              <a16:creationId xmlns:a16="http://schemas.microsoft.com/office/drawing/2014/main" id="{9A6B4436-6E0B-4E57-823F-54936D04B68A}"/>
            </a:ext>
          </a:extLst>
        </cdr:cNvPr>
        <cdr:cNvSpPr txBox="1"/>
      </cdr:nvSpPr>
      <cdr:spPr>
        <a:xfrm xmlns:a="http://schemas.openxmlformats.org/drawingml/2006/main">
          <a:off x="0" y="2305050"/>
          <a:ext cx="97790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000">
              <a:latin typeface="Times New Roman" panose="02020603050405020304" pitchFamily="18" charset="0"/>
              <a:cs typeface="Times New Roman" panose="02020603050405020304" pitchFamily="18" charset="0"/>
            </a:rPr>
            <a:t>seconds</a:t>
          </a:r>
          <a:endParaRPr lang="zh-CN" altLang="en-US" sz="1000">
            <a:latin typeface="Times New Roman" panose="02020603050405020304" pitchFamily="18" charset="0"/>
            <a:cs typeface="Times New Roman" panose="02020603050405020304" pitchFamily="18"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6</xdr:col>
      <xdr:colOff>450022</xdr:colOff>
      <xdr:row>0</xdr:row>
      <xdr:rowOff>28161</xdr:rowOff>
    </xdr:from>
    <xdr:to>
      <xdr:col>13</xdr:col>
      <xdr:colOff>383761</xdr:colOff>
      <xdr:row>15</xdr:row>
      <xdr:rowOff>120926</xdr:rowOff>
    </xdr:to>
    <xdr:graphicFrame macro="">
      <xdr:nvGraphicFramePr>
        <xdr:cNvPr id="7" name="图表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539750</xdr:colOff>
      <xdr:row>16</xdr:row>
      <xdr:rowOff>15875</xdr:rowOff>
    </xdr:from>
    <xdr:to>
      <xdr:col>9</xdr:col>
      <xdr:colOff>247650</xdr:colOff>
      <xdr:row>31</xdr:row>
      <xdr:rowOff>92075</xdr:rowOff>
    </xdr:to>
    <xdr:graphicFrame macro="">
      <xdr:nvGraphicFramePr>
        <xdr:cNvPr id="10" name="图表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0.85417</cdr:y>
    </cdr:from>
    <cdr:to>
      <cdr:x>0.21389</cdr:x>
      <cdr:y>0.92361</cdr:y>
    </cdr:to>
    <cdr:sp macro="" textlink="">
      <cdr:nvSpPr>
        <cdr:cNvPr id="3" name="文本框 1">
          <a:extLst xmlns:a="http://schemas.openxmlformats.org/drawingml/2006/main">
            <a:ext uri="{FF2B5EF4-FFF2-40B4-BE49-F238E27FC236}">
              <a16:creationId xmlns:a16="http://schemas.microsoft.com/office/drawing/2014/main" id="{20037B3C-C1DB-4E7F-A05D-BE9165A0A5E2}"/>
            </a:ext>
          </a:extLst>
        </cdr:cNvPr>
        <cdr:cNvSpPr txBox="1"/>
      </cdr:nvSpPr>
      <cdr:spPr>
        <a:xfrm xmlns:a="http://schemas.openxmlformats.org/drawingml/2006/main">
          <a:off x="0" y="2343150"/>
          <a:ext cx="977900" cy="190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000">
              <a:latin typeface="Times New Roman" panose="02020603050405020304" pitchFamily="18" charset="0"/>
              <a:cs typeface="Times New Roman" panose="02020603050405020304" pitchFamily="18" charset="0"/>
            </a:rPr>
            <a:t>seconds</a:t>
          </a:r>
          <a:endParaRPr lang="zh-CN" altLang="en-US" sz="1000">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0.09167</cdr:x>
      <cdr:y>0.19907</cdr:y>
    </cdr:from>
    <cdr:to>
      <cdr:x>0.96111</cdr:x>
      <cdr:y>0.2037</cdr:y>
    </cdr:to>
    <cdr:cxnSp macro="">
      <cdr:nvCxnSpPr>
        <cdr:cNvPr id="5" name="直接连接符 4">
          <a:extLst xmlns:a="http://schemas.openxmlformats.org/drawingml/2006/main">
            <a:ext uri="{FF2B5EF4-FFF2-40B4-BE49-F238E27FC236}">
              <a16:creationId xmlns:a16="http://schemas.microsoft.com/office/drawing/2014/main" id="{57FA4A44-9E14-45EB-A0D4-3486CFF535A2}"/>
            </a:ext>
          </a:extLst>
        </cdr:cNvPr>
        <cdr:cNvCxnSpPr/>
      </cdr:nvCxnSpPr>
      <cdr:spPr>
        <a:xfrm xmlns:a="http://schemas.openxmlformats.org/drawingml/2006/main" flipH="1">
          <a:off x="419100" y="546100"/>
          <a:ext cx="3975100" cy="12700"/>
        </a:xfrm>
        <a:prstGeom xmlns:a="http://schemas.openxmlformats.org/drawingml/2006/main" prst="line">
          <a:avLst/>
        </a:prstGeom>
        <a:ln xmlns:a="http://schemas.openxmlformats.org/drawingml/2006/main" w="19050">
          <a:solidFill>
            <a:srgbClr val="FF0000"/>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1.xml><?xml version="1.0" encoding="utf-8"?>
<xdr:wsDr xmlns:xdr="http://schemas.openxmlformats.org/drawingml/2006/spreadsheetDrawing" xmlns:a="http://schemas.openxmlformats.org/drawingml/2006/main">
  <xdr:twoCellAnchor editAs="oneCell">
    <xdr:from>
      <xdr:col>0</xdr:col>
      <xdr:colOff>603250</xdr:colOff>
      <xdr:row>37</xdr:row>
      <xdr:rowOff>95250</xdr:rowOff>
    </xdr:from>
    <xdr:to>
      <xdr:col>11</xdr:col>
      <xdr:colOff>176945</xdr:colOff>
      <xdr:row>39</xdr:row>
      <xdr:rowOff>15840</xdr:rowOff>
    </xdr:to>
    <xdr:pic>
      <xdr:nvPicPr>
        <xdr:cNvPr id="3" name="图片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603250" y="6673850"/>
          <a:ext cx="6838095" cy="276190"/>
        </a:xfrm>
        <a:prstGeom prst="rect">
          <a:avLst/>
        </a:prstGeom>
      </xdr:spPr>
    </xdr:pic>
    <xdr:clientData/>
  </xdr:twoCellAnchor>
  <xdr:twoCellAnchor>
    <xdr:from>
      <xdr:col>4</xdr:col>
      <xdr:colOff>578277</xdr:colOff>
      <xdr:row>3</xdr:row>
      <xdr:rowOff>116006</xdr:rowOff>
    </xdr:from>
    <xdr:to>
      <xdr:col>11</xdr:col>
      <xdr:colOff>543640</xdr:colOff>
      <xdr:row>19</xdr:row>
      <xdr:rowOff>88298</xdr:rowOff>
    </xdr:to>
    <xdr:graphicFrame macro="">
      <xdr:nvGraphicFramePr>
        <xdr:cNvPr id="4" name="图表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498929</xdr:colOff>
      <xdr:row>20</xdr:row>
      <xdr:rowOff>97972</xdr:rowOff>
    </xdr:from>
    <xdr:to>
      <xdr:col>11</xdr:col>
      <xdr:colOff>435429</xdr:colOff>
      <xdr:row>35</xdr:row>
      <xdr:rowOff>119743</xdr:rowOff>
    </xdr:to>
    <xdr:graphicFrame macro="">
      <xdr:nvGraphicFramePr>
        <xdr:cNvPr id="5" name="图表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371928</xdr:colOff>
      <xdr:row>38</xdr:row>
      <xdr:rowOff>54429</xdr:rowOff>
    </xdr:from>
    <xdr:to>
      <xdr:col>21</xdr:col>
      <xdr:colOff>578356</xdr:colOff>
      <xdr:row>40</xdr:row>
      <xdr:rowOff>43953</xdr:rowOff>
    </xdr:to>
    <xdr:pic>
      <xdr:nvPicPr>
        <xdr:cNvPr id="6" name="图片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4"/>
        <a:stretch>
          <a:fillRect/>
        </a:stretch>
      </xdr:blipFill>
      <xdr:spPr>
        <a:xfrm>
          <a:off x="7656285" y="6948715"/>
          <a:ext cx="6828571" cy="352381"/>
        </a:xfrm>
        <a:prstGeom prst="rect">
          <a:avLst/>
        </a:prstGeom>
      </xdr:spPr>
    </xdr:pic>
    <xdr:clientData/>
  </xdr:twoCellAnchor>
  <xdr:twoCellAnchor editAs="oneCell">
    <xdr:from>
      <xdr:col>1</xdr:col>
      <xdr:colOff>54429</xdr:colOff>
      <xdr:row>43</xdr:row>
      <xdr:rowOff>36285</xdr:rowOff>
    </xdr:from>
    <xdr:to>
      <xdr:col>11</xdr:col>
      <xdr:colOff>384667</xdr:colOff>
      <xdr:row>44</xdr:row>
      <xdr:rowOff>121524</xdr:rowOff>
    </xdr:to>
    <xdr:pic>
      <xdr:nvPicPr>
        <xdr:cNvPr id="7" name="图片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5"/>
        <a:stretch>
          <a:fillRect/>
        </a:stretch>
      </xdr:blipFill>
      <xdr:spPr>
        <a:xfrm>
          <a:off x="716643" y="7837714"/>
          <a:ext cx="6952381" cy="266667"/>
        </a:xfrm>
        <a:prstGeom prst="rect">
          <a:avLst/>
        </a:prstGeom>
      </xdr:spPr>
    </xdr:pic>
    <xdr:clientData/>
  </xdr:twoCellAnchor>
  <xdr:twoCellAnchor editAs="oneCell">
    <xdr:from>
      <xdr:col>0</xdr:col>
      <xdr:colOff>635000</xdr:colOff>
      <xdr:row>46</xdr:row>
      <xdr:rowOff>154215</xdr:rowOff>
    </xdr:from>
    <xdr:to>
      <xdr:col>11</xdr:col>
      <xdr:colOff>303024</xdr:colOff>
      <xdr:row>48</xdr:row>
      <xdr:rowOff>143739</xdr:rowOff>
    </xdr:to>
    <xdr:pic>
      <xdr:nvPicPr>
        <xdr:cNvPr id="8" name="图片 7">
          <a:extLst>
            <a:ext uri="{FF2B5EF4-FFF2-40B4-BE49-F238E27FC236}">
              <a16:creationId xmlns:a16="http://schemas.microsoft.com/office/drawing/2014/main" id="{00000000-0008-0000-0700-000008000000}"/>
            </a:ext>
          </a:extLst>
        </xdr:cNvPr>
        <xdr:cNvPicPr>
          <a:picLocks noChangeAspect="1"/>
        </xdr:cNvPicPr>
      </xdr:nvPicPr>
      <xdr:blipFill>
        <a:blip xmlns:r="http://schemas.openxmlformats.org/officeDocument/2006/relationships" r:embed="rId6"/>
        <a:stretch>
          <a:fillRect/>
        </a:stretch>
      </xdr:blipFill>
      <xdr:spPr>
        <a:xfrm>
          <a:off x="635000" y="8499929"/>
          <a:ext cx="6952381" cy="352381"/>
        </a:xfrm>
        <a:prstGeom prst="rect">
          <a:avLst/>
        </a:prstGeom>
      </xdr:spPr>
    </xdr:pic>
    <xdr:clientData/>
  </xdr:twoCellAnchor>
  <xdr:twoCellAnchor>
    <xdr:from>
      <xdr:col>25</xdr:col>
      <xdr:colOff>353785</xdr:colOff>
      <xdr:row>16</xdr:row>
      <xdr:rowOff>172357</xdr:rowOff>
    </xdr:from>
    <xdr:to>
      <xdr:col>34</xdr:col>
      <xdr:colOff>526142</xdr:colOff>
      <xdr:row>36</xdr:row>
      <xdr:rowOff>38100</xdr:rowOff>
    </xdr:to>
    <xdr:graphicFrame macro="">
      <xdr:nvGraphicFramePr>
        <xdr:cNvPr id="9" name="图表 8">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32</xdr:col>
      <xdr:colOff>81643</xdr:colOff>
      <xdr:row>0</xdr:row>
      <xdr:rowOff>127000</xdr:rowOff>
    </xdr:from>
    <xdr:to>
      <xdr:col>33</xdr:col>
      <xdr:colOff>80719</xdr:colOff>
      <xdr:row>20</xdr:row>
      <xdr:rowOff>44477</xdr:rowOff>
    </xdr:to>
    <xdr:pic>
      <xdr:nvPicPr>
        <xdr:cNvPr id="10" name="图片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8"/>
        <a:stretch>
          <a:fillRect/>
        </a:stretch>
      </xdr:blipFill>
      <xdr:spPr>
        <a:xfrm>
          <a:off x="21272500" y="127000"/>
          <a:ext cx="661290" cy="3546048"/>
        </a:xfrm>
        <a:prstGeom prst="rect">
          <a:avLst/>
        </a:prstGeom>
      </xdr:spPr>
    </xdr:pic>
    <xdr:clientData/>
  </xdr:twoCellAnchor>
  <xdr:twoCellAnchor editAs="oneCell">
    <xdr:from>
      <xdr:col>6</xdr:col>
      <xdr:colOff>526143</xdr:colOff>
      <xdr:row>54</xdr:row>
      <xdr:rowOff>81643</xdr:rowOff>
    </xdr:from>
    <xdr:to>
      <xdr:col>8</xdr:col>
      <xdr:colOff>649334</xdr:colOff>
      <xdr:row>67</xdr:row>
      <xdr:rowOff>123072</xdr:rowOff>
    </xdr:to>
    <xdr:pic>
      <xdr:nvPicPr>
        <xdr:cNvPr id="11" name="图片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9"/>
        <a:stretch>
          <a:fillRect/>
        </a:stretch>
      </xdr:blipFill>
      <xdr:spPr>
        <a:xfrm>
          <a:off x="4499429" y="9878786"/>
          <a:ext cx="1447619" cy="2400000"/>
        </a:xfrm>
        <a:prstGeom prst="rect">
          <a:avLst/>
        </a:prstGeom>
      </xdr:spPr>
    </xdr:pic>
    <xdr:clientData/>
  </xdr:twoCellAnchor>
  <xdr:twoCellAnchor editAs="oneCell">
    <xdr:from>
      <xdr:col>4</xdr:col>
      <xdr:colOff>453571</xdr:colOff>
      <xdr:row>54</xdr:row>
      <xdr:rowOff>18143</xdr:rowOff>
    </xdr:from>
    <xdr:to>
      <xdr:col>6</xdr:col>
      <xdr:colOff>500571</xdr:colOff>
      <xdr:row>68</xdr:row>
      <xdr:rowOff>135286</xdr:rowOff>
    </xdr:to>
    <xdr:pic>
      <xdr:nvPicPr>
        <xdr:cNvPr id="12" name="图片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10"/>
        <a:stretch>
          <a:fillRect/>
        </a:stretch>
      </xdr:blipFill>
      <xdr:spPr>
        <a:xfrm>
          <a:off x="3102428" y="9815286"/>
          <a:ext cx="1371429" cy="2657143"/>
        </a:xfrm>
        <a:prstGeom prst="rect">
          <a:avLst/>
        </a:prstGeom>
      </xdr:spPr>
    </xdr:pic>
    <xdr:clientData/>
  </xdr:twoCellAnchor>
  <xdr:twoCellAnchor editAs="oneCell">
    <xdr:from>
      <xdr:col>0</xdr:col>
      <xdr:colOff>0</xdr:colOff>
      <xdr:row>55</xdr:row>
      <xdr:rowOff>0</xdr:rowOff>
    </xdr:from>
    <xdr:to>
      <xdr:col>1</xdr:col>
      <xdr:colOff>613976</xdr:colOff>
      <xdr:row>69</xdr:row>
      <xdr:rowOff>31429</xdr:rowOff>
    </xdr:to>
    <xdr:pic>
      <xdr:nvPicPr>
        <xdr:cNvPr id="13" name="图片 12">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11"/>
        <a:stretch>
          <a:fillRect/>
        </a:stretch>
      </xdr:blipFill>
      <xdr:spPr>
        <a:xfrm>
          <a:off x="0" y="9978571"/>
          <a:ext cx="1276190" cy="2571429"/>
        </a:xfrm>
        <a:prstGeom prst="rect">
          <a:avLst/>
        </a:prstGeom>
      </xdr:spPr>
    </xdr:pic>
    <xdr:clientData/>
  </xdr:twoCellAnchor>
  <xdr:twoCellAnchor editAs="oneCell">
    <xdr:from>
      <xdr:col>2</xdr:col>
      <xdr:colOff>0</xdr:colOff>
      <xdr:row>55</xdr:row>
      <xdr:rowOff>0</xdr:rowOff>
    </xdr:from>
    <xdr:to>
      <xdr:col>3</xdr:col>
      <xdr:colOff>594929</xdr:colOff>
      <xdr:row>75</xdr:row>
      <xdr:rowOff>123809</xdr:rowOff>
    </xdr:to>
    <xdr:pic>
      <xdr:nvPicPr>
        <xdr:cNvPr id="14" name="图片 13">
          <a:extLst>
            <a:ext uri="{FF2B5EF4-FFF2-40B4-BE49-F238E27FC236}">
              <a16:creationId xmlns:a16="http://schemas.microsoft.com/office/drawing/2014/main" id="{00000000-0008-0000-0700-00000E000000}"/>
            </a:ext>
          </a:extLst>
        </xdr:cNvPr>
        <xdr:cNvPicPr>
          <a:picLocks noChangeAspect="1"/>
        </xdr:cNvPicPr>
      </xdr:nvPicPr>
      <xdr:blipFill>
        <a:blip xmlns:r="http://schemas.openxmlformats.org/officeDocument/2006/relationships" r:embed="rId12"/>
        <a:stretch>
          <a:fillRect/>
        </a:stretch>
      </xdr:blipFill>
      <xdr:spPr>
        <a:xfrm>
          <a:off x="1324429" y="9978571"/>
          <a:ext cx="1257143" cy="3752381"/>
        </a:xfrm>
        <a:prstGeom prst="rect">
          <a:avLst/>
        </a:prstGeom>
      </xdr:spPr>
    </xdr:pic>
    <xdr:clientData/>
  </xdr:twoCellAnchor>
  <xdr:twoCellAnchor editAs="oneCell">
    <xdr:from>
      <xdr:col>8</xdr:col>
      <xdr:colOff>580573</xdr:colOff>
      <xdr:row>87</xdr:row>
      <xdr:rowOff>108857</xdr:rowOff>
    </xdr:from>
    <xdr:to>
      <xdr:col>19</xdr:col>
      <xdr:colOff>220025</xdr:colOff>
      <xdr:row>89</xdr:row>
      <xdr:rowOff>31714</xdr:rowOff>
    </xdr:to>
    <xdr:pic>
      <xdr:nvPicPr>
        <xdr:cNvPr id="15" name="图片 14">
          <a:extLst>
            <a:ext uri="{FF2B5EF4-FFF2-40B4-BE49-F238E27FC236}">
              <a16:creationId xmlns:a16="http://schemas.microsoft.com/office/drawing/2014/main" id="{00000000-0008-0000-0700-00000F000000}"/>
            </a:ext>
          </a:extLst>
        </xdr:cNvPr>
        <xdr:cNvPicPr>
          <a:picLocks noChangeAspect="1"/>
        </xdr:cNvPicPr>
      </xdr:nvPicPr>
      <xdr:blipFill>
        <a:blip xmlns:r="http://schemas.openxmlformats.org/officeDocument/2006/relationships" r:embed="rId13"/>
        <a:stretch>
          <a:fillRect/>
        </a:stretch>
      </xdr:blipFill>
      <xdr:spPr>
        <a:xfrm>
          <a:off x="5878287" y="15893143"/>
          <a:ext cx="6923809" cy="285714"/>
        </a:xfrm>
        <a:prstGeom prst="rect">
          <a:avLst/>
        </a:prstGeom>
      </xdr:spPr>
    </xdr:pic>
    <xdr:clientData/>
  </xdr:twoCellAnchor>
  <xdr:twoCellAnchor editAs="oneCell">
    <xdr:from>
      <xdr:col>8</xdr:col>
      <xdr:colOff>508000</xdr:colOff>
      <xdr:row>86</xdr:row>
      <xdr:rowOff>0</xdr:rowOff>
    </xdr:from>
    <xdr:to>
      <xdr:col>19</xdr:col>
      <xdr:colOff>118881</xdr:colOff>
      <xdr:row>87</xdr:row>
      <xdr:rowOff>75714</xdr:rowOff>
    </xdr:to>
    <xdr:pic>
      <xdr:nvPicPr>
        <xdr:cNvPr id="16" name="图片 15">
          <a:extLst>
            <a:ext uri="{FF2B5EF4-FFF2-40B4-BE49-F238E27FC236}">
              <a16:creationId xmlns:a16="http://schemas.microsoft.com/office/drawing/2014/main" id="{00000000-0008-0000-0700-000010000000}"/>
            </a:ext>
          </a:extLst>
        </xdr:cNvPr>
        <xdr:cNvPicPr>
          <a:picLocks noChangeAspect="1"/>
        </xdr:cNvPicPr>
      </xdr:nvPicPr>
      <xdr:blipFill>
        <a:blip xmlns:r="http://schemas.openxmlformats.org/officeDocument/2006/relationships" r:embed="rId14"/>
        <a:stretch>
          <a:fillRect/>
        </a:stretch>
      </xdr:blipFill>
      <xdr:spPr>
        <a:xfrm>
          <a:off x="5805714" y="15602857"/>
          <a:ext cx="6895238" cy="257143"/>
        </a:xfrm>
        <a:prstGeom prst="rect">
          <a:avLst/>
        </a:prstGeom>
      </xdr:spPr>
    </xdr:pic>
    <xdr:clientData/>
  </xdr:twoCellAnchor>
  <xdr:twoCellAnchor editAs="oneCell">
    <xdr:from>
      <xdr:col>9</xdr:col>
      <xdr:colOff>0</xdr:colOff>
      <xdr:row>84</xdr:row>
      <xdr:rowOff>0</xdr:rowOff>
    </xdr:from>
    <xdr:to>
      <xdr:col>19</xdr:col>
      <xdr:colOff>368334</xdr:colOff>
      <xdr:row>86</xdr:row>
      <xdr:rowOff>18095</xdr:rowOff>
    </xdr:to>
    <xdr:pic>
      <xdr:nvPicPr>
        <xdr:cNvPr id="17" name="图片 16">
          <a:extLst>
            <a:ext uri="{FF2B5EF4-FFF2-40B4-BE49-F238E27FC236}">
              <a16:creationId xmlns:a16="http://schemas.microsoft.com/office/drawing/2014/main" id="{00000000-0008-0000-0700-000011000000}"/>
            </a:ext>
          </a:extLst>
        </xdr:cNvPr>
        <xdr:cNvPicPr>
          <a:picLocks noChangeAspect="1"/>
        </xdr:cNvPicPr>
      </xdr:nvPicPr>
      <xdr:blipFill>
        <a:blip xmlns:r="http://schemas.openxmlformats.org/officeDocument/2006/relationships" r:embed="rId15"/>
        <a:stretch>
          <a:fillRect/>
        </a:stretch>
      </xdr:blipFill>
      <xdr:spPr>
        <a:xfrm>
          <a:off x="5959929" y="15240000"/>
          <a:ext cx="6990476" cy="380952"/>
        </a:xfrm>
        <a:prstGeom prst="rect">
          <a:avLst/>
        </a:prstGeom>
      </xdr:spPr>
    </xdr:pic>
    <xdr:clientData/>
  </xdr:twoCellAnchor>
  <xdr:twoCellAnchor editAs="oneCell">
    <xdr:from>
      <xdr:col>8</xdr:col>
      <xdr:colOff>625929</xdr:colOff>
      <xdr:row>82</xdr:row>
      <xdr:rowOff>45358</xdr:rowOff>
    </xdr:from>
    <xdr:to>
      <xdr:col>19</xdr:col>
      <xdr:colOff>208239</xdr:colOff>
      <xdr:row>83</xdr:row>
      <xdr:rowOff>159168</xdr:rowOff>
    </xdr:to>
    <xdr:pic>
      <xdr:nvPicPr>
        <xdr:cNvPr id="18" name="图片 17">
          <a:extLst>
            <a:ext uri="{FF2B5EF4-FFF2-40B4-BE49-F238E27FC236}">
              <a16:creationId xmlns:a16="http://schemas.microsoft.com/office/drawing/2014/main" id="{00000000-0008-0000-0700-000012000000}"/>
            </a:ext>
          </a:extLst>
        </xdr:cNvPr>
        <xdr:cNvPicPr>
          <a:picLocks noChangeAspect="1"/>
        </xdr:cNvPicPr>
      </xdr:nvPicPr>
      <xdr:blipFill>
        <a:blip xmlns:r="http://schemas.openxmlformats.org/officeDocument/2006/relationships" r:embed="rId16"/>
        <a:stretch>
          <a:fillRect/>
        </a:stretch>
      </xdr:blipFill>
      <xdr:spPr>
        <a:xfrm>
          <a:off x="5923643" y="14922501"/>
          <a:ext cx="6866667" cy="295238"/>
        </a:xfrm>
        <a:prstGeom prst="rect">
          <a:avLst/>
        </a:prstGeom>
      </xdr:spPr>
    </xdr:pic>
    <xdr:clientData/>
  </xdr:twoCellAnchor>
  <xdr:twoCellAnchor editAs="oneCell">
    <xdr:from>
      <xdr:col>9</xdr:col>
      <xdr:colOff>0</xdr:colOff>
      <xdr:row>81</xdr:row>
      <xdr:rowOff>0</xdr:rowOff>
    </xdr:from>
    <xdr:to>
      <xdr:col>19</xdr:col>
      <xdr:colOff>292144</xdr:colOff>
      <xdr:row>82</xdr:row>
      <xdr:rowOff>66190</xdr:rowOff>
    </xdr:to>
    <xdr:pic>
      <xdr:nvPicPr>
        <xdr:cNvPr id="19" name="图片 18">
          <a:extLst>
            <a:ext uri="{FF2B5EF4-FFF2-40B4-BE49-F238E27FC236}">
              <a16:creationId xmlns:a16="http://schemas.microsoft.com/office/drawing/2014/main" id="{00000000-0008-0000-0700-000013000000}"/>
            </a:ext>
          </a:extLst>
        </xdr:cNvPr>
        <xdr:cNvPicPr>
          <a:picLocks noChangeAspect="1"/>
        </xdr:cNvPicPr>
      </xdr:nvPicPr>
      <xdr:blipFill>
        <a:blip xmlns:r="http://schemas.openxmlformats.org/officeDocument/2006/relationships" r:embed="rId17"/>
        <a:stretch>
          <a:fillRect/>
        </a:stretch>
      </xdr:blipFill>
      <xdr:spPr>
        <a:xfrm>
          <a:off x="5959929" y="14695714"/>
          <a:ext cx="6914286" cy="247619"/>
        </a:xfrm>
        <a:prstGeom prst="rect">
          <a:avLst/>
        </a:prstGeom>
      </xdr:spPr>
    </xdr:pic>
    <xdr:clientData/>
  </xdr:twoCellAnchor>
  <xdr:twoCellAnchor editAs="oneCell">
    <xdr:from>
      <xdr:col>8</xdr:col>
      <xdr:colOff>625929</xdr:colOff>
      <xdr:row>79</xdr:row>
      <xdr:rowOff>18143</xdr:rowOff>
    </xdr:from>
    <xdr:to>
      <xdr:col>19</xdr:col>
      <xdr:colOff>332048</xdr:colOff>
      <xdr:row>80</xdr:row>
      <xdr:rowOff>160524</xdr:rowOff>
    </xdr:to>
    <xdr:pic>
      <xdr:nvPicPr>
        <xdr:cNvPr id="20" name="图片 19">
          <a:extLst>
            <a:ext uri="{FF2B5EF4-FFF2-40B4-BE49-F238E27FC236}">
              <a16:creationId xmlns:a16="http://schemas.microsoft.com/office/drawing/2014/main" id="{00000000-0008-0000-0700-000014000000}"/>
            </a:ext>
          </a:extLst>
        </xdr:cNvPr>
        <xdr:cNvPicPr>
          <a:picLocks noChangeAspect="1"/>
        </xdr:cNvPicPr>
      </xdr:nvPicPr>
      <xdr:blipFill>
        <a:blip xmlns:r="http://schemas.openxmlformats.org/officeDocument/2006/relationships" r:embed="rId18"/>
        <a:stretch>
          <a:fillRect/>
        </a:stretch>
      </xdr:blipFill>
      <xdr:spPr>
        <a:xfrm>
          <a:off x="5923643" y="14351000"/>
          <a:ext cx="6990476" cy="323810"/>
        </a:xfrm>
        <a:prstGeom prst="rect">
          <a:avLst/>
        </a:prstGeom>
      </xdr:spPr>
    </xdr:pic>
    <xdr:clientData/>
  </xdr:twoCellAnchor>
  <xdr:twoCellAnchor>
    <xdr:from>
      <xdr:col>16</xdr:col>
      <xdr:colOff>306295</xdr:colOff>
      <xdr:row>50</xdr:row>
      <xdr:rowOff>171076</xdr:rowOff>
    </xdr:from>
    <xdr:to>
      <xdr:col>23</xdr:col>
      <xdr:colOff>276412</xdr:colOff>
      <xdr:row>66</xdr:row>
      <xdr:rowOff>45570</xdr:rowOff>
    </xdr:to>
    <xdr:graphicFrame macro="">
      <xdr:nvGraphicFramePr>
        <xdr:cNvPr id="23" name="图表 22">
          <a:extLst>
            <a:ext uri="{FF2B5EF4-FFF2-40B4-BE49-F238E27FC236}">
              <a16:creationId xmlns:a16="http://schemas.microsoft.com/office/drawing/2014/main" id="{00000000-0008-0000-07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352718</xdr:colOff>
      <xdr:row>65</xdr:row>
      <xdr:rowOff>115046</xdr:rowOff>
    </xdr:from>
    <xdr:to>
      <xdr:col>23</xdr:col>
      <xdr:colOff>322835</xdr:colOff>
      <xdr:row>80</xdr:row>
      <xdr:rowOff>168833</xdr:rowOff>
    </xdr:to>
    <xdr:graphicFrame macro="">
      <xdr:nvGraphicFramePr>
        <xdr:cNvPr id="24" name="图表 23">
          <a:extLst>
            <a:ext uri="{FF2B5EF4-FFF2-40B4-BE49-F238E27FC236}">
              <a16:creationId xmlns:a16="http://schemas.microsoft.com/office/drawing/2014/main" id="{00000000-0008-0000-07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10</xdr:col>
      <xdr:colOff>165100</xdr:colOff>
      <xdr:row>2</xdr:row>
      <xdr:rowOff>66675</xdr:rowOff>
    </xdr:from>
    <xdr:to>
      <xdr:col>17</xdr:col>
      <xdr:colOff>114300</xdr:colOff>
      <xdr:row>17</xdr:row>
      <xdr:rowOff>142875</xdr:rowOff>
    </xdr:to>
    <xdr:graphicFrame macro="">
      <xdr:nvGraphicFramePr>
        <xdr:cNvPr id="2" name="图表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120650</xdr:colOff>
      <xdr:row>7</xdr:row>
      <xdr:rowOff>37465</xdr:rowOff>
    </xdr:from>
    <xdr:to>
      <xdr:col>9</xdr:col>
      <xdr:colOff>635000</xdr:colOff>
      <xdr:row>20</xdr:row>
      <xdr:rowOff>15875</xdr:rowOff>
    </xdr:to>
    <xdr:graphicFrame macro="">
      <xdr:nvGraphicFramePr>
        <xdr:cNvPr id="4" name="图表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107950</xdr:colOff>
      <xdr:row>30</xdr:row>
      <xdr:rowOff>44450</xdr:rowOff>
    </xdr:from>
    <xdr:to>
      <xdr:col>5</xdr:col>
      <xdr:colOff>622300</xdr:colOff>
      <xdr:row>43</xdr:row>
      <xdr:rowOff>22860</xdr:rowOff>
    </xdr:to>
    <xdr:graphicFrame macro="">
      <xdr:nvGraphicFramePr>
        <xdr:cNvPr id="5" name="图表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476250</xdr:colOff>
      <xdr:row>21</xdr:row>
      <xdr:rowOff>76200</xdr:rowOff>
    </xdr:from>
    <xdr:to>
      <xdr:col>20</xdr:col>
      <xdr:colOff>95250</xdr:colOff>
      <xdr:row>38</xdr:row>
      <xdr:rowOff>127000</xdr:rowOff>
    </xdr:to>
    <xdr:graphicFrame macro="">
      <xdr:nvGraphicFramePr>
        <xdr:cNvPr id="6" name="图表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361950</xdr:colOff>
      <xdr:row>39</xdr:row>
      <xdr:rowOff>41275</xdr:rowOff>
    </xdr:from>
    <xdr:to>
      <xdr:col>17</xdr:col>
      <xdr:colOff>311150</xdr:colOff>
      <xdr:row>54</xdr:row>
      <xdr:rowOff>117475</xdr:rowOff>
    </xdr:to>
    <xdr:graphicFrame macro="">
      <xdr:nvGraphicFramePr>
        <xdr:cNvPr id="7" name="图表 6">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478116</xdr:colOff>
      <xdr:row>55</xdr:row>
      <xdr:rowOff>118782</xdr:rowOff>
    </xdr:from>
    <xdr:to>
      <xdr:col>12</xdr:col>
      <xdr:colOff>29881</xdr:colOff>
      <xdr:row>69</xdr:row>
      <xdr:rowOff>119529</xdr:rowOff>
    </xdr:to>
    <xdr:graphicFrame macro="">
      <xdr:nvGraphicFramePr>
        <xdr:cNvPr id="3" name="图表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315546</xdr:colOff>
      <xdr:row>3</xdr:row>
      <xdr:rowOff>117231</xdr:rowOff>
    </xdr:from>
    <xdr:to>
      <xdr:col>15</xdr:col>
      <xdr:colOff>459154</xdr:colOff>
      <xdr:row>19</xdr:row>
      <xdr:rowOff>127000</xdr:rowOff>
    </xdr:to>
    <xdr:graphicFrame macro="">
      <xdr:nvGraphicFramePr>
        <xdr:cNvPr id="2" name="图表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189105</xdr:colOff>
      <xdr:row>6</xdr:row>
      <xdr:rowOff>6280</xdr:rowOff>
    </xdr:from>
    <xdr:to>
      <xdr:col>29</xdr:col>
      <xdr:colOff>141654</xdr:colOff>
      <xdr:row>21</xdr:row>
      <xdr:rowOff>102577</xdr:rowOff>
    </xdr:to>
    <xdr:graphicFrame macro="">
      <xdr:nvGraphicFramePr>
        <xdr:cNvPr id="3" name="图表 2">
          <a:extLst>
            <a:ext uri="{FF2B5EF4-FFF2-40B4-BE49-F238E27FC236}">
              <a16:creationId xmlns:a16="http://schemas.microsoft.com/office/drawing/2014/main" id="{4E4CC43B-F385-43FA-A9D1-0DC16FE6B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235857</xdr:colOff>
      <xdr:row>0</xdr:row>
      <xdr:rowOff>9071</xdr:rowOff>
    </xdr:from>
    <xdr:to>
      <xdr:col>34</xdr:col>
      <xdr:colOff>249619</xdr:colOff>
      <xdr:row>8</xdr:row>
      <xdr:rowOff>21571</xdr:rowOff>
    </xdr:to>
    <xdr:pic>
      <xdr:nvPicPr>
        <xdr:cNvPr id="4" name="图片 3">
          <a:extLst>
            <a:ext uri="{FF2B5EF4-FFF2-40B4-BE49-F238E27FC236}">
              <a16:creationId xmlns:a16="http://schemas.microsoft.com/office/drawing/2014/main" id="{FF7F891D-0636-4C8F-9A9A-7C8597BD6C6D}"/>
            </a:ext>
          </a:extLst>
        </xdr:cNvPr>
        <xdr:cNvPicPr>
          <a:picLocks noChangeAspect="1"/>
        </xdr:cNvPicPr>
      </xdr:nvPicPr>
      <xdr:blipFill>
        <a:blip xmlns:r="http://schemas.openxmlformats.org/officeDocument/2006/relationships" r:embed="rId3"/>
        <a:stretch>
          <a:fillRect/>
        </a:stretch>
      </xdr:blipFill>
      <xdr:spPr>
        <a:xfrm>
          <a:off x="18115643" y="9071"/>
          <a:ext cx="4649262" cy="1463929"/>
        </a:xfrm>
        <a:prstGeom prst="rect">
          <a:avLst/>
        </a:prstGeom>
      </xdr:spPr>
    </xdr:pic>
    <xdr:clientData/>
  </xdr:twoCellAnchor>
</xdr:wsDr>
</file>

<file path=xl/drawings/drawing24.xml><?xml version="1.0" encoding="utf-8"?>
<c:userShapes xmlns:c="http://schemas.openxmlformats.org/drawingml/2006/chart">
  <cdr:relSizeAnchor xmlns:cdr="http://schemas.openxmlformats.org/drawingml/2006/chartDrawing">
    <cdr:from>
      <cdr:x>0.16389</cdr:x>
      <cdr:y>0.6412</cdr:y>
    </cdr:from>
    <cdr:to>
      <cdr:x>0.44722</cdr:x>
      <cdr:y>0.76564</cdr:y>
    </cdr:to>
    <cdr:sp macro="" textlink="">
      <cdr:nvSpPr>
        <cdr:cNvPr id="2" name="文本框 1">
          <a:extLst xmlns:a="http://schemas.openxmlformats.org/drawingml/2006/main">
            <a:ext uri="{FF2B5EF4-FFF2-40B4-BE49-F238E27FC236}">
              <a16:creationId xmlns:a16="http://schemas.microsoft.com/office/drawing/2014/main" id="{B4B2B4A3-0098-4A98-AF27-E2DED7FBC7D0}"/>
            </a:ext>
          </a:extLst>
        </cdr:cNvPr>
        <cdr:cNvSpPr txBox="1"/>
      </cdr:nvSpPr>
      <cdr:spPr>
        <a:xfrm xmlns:a="http://schemas.openxmlformats.org/drawingml/2006/main">
          <a:off x="749300" y="1758950"/>
          <a:ext cx="1295400" cy="34135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latin typeface="+mn-lt"/>
              <a:ea typeface="+mn-ea"/>
              <a:cs typeface="+mn-cs"/>
            </a:rPr>
            <a:t>avg. throuput </a:t>
          </a:r>
          <a:r>
            <a:rPr lang="en-US" altLang="zh-CN" sz="1100">
              <a:solidFill>
                <a:srgbClr val="FF0000"/>
              </a:solidFill>
            </a:rPr>
            <a:t>51MB/s</a:t>
          </a:r>
          <a:endParaRPr lang="zh-CN" altLang="en-US" sz="1100">
            <a:solidFill>
              <a:srgbClr val="FF0000"/>
            </a:solidFill>
          </a:endParaRPr>
        </a:p>
      </cdr:txBody>
    </cdr:sp>
  </cdr:relSizeAnchor>
  <cdr:relSizeAnchor xmlns:cdr="http://schemas.openxmlformats.org/drawingml/2006/chartDrawing">
    <cdr:from>
      <cdr:x>0.2692</cdr:x>
      <cdr:y>0.37851</cdr:y>
    </cdr:from>
    <cdr:to>
      <cdr:x>0.57197</cdr:x>
      <cdr:y>0.50294</cdr:y>
    </cdr:to>
    <cdr:sp macro="" textlink="">
      <cdr:nvSpPr>
        <cdr:cNvPr id="3" name="文本框 1">
          <a:extLst xmlns:a="http://schemas.openxmlformats.org/drawingml/2006/main">
            <a:ext uri="{FF2B5EF4-FFF2-40B4-BE49-F238E27FC236}">
              <a16:creationId xmlns:a16="http://schemas.microsoft.com/office/drawing/2014/main" id="{4320AC23-4D2E-48DE-AC42-8C9B4365E254}"/>
            </a:ext>
          </a:extLst>
        </cdr:cNvPr>
        <cdr:cNvSpPr txBox="1"/>
      </cdr:nvSpPr>
      <cdr:spPr>
        <a:xfrm xmlns:a="http://schemas.openxmlformats.org/drawingml/2006/main">
          <a:off x="1458793" y="1068648"/>
          <a:ext cx="1640708" cy="351304"/>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latin typeface="+mn-lt"/>
              <a:ea typeface="+mn-ea"/>
              <a:cs typeface="+mn-cs"/>
            </a:rPr>
            <a:t>avg. throuput </a:t>
          </a:r>
          <a:r>
            <a:rPr lang="en-US" altLang="zh-CN" sz="1100">
              <a:solidFill>
                <a:srgbClr val="FF0000"/>
              </a:solidFill>
            </a:rPr>
            <a:t>807MB/s</a:t>
          </a:r>
          <a:endParaRPr lang="zh-CN" altLang="en-US" sz="1100">
            <a:solidFill>
              <a:srgbClr val="FF0000"/>
            </a:solidFill>
          </a:endParaRPr>
        </a:p>
      </cdr:txBody>
    </cdr:sp>
  </cdr:relSizeAnchor>
  <cdr:relSizeAnchor xmlns:cdr="http://schemas.openxmlformats.org/drawingml/2006/chartDrawing">
    <cdr:from>
      <cdr:x>0.25028</cdr:x>
      <cdr:y>0.19073</cdr:y>
    </cdr:from>
    <cdr:to>
      <cdr:x>0.55445</cdr:x>
      <cdr:y>0.31517</cdr:y>
    </cdr:to>
    <cdr:sp macro="" textlink="">
      <cdr:nvSpPr>
        <cdr:cNvPr id="4" name="文本框 1">
          <a:extLst xmlns:a="http://schemas.openxmlformats.org/drawingml/2006/main">
            <a:ext uri="{FF2B5EF4-FFF2-40B4-BE49-F238E27FC236}">
              <a16:creationId xmlns:a16="http://schemas.microsoft.com/office/drawing/2014/main" id="{4320AC23-4D2E-48DE-AC42-8C9B4365E254}"/>
            </a:ext>
          </a:extLst>
        </cdr:cNvPr>
        <cdr:cNvSpPr txBox="1"/>
      </cdr:nvSpPr>
      <cdr:spPr>
        <a:xfrm xmlns:a="http://schemas.openxmlformats.org/drawingml/2006/main">
          <a:off x="1147468" y="533591"/>
          <a:ext cx="1394529" cy="348137"/>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baseline="0">
              <a:solidFill>
                <a:srgbClr val="FF0000"/>
              </a:solidFill>
            </a:rPr>
            <a:t>avg. throuput</a:t>
          </a:r>
          <a:r>
            <a:rPr lang="zh-CN" altLang="en-US" sz="1100" baseline="0">
              <a:solidFill>
                <a:srgbClr val="FF0000"/>
              </a:solidFill>
            </a:rPr>
            <a:t> </a:t>
          </a:r>
          <a:r>
            <a:rPr lang="en-US" altLang="zh-CN" sz="1100">
              <a:solidFill>
                <a:srgbClr val="FF0000"/>
              </a:solidFill>
            </a:rPr>
            <a:t>1085MB/s</a:t>
          </a:r>
          <a:endParaRPr lang="zh-CN" altLang="en-US" sz="1100">
            <a:solidFill>
              <a:srgbClr val="FF0000"/>
            </a:solidFill>
          </a:endParaRPr>
        </a:p>
      </cdr:txBody>
    </cdr:sp>
  </cdr:relSizeAnchor>
  <cdr:relSizeAnchor xmlns:cdr="http://schemas.openxmlformats.org/drawingml/2006/chartDrawing">
    <cdr:from>
      <cdr:x>0.03039</cdr:x>
      <cdr:y>0.85025</cdr:y>
    </cdr:from>
    <cdr:to>
      <cdr:x>0.40508</cdr:x>
      <cdr:y>0.97561</cdr:y>
    </cdr:to>
    <cdr:sp macro="" textlink="">
      <cdr:nvSpPr>
        <cdr:cNvPr id="5" name="文本框 1">
          <a:extLst xmlns:a="http://schemas.openxmlformats.org/drawingml/2006/main">
            <a:ext uri="{FF2B5EF4-FFF2-40B4-BE49-F238E27FC236}">
              <a16:creationId xmlns:a16="http://schemas.microsoft.com/office/drawing/2014/main" id="{92C5B375-F214-4AC4-82A9-55238827B597}"/>
            </a:ext>
          </a:extLst>
        </cdr:cNvPr>
        <cdr:cNvSpPr txBox="1"/>
      </cdr:nvSpPr>
      <cdr:spPr>
        <a:xfrm xmlns:a="http://schemas.openxmlformats.org/drawingml/2006/main">
          <a:off x="138723" y="2307492"/>
          <a:ext cx="1710526" cy="340218"/>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baseline="0">
              <a:solidFill>
                <a:sysClr val="windowText" lastClr="000000"/>
              </a:solidFill>
              <a:latin typeface="Times New Roman" panose="02020603050405020304" pitchFamily="18" charset="0"/>
              <a:cs typeface="Times New Roman" panose="02020603050405020304" pitchFamily="18" charset="0"/>
            </a:rPr>
            <a:t>Time(s)</a:t>
          </a:r>
          <a:endParaRPr lang="zh-CN" altLang="en-US" sz="1100">
            <a:solidFill>
              <a:sysClr val="windowText" lastClr="000000"/>
            </a:solidFill>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0.06871</cdr:x>
      <cdr:y>0.17093</cdr:y>
    </cdr:from>
    <cdr:to>
      <cdr:x>0.97296</cdr:x>
      <cdr:y>0.17474</cdr:y>
    </cdr:to>
    <cdr:cxnSp macro="">
      <cdr:nvCxnSpPr>
        <cdr:cNvPr id="6" name="直接连接符 5">
          <a:extLst xmlns:a="http://schemas.openxmlformats.org/drawingml/2006/main">
            <a:ext uri="{FF2B5EF4-FFF2-40B4-BE49-F238E27FC236}">
              <a16:creationId xmlns:a16="http://schemas.microsoft.com/office/drawing/2014/main" id="{348F4C5E-4B0B-4F5B-A8F7-F06F0681D949}"/>
            </a:ext>
          </a:extLst>
        </cdr:cNvPr>
        <cdr:cNvCxnSpPr/>
      </cdr:nvCxnSpPr>
      <cdr:spPr>
        <a:xfrm xmlns:a="http://schemas.openxmlformats.org/drawingml/2006/main">
          <a:off x="372349" y="482589"/>
          <a:ext cx="4900105" cy="10757"/>
        </a:xfrm>
        <a:prstGeom xmlns:a="http://schemas.openxmlformats.org/drawingml/2006/main" prst="line">
          <a:avLst/>
        </a:prstGeom>
        <a:ln xmlns:a="http://schemas.openxmlformats.org/drawingml/2006/main" w="19050">
          <a:solidFill>
            <a:srgbClr val="FF0000"/>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5.xml><?xml version="1.0" encoding="utf-8"?>
<c:userShapes xmlns:c="http://schemas.openxmlformats.org/drawingml/2006/chart">
  <cdr:relSizeAnchor xmlns:cdr="http://schemas.openxmlformats.org/drawingml/2006/chartDrawing">
    <cdr:from>
      <cdr:x>0.47231</cdr:x>
      <cdr:y>0.55987</cdr:y>
    </cdr:from>
    <cdr:to>
      <cdr:x>0.75564</cdr:x>
      <cdr:y>0.68431</cdr:y>
    </cdr:to>
    <cdr:sp macro="" textlink="">
      <cdr:nvSpPr>
        <cdr:cNvPr id="2" name="文本框 1">
          <a:extLst xmlns:a="http://schemas.openxmlformats.org/drawingml/2006/main">
            <a:ext uri="{FF2B5EF4-FFF2-40B4-BE49-F238E27FC236}">
              <a16:creationId xmlns:a16="http://schemas.microsoft.com/office/drawing/2014/main" id="{B4B2B4A3-0098-4A98-AF27-E2DED7FBC7D0}"/>
            </a:ext>
          </a:extLst>
        </cdr:cNvPr>
        <cdr:cNvSpPr txBox="1"/>
      </cdr:nvSpPr>
      <cdr:spPr>
        <a:xfrm xmlns:a="http://schemas.openxmlformats.org/drawingml/2006/main">
          <a:off x="2469223" y="1530679"/>
          <a:ext cx="1481231" cy="340218"/>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latin typeface="+mn-lt"/>
              <a:ea typeface="+mn-ea"/>
              <a:cs typeface="+mn-cs"/>
            </a:rPr>
            <a:t>avg. throuput 31</a:t>
          </a:r>
          <a:r>
            <a:rPr lang="en-US" altLang="zh-CN" sz="1100">
              <a:solidFill>
                <a:srgbClr val="FF0000"/>
              </a:solidFill>
            </a:rPr>
            <a:t>MB/s</a:t>
          </a:r>
          <a:endParaRPr lang="zh-CN" altLang="en-US" sz="1100">
            <a:solidFill>
              <a:srgbClr val="FF0000"/>
            </a:solidFill>
          </a:endParaRPr>
        </a:p>
      </cdr:txBody>
    </cdr:sp>
  </cdr:relSizeAnchor>
  <cdr:relSizeAnchor xmlns:cdr="http://schemas.openxmlformats.org/drawingml/2006/chartDrawing">
    <cdr:from>
      <cdr:x>0.458</cdr:x>
      <cdr:y>0.3069</cdr:y>
    </cdr:from>
    <cdr:to>
      <cdr:x>0.76077</cdr:x>
      <cdr:y>0.43133</cdr:y>
    </cdr:to>
    <cdr:sp macro="" textlink="">
      <cdr:nvSpPr>
        <cdr:cNvPr id="3" name="文本框 1">
          <a:extLst xmlns:a="http://schemas.openxmlformats.org/drawingml/2006/main">
            <a:ext uri="{FF2B5EF4-FFF2-40B4-BE49-F238E27FC236}">
              <a16:creationId xmlns:a16="http://schemas.microsoft.com/office/drawing/2014/main" id="{4320AC23-4D2E-48DE-AC42-8C9B4365E254}"/>
            </a:ext>
          </a:extLst>
        </cdr:cNvPr>
        <cdr:cNvSpPr txBox="1"/>
      </cdr:nvSpPr>
      <cdr:spPr>
        <a:xfrm xmlns:a="http://schemas.openxmlformats.org/drawingml/2006/main">
          <a:off x="2394401" y="839059"/>
          <a:ext cx="1582861" cy="34019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solidFill>
                <a:srgbClr val="FF0000"/>
              </a:solidFill>
              <a:latin typeface="+mn-lt"/>
              <a:ea typeface="+mn-ea"/>
              <a:cs typeface="+mn-cs"/>
            </a:rPr>
            <a:t>avg. throuput 219</a:t>
          </a:r>
          <a:r>
            <a:rPr lang="en-US" altLang="zh-CN" sz="1100">
              <a:solidFill>
                <a:srgbClr val="FF0000"/>
              </a:solidFill>
            </a:rPr>
            <a:t>MB/s</a:t>
          </a:r>
          <a:endParaRPr lang="zh-CN" altLang="en-US" sz="1100">
            <a:solidFill>
              <a:srgbClr val="FF0000"/>
            </a:solidFill>
          </a:endParaRPr>
        </a:p>
      </cdr:txBody>
    </cdr:sp>
  </cdr:relSizeAnchor>
  <cdr:relSizeAnchor xmlns:cdr="http://schemas.openxmlformats.org/drawingml/2006/chartDrawing">
    <cdr:from>
      <cdr:x>0.16621</cdr:x>
      <cdr:y>0.14633</cdr:y>
    </cdr:from>
    <cdr:to>
      <cdr:x>0.47038</cdr:x>
      <cdr:y>0.27077</cdr:y>
    </cdr:to>
    <cdr:sp macro="" textlink="">
      <cdr:nvSpPr>
        <cdr:cNvPr id="4" name="文本框 1">
          <a:extLst xmlns:a="http://schemas.openxmlformats.org/drawingml/2006/main">
            <a:ext uri="{FF2B5EF4-FFF2-40B4-BE49-F238E27FC236}">
              <a16:creationId xmlns:a16="http://schemas.microsoft.com/office/drawing/2014/main" id="{4320AC23-4D2E-48DE-AC42-8C9B4365E254}"/>
            </a:ext>
          </a:extLst>
        </cdr:cNvPr>
        <cdr:cNvSpPr txBox="1"/>
      </cdr:nvSpPr>
      <cdr:spPr>
        <a:xfrm xmlns:a="http://schemas.openxmlformats.org/drawingml/2006/main">
          <a:off x="934705" y="400056"/>
          <a:ext cx="1710526" cy="340218"/>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baseline="0">
              <a:solidFill>
                <a:srgbClr val="FF0000"/>
              </a:solidFill>
            </a:rPr>
            <a:t>avg. throuput</a:t>
          </a:r>
          <a:r>
            <a:rPr lang="zh-CN" altLang="en-US" sz="1100" baseline="0">
              <a:solidFill>
                <a:srgbClr val="FF0000"/>
              </a:solidFill>
            </a:rPr>
            <a:t> </a:t>
          </a:r>
          <a:r>
            <a:rPr lang="en-US" altLang="zh-CN" sz="1100" baseline="0">
              <a:solidFill>
                <a:srgbClr val="FF0000"/>
              </a:solidFill>
            </a:rPr>
            <a:t>376</a:t>
          </a:r>
          <a:r>
            <a:rPr lang="en-US" altLang="zh-CN" sz="1100">
              <a:solidFill>
                <a:srgbClr val="FF0000"/>
              </a:solidFill>
            </a:rPr>
            <a:t>MB/s</a:t>
          </a:r>
          <a:endParaRPr lang="zh-CN" altLang="en-US" sz="1100">
            <a:solidFill>
              <a:srgbClr val="FF0000"/>
            </a:solidFill>
          </a:endParaRPr>
        </a:p>
      </cdr:txBody>
    </cdr:sp>
  </cdr:relSizeAnchor>
  <cdr:relSizeAnchor xmlns:cdr="http://schemas.openxmlformats.org/drawingml/2006/chartDrawing">
    <cdr:from>
      <cdr:x>0.10289</cdr:x>
      <cdr:y>0.22639</cdr:y>
    </cdr:from>
    <cdr:to>
      <cdr:x>0.96831</cdr:x>
      <cdr:y>0.23022</cdr:y>
    </cdr:to>
    <cdr:cxnSp macro="">
      <cdr:nvCxnSpPr>
        <cdr:cNvPr id="6" name="直接连接符 5">
          <a:extLst xmlns:a="http://schemas.openxmlformats.org/drawingml/2006/main">
            <a:ext uri="{FF2B5EF4-FFF2-40B4-BE49-F238E27FC236}">
              <a16:creationId xmlns:a16="http://schemas.microsoft.com/office/drawing/2014/main" id="{DE5FECDF-93AB-4028-993D-A5D452E46D5D}"/>
            </a:ext>
          </a:extLst>
        </cdr:cNvPr>
        <cdr:cNvCxnSpPr/>
      </cdr:nvCxnSpPr>
      <cdr:spPr>
        <a:xfrm xmlns:a="http://schemas.openxmlformats.org/drawingml/2006/main" flipV="1">
          <a:off x="523322" y="618951"/>
          <a:ext cx="4401765" cy="10468"/>
        </a:xfrm>
        <a:prstGeom xmlns:a="http://schemas.openxmlformats.org/drawingml/2006/main" prst="line">
          <a:avLst/>
        </a:prstGeom>
        <a:ln xmlns:a="http://schemas.openxmlformats.org/drawingml/2006/main" w="19050">
          <a:solidFill>
            <a:srgbClr val="FF0000"/>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0.0443</cdr:x>
      <cdr:y>0.87556</cdr:y>
    </cdr:from>
    <cdr:to>
      <cdr:x>0.34847</cdr:x>
      <cdr:y>1</cdr:y>
    </cdr:to>
    <cdr:sp macro="" textlink="">
      <cdr:nvSpPr>
        <cdr:cNvPr id="8" name="文本框 1">
          <a:extLst xmlns:a="http://schemas.openxmlformats.org/drawingml/2006/main">
            <a:ext uri="{FF2B5EF4-FFF2-40B4-BE49-F238E27FC236}">
              <a16:creationId xmlns:a16="http://schemas.microsoft.com/office/drawing/2014/main" id="{5D092ADD-E9E2-421E-B7E1-54B442E0D544}"/>
            </a:ext>
          </a:extLst>
        </cdr:cNvPr>
        <cdr:cNvSpPr txBox="1"/>
      </cdr:nvSpPr>
      <cdr:spPr>
        <a:xfrm xmlns:a="http://schemas.openxmlformats.org/drawingml/2006/main">
          <a:off x="249115" y="2393771"/>
          <a:ext cx="1710526" cy="340218"/>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baseline="0">
              <a:solidFill>
                <a:sysClr val="windowText" lastClr="000000"/>
              </a:solidFill>
              <a:latin typeface="Times New Roman" panose="02020603050405020304" pitchFamily="18" charset="0"/>
              <a:cs typeface="Times New Roman" panose="02020603050405020304" pitchFamily="18" charset="0"/>
            </a:rPr>
            <a:t>Time(s)</a:t>
          </a:r>
          <a:endParaRPr lang="zh-CN" altLang="en-US" sz="1100">
            <a:solidFill>
              <a:sysClr val="windowText" lastClr="000000"/>
            </a:solidFill>
            <a:latin typeface="Times New Roman" panose="02020603050405020304" pitchFamily="18" charset="0"/>
            <a:cs typeface="Times New Roman" panose="02020603050405020304" pitchFamily="18" charset="0"/>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14</xdr:col>
      <xdr:colOff>319033</xdr:colOff>
      <xdr:row>9</xdr:row>
      <xdr:rowOff>117885</xdr:rowOff>
    </xdr:from>
    <xdr:to>
      <xdr:col>22</xdr:col>
      <xdr:colOff>419954</xdr:colOff>
      <xdr:row>26</xdr:row>
      <xdr:rowOff>60735</xdr:rowOff>
    </xdr:to>
    <xdr:graphicFrame macro="">
      <xdr:nvGraphicFramePr>
        <xdr:cNvPr id="3" name="图表 2">
          <a:extLst>
            <a:ext uri="{FF2B5EF4-FFF2-40B4-BE49-F238E27FC236}">
              <a16:creationId xmlns:a16="http://schemas.microsoft.com/office/drawing/2014/main" id="{0F5A5E8A-0C43-438D-914D-395BAF184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388471</xdr:colOff>
      <xdr:row>28</xdr:row>
      <xdr:rowOff>44824</xdr:rowOff>
    </xdr:from>
    <xdr:to>
      <xdr:col>19</xdr:col>
      <xdr:colOff>490071</xdr:colOff>
      <xdr:row>44</xdr:row>
      <xdr:rowOff>166968</xdr:rowOff>
    </xdr:to>
    <xdr:graphicFrame macro="">
      <xdr:nvGraphicFramePr>
        <xdr:cNvPr id="4" name="图表 3">
          <a:extLst>
            <a:ext uri="{FF2B5EF4-FFF2-40B4-BE49-F238E27FC236}">
              <a16:creationId xmlns:a16="http://schemas.microsoft.com/office/drawing/2014/main" id="{D9114687-2538-4B97-B440-1175D3028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4</xdr:col>
      <xdr:colOff>512617</xdr:colOff>
      <xdr:row>4</xdr:row>
      <xdr:rowOff>31750</xdr:rowOff>
    </xdr:from>
    <xdr:to>
      <xdr:col>11</xdr:col>
      <xdr:colOff>461818</xdr:colOff>
      <xdr:row>18</xdr:row>
      <xdr:rowOff>19628</xdr:rowOff>
    </xdr:to>
    <xdr:graphicFrame macro="">
      <xdr:nvGraphicFramePr>
        <xdr:cNvPr id="5" name="图表 4">
          <a:extLst>
            <a:ext uri="{FF2B5EF4-FFF2-40B4-BE49-F238E27FC236}">
              <a16:creationId xmlns:a16="http://schemas.microsoft.com/office/drawing/2014/main" id="{D76A1914-C30B-403D-84B4-FDC40FF919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535709</xdr:colOff>
      <xdr:row>4</xdr:row>
      <xdr:rowOff>138024</xdr:rowOff>
    </xdr:from>
    <xdr:to>
      <xdr:col>24</xdr:col>
      <xdr:colOff>567458</xdr:colOff>
      <xdr:row>17</xdr:row>
      <xdr:rowOff>105639</xdr:rowOff>
    </xdr:to>
    <xdr:graphicFrame macro="">
      <xdr:nvGraphicFramePr>
        <xdr:cNvPr id="6" name="图表 5">
          <a:extLst>
            <a:ext uri="{FF2B5EF4-FFF2-40B4-BE49-F238E27FC236}">
              <a16:creationId xmlns:a16="http://schemas.microsoft.com/office/drawing/2014/main" id="{BB34B348-669B-41C1-89E8-683178CD5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3</xdr:col>
      <xdr:colOff>165100</xdr:colOff>
      <xdr:row>6</xdr:row>
      <xdr:rowOff>123825</xdr:rowOff>
    </xdr:from>
    <xdr:to>
      <xdr:col>10</xdr:col>
      <xdr:colOff>114300</xdr:colOff>
      <xdr:row>22</xdr:row>
      <xdr:rowOff>22225</xdr:rowOff>
    </xdr:to>
    <xdr:graphicFrame macro="">
      <xdr:nvGraphicFramePr>
        <xdr:cNvPr id="2" name="图表 1">
          <a:extLst>
            <a:ext uri="{FF2B5EF4-FFF2-40B4-BE49-F238E27FC236}">
              <a16:creationId xmlns:a16="http://schemas.microsoft.com/office/drawing/2014/main" id="{AFD829E3-6D17-4C29-BF49-E041AB8FC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189753</xdr:colOff>
      <xdr:row>18</xdr:row>
      <xdr:rowOff>53229</xdr:rowOff>
    </xdr:from>
    <xdr:to>
      <xdr:col>12</xdr:col>
      <xdr:colOff>343648</xdr:colOff>
      <xdr:row>30</xdr:row>
      <xdr:rowOff>37353</xdr:rowOff>
    </xdr:to>
    <xdr:graphicFrame macro="">
      <xdr:nvGraphicFramePr>
        <xdr:cNvPr id="3" name="图表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353359</xdr:colOff>
      <xdr:row>1</xdr:row>
      <xdr:rowOff>108136</xdr:rowOff>
    </xdr:from>
    <xdr:to>
      <xdr:col>17</xdr:col>
      <xdr:colOff>264459</xdr:colOff>
      <xdr:row>15</xdr:row>
      <xdr:rowOff>16061</xdr:rowOff>
    </xdr:to>
    <xdr:graphicFrame macro="">
      <xdr:nvGraphicFramePr>
        <xdr:cNvPr id="4" name="图表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18</xdr:row>
      <xdr:rowOff>0</xdr:rowOff>
    </xdr:from>
    <xdr:to>
      <xdr:col>17</xdr:col>
      <xdr:colOff>120650</xdr:colOff>
      <xdr:row>26</xdr:row>
      <xdr:rowOff>107950</xdr:rowOff>
    </xdr:to>
    <xdr:graphicFrame macro="">
      <xdr:nvGraphicFramePr>
        <xdr:cNvPr id="5" name="图表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xdr:colOff>
      <xdr:row>1</xdr:row>
      <xdr:rowOff>179293</xdr:rowOff>
    </xdr:from>
    <xdr:to>
      <xdr:col>22</xdr:col>
      <xdr:colOff>605117</xdr:colOff>
      <xdr:row>14</xdr:row>
      <xdr:rowOff>22410</xdr:rowOff>
    </xdr:to>
    <xdr:graphicFrame macro="">
      <xdr:nvGraphicFramePr>
        <xdr:cNvPr id="6" name="图表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317500</xdr:colOff>
      <xdr:row>2</xdr:row>
      <xdr:rowOff>174625</xdr:rowOff>
    </xdr:from>
    <xdr:to>
      <xdr:col>11</xdr:col>
      <xdr:colOff>266700</xdr:colOff>
      <xdr:row>18</xdr:row>
      <xdr:rowOff>73025</xdr:rowOff>
    </xdr:to>
    <xdr:graphicFrame macro="">
      <xdr:nvGraphicFramePr>
        <xdr:cNvPr id="2" name="图表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50800</xdr:colOff>
      <xdr:row>92</xdr:row>
      <xdr:rowOff>158750</xdr:rowOff>
    </xdr:from>
    <xdr:to>
      <xdr:col>10</xdr:col>
      <xdr:colOff>447261</xdr:colOff>
      <xdr:row>101</xdr:row>
      <xdr:rowOff>126999</xdr:rowOff>
    </xdr:to>
    <xdr:graphicFrame macro="">
      <xdr:nvGraphicFramePr>
        <xdr:cNvPr id="4" name="图表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177800</xdr:colOff>
      <xdr:row>22</xdr:row>
      <xdr:rowOff>128493</xdr:rowOff>
    </xdr:from>
    <xdr:to>
      <xdr:col>17</xdr:col>
      <xdr:colOff>393700</xdr:colOff>
      <xdr:row>35</xdr:row>
      <xdr:rowOff>153894</xdr:rowOff>
    </xdr:to>
    <xdr:graphicFrame macro="">
      <xdr:nvGraphicFramePr>
        <xdr:cNvPr id="3" name="图表 2">
          <a:extLst>
            <a:ext uri="{FF2B5EF4-FFF2-40B4-BE49-F238E27FC236}">
              <a16:creationId xmlns:a16="http://schemas.microsoft.com/office/drawing/2014/main" id="{B119CF35-0F56-42A2-9985-DC93869052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605116</xdr:colOff>
      <xdr:row>90</xdr:row>
      <xdr:rowOff>103841</xdr:rowOff>
    </xdr:from>
    <xdr:to>
      <xdr:col>19</xdr:col>
      <xdr:colOff>575233</xdr:colOff>
      <xdr:row>102</xdr:row>
      <xdr:rowOff>172357</xdr:rowOff>
    </xdr:to>
    <xdr:graphicFrame macro="">
      <xdr:nvGraphicFramePr>
        <xdr:cNvPr id="5" name="图表 4">
          <a:extLst>
            <a:ext uri="{FF2B5EF4-FFF2-40B4-BE49-F238E27FC236}">
              <a16:creationId xmlns:a16="http://schemas.microsoft.com/office/drawing/2014/main" id="{E5D33CF4-AE23-4D8C-BC4D-FCB8FF882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366060</xdr:colOff>
      <xdr:row>90</xdr:row>
      <xdr:rowOff>171823</xdr:rowOff>
    </xdr:from>
    <xdr:to>
      <xdr:col>27</xdr:col>
      <xdr:colOff>336177</xdr:colOff>
      <xdr:row>102</xdr:row>
      <xdr:rowOff>53788</xdr:rowOff>
    </xdr:to>
    <xdr:graphicFrame macro="">
      <xdr:nvGraphicFramePr>
        <xdr:cNvPr id="6" name="图表 5">
          <a:extLst>
            <a:ext uri="{FF2B5EF4-FFF2-40B4-BE49-F238E27FC236}">
              <a16:creationId xmlns:a16="http://schemas.microsoft.com/office/drawing/2014/main" id="{234B228B-1616-4CF0-86AB-30D7E2129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644072</xdr:colOff>
      <xdr:row>103</xdr:row>
      <xdr:rowOff>108858</xdr:rowOff>
    </xdr:from>
    <xdr:to>
      <xdr:col>18</xdr:col>
      <xdr:colOff>614189</xdr:colOff>
      <xdr:row>118</xdr:row>
      <xdr:rowOff>133831</xdr:rowOff>
    </xdr:to>
    <xdr:graphicFrame macro="">
      <xdr:nvGraphicFramePr>
        <xdr:cNvPr id="8" name="图表 7">
          <a:extLst>
            <a:ext uri="{FF2B5EF4-FFF2-40B4-BE49-F238E27FC236}">
              <a16:creationId xmlns:a16="http://schemas.microsoft.com/office/drawing/2014/main" id="{C794ADB3-81F5-4BC6-8034-B0E950407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0</xdr:colOff>
      <xdr:row>104</xdr:row>
      <xdr:rowOff>0</xdr:rowOff>
    </xdr:from>
    <xdr:to>
      <xdr:col>27</xdr:col>
      <xdr:colOff>632331</xdr:colOff>
      <xdr:row>119</xdr:row>
      <xdr:rowOff>27108</xdr:rowOff>
    </xdr:to>
    <xdr:graphicFrame macro="">
      <xdr:nvGraphicFramePr>
        <xdr:cNvPr id="9" name="图表 8">
          <a:extLst>
            <a:ext uri="{FF2B5EF4-FFF2-40B4-BE49-F238E27FC236}">
              <a16:creationId xmlns:a16="http://schemas.microsoft.com/office/drawing/2014/main" id="{54E17FBA-F8DC-40D1-8E31-88DE4D5CC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0.10996</cdr:y>
    </cdr:from>
    <cdr:to>
      <cdr:x>0.34117</cdr:x>
      <cdr:y>0.22448</cdr:y>
    </cdr:to>
    <cdr:sp macro="" textlink="">
      <cdr:nvSpPr>
        <cdr:cNvPr id="2" name="文本框 1">
          <a:extLst xmlns:a="http://schemas.openxmlformats.org/drawingml/2006/main">
            <a:ext uri="{FF2B5EF4-FFF2-40B4-BE49-F238E27FC236}">
              <a16:creationId xmlns:a16="http://schemas.microsoft.com/office/drawing/2014/main" id="{1594FAED-C799-465F-9E4B-3FC1DEEC7568}"/>
            </a:ext>
          </a:extLst>
        </cdr:cNvPr>
        <cdr:cNvSpPr txBox="1"/>
      </cdr:nvSpPr>
      <cdr:spPr>
        <a:xfrm xmlns:a="http://schemas.openxmlformats.org/drawingml/2006/main">
          <a:off x="0" y="259082"/>
          <a:ext cx="1419412" cy="26983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100"/>
            <a:t>throuput</a:t>
          </a:r>
          <a:endParaRPr lang="zh-CN" alt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0.00327</cdr:x>
      <cdr:y>0.73284</cdr:y>
    </cdr:from>
    <cdr:to>
      <cdr:x>0.0817</cdr:x>
      <cdr:y>0.86111</cdr:y>
    </cdr:to>
    <cdr:sp macro="" textlink="">
      <cdr:nvSpPr>
        <cdr:cNvPr id="2" name="文本框 1">
          <a:extLst xmlns:a="http://schemas.openxmlformats.org/drawingml/2006/main">
            <a:ext uri="{FF2B5EF4-FFF2-40B4-BE49-F238E27FC236}">
              <a16:creationId xmlns:a16="http://schemas.microsoft.com/office/drawing/2014/main" id="{89020B36-8134-4644-B8FA-4FFBFA59F9BA}"/>
            </a:ext>
          </a:extLst>
        </cdr:cNvPr>
        <cdr:cNvSpPr txBox="1"/>
      </cdr:nvSpPr>
      <cdr:spPr>
        <a:xfrm xmlns:a="http://schemas.openxmlformats.org/drawingml/2006/main">
          <a:off x="14942" y="2010333"/>
          <a:ext cx="358589" cy="351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altLang="zh-CN" sz="1400"/>
            <a:t>KQPS</a:t>
          </a:r>
          <a:endParaRPr lang="zh-CN" alt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0.00327</cdr:x>
      <cdr:y>0.73284</cdr:y>
    </cdr:from>
    <cdr:to>
      <cdr:x>0.0817</cdr:x>
      <cdr:y>0.86111</cdr:y>
    </cdr:to>
    <cdr:sp macro="" textlink="">
      <cdr:nvSpPr>
        <cdr:cNvPr id="2" name="文本框 1">
          <a:extLst xmlns:a="http://schemas.openxmlformats.org/drawingml/2006/main">
            <a:ext uri="{FF2B5EF4-FFF2-40B4-BE49-F238E27FC236}">
              <a16:creationId xmlns:a16="http://schemas.microsoft.com/office/drawing/2014/main" id="{89020B36-8134-4644-B8FA-4FFBFA59F9BA}"/>
            </a:ext>
          </a:extLst>
        </cdr:cNvPr>
        <cdr:cNvSpPr txBox="1"/>
      </cdr:nvSpPr>
      <cdr:spPr>
        <a:xfrm xmlns:a="http://schemas.openxmlformats.org/drawingml/2006/main">
          <a:off x="14942" y="2010333"/>
          <a:ext cx="358589" cy="351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altLang="zh-CN" sz="1400"/>
            <a:t>KQPS</a:t>
          </a:r>
          <a:endParaRPr lang="zh-CN" alt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0.00327</cdr:x>
      <cdr:y>0.73284</cdr:y>
    </cdr:from>
    <cdr:to>
      <cdr:x>0.0817</cdr:x>
      <cdr:y>0.86111</cdr:y>
    </cdr:to>
    <cdr:sp macro="" textlink="">
      <cdr:nvSpPr>
        <cdr:cNvPr id="2" name="文本框 1">
          <a:extLst xmlns:a="http://schemas.openxmlformats.org/drawingml/2006/main">
            <a:ext uri="{FF2B5EF4-FFF2-40B4-BE49-F238E27FC236}">
              <a16:creationId xmlns:a16="http://schemas.microsoft.com/office/drawing/2014/main" id="{89020B36-8134-4644-B8FA-4FFBFA59F9BA}"/>
            </a:ext>
          </a:extLst>
        </cdr:cNvPr>
        <cdr:cNvSpPr txBox="1"/>
      </cdr:nvSpPr>
      <cdr:spPr>
        <a:xfrm xmlns:a="http://schemas.openxmlformats.org/drawingml/2006/main">
          <a:off x="14942" y="2010333"/>
          <a:ext cx="358589" cy="351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altLang="zh-CN" sz="1400"/>
            <a:t>KQPS</a:t>
          </a:r>
          <a:endParaRPr lang="zh-CN" alt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0.00327</cdr:x>
      <cdr:y>0.73284</cdr:y>
    </cdr:from>
    <cdr:to>
      <cdr:x>0.0817</cdr:x>
      <cdr:y>0.86111</cdr:y>
    </cdr:to>
    <cdr:sp macro="" textlink="">
      <cdr:nvSpPr>
        <cdr:cNvPr id="2" name="文本框 1">
          <a:extLst xmlns:a="http://schemas.openxmlformats.org/drawingml/2006/main">
            <a:ext uri="{FF2B5EF4-FFF2-40B4-BE49-F238E27FC236}">
              <a16:creationId xmlns:a16="http://schemas.microsoft.com/office/drawing/2014/main" id="{89020B36-8134-4644-B8FA-4FFBFA59F9BA}"/>
            </a:ext>
          </a:extLst>
        </cdr:cNvPr>
        <cdr:cNvSpPr txBox="1"/>
      </cdr:nvSpPr>
      <cdr:spPr>
        <a:xfrm xmlns:a="http://schemas.openxmlformats.org/drawingml/2006/main">
          <a:off x="14942" y="2010333"/>
          <a:ext cx="358589" cy="351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altLang="zh-CN" sz="1400"/>
            <a:t>KQPS</a:t>
          </a:r>
          <a:endParaRPr lang="zh-CN" altLang="en-US"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97"/>
  <sheetViews>
    <sheetView topLeftCell="A40" zoomScale="70" zoomScaleNormal="70" workbookViewId="0">
      <selection activeCell="H61" sqref="H61"/>
    </sheetView>
  </sheetViews>
  <sheetFormatPr defaultRowHeight="14" x14ac:dyDescent="0.3"/>
  <sheetData>
    <row r="1" spans="1:19" ht="14" customHeight="1" x14ac:dyDescent="0.3">
      <c r="A1" s="31" t="s">
        <v>135</v>
      </c>
      <c r="B1" s="31"/>
      <c r="C1" s="31"/>
      <c r="D1" s="31"/>
      <c r="E1" s="31"/>
      <c r="F1" s="31"/>
      <c r="G1" s="31"/>
      <c r="H1" s="31"/>
      <c r="I1" s="31"/>
      <c r="L1" s="32" t="s">
        <v>5</v>
      </c>
      <c r="M1" s="32"/>
      <c r="N1" s="32"/>
      <c r="O1" s="32"/>
      <c r="P1" s="32"/>
    </row>
    <row r="2" spans="1:19" x14ac:dyDescent="0.3">
      <c r="A2" s="31" t="s">
        <v>136</v>
      </c>
      <c r="B2" s="31"/>
      <c r="C2" s="31"/>
      <c r="D2" s="31"/>
      <c r="E2" s="31"/>
      <c r="F2" s="31"/>
      <c r="G2" s="31"/>
      <c r="H2" s="31"/>
      <c r="I2" s="31"/>
      <c r="L2" s="32"/>
      <c r="M2" s="32"/>
      <c r="N2" s="32"/>
      <c r="O2" s="32"/>
      <c r="P2" s="32"/>
    </row>
    <row r="3" spans="1:19" x14ac:dyDescent="0.3">
      <c r="A3" s="37" t="s">
        <v>0</v>
      </c>
      <c r="B3" s="37"/>
      <c r="C3" s="37"/>
      <c r="D3" s="37"/>
      <c r="E3" s="37"/>
      <c r="F3" s="37"/>
      <c r="G3" s="37"/>
      <c r="L3" s="32"/>
      <c r="M3" s="32"/>
      <c r="N3" s="32"/>
      <c r="O3" s="32"/>
      <c r="P3" s="32"/>
      <c r="Q3" s="31" t="s">
        <v>1</v>
      </c>
      <c r="R3" s="31"/>
      <c r="S3" s="31"/>
    </row>
    <row r="4" spans="1:19" x14ac:dyDescent="0.3">
      <c r="L4" s="32"/>
      <c r="M4" s="32"/>
      <c r="N4" s="32"/>
      <c r="O4" s="32"/>
      <c r="P4" s="32"/>
    </row>
    <row r="5" spans="1:19" x14ac:dyDescent="0.3">
      <c r="A5" t="s">
        <v>9</v>
      </c>
      <c r="L5" s="32"/>
      <c r="M5" s="32"/>
      <c r="N5" s="32"/>
      <c r="O5" s="32"/>
      <c r="P5" s="32"/>
    </row>
    <row r="6" spans="1:19" x14ac:dyDescent="0.3">
      <c r="A6" t="s">
        <v>10</v>
      </c>
      <c r="B6" t="s">
        <v>11</v>
      </c>
      <c r="C6" t="s">
        <v>17</v>
      </c>
      <c r="D6" t="s">
        <v>13</v>
      </c>
      <c r="E6" t="s">
        <v>14</v>
      </c>
      <c r="F6" t="s">
        <v>119</v>
      </c>
      <c r="G6" t="s">
        <v>15</v>
      </c>
      <c r="H6" t="s">
        <v>96</v>
      </c>
      <c r="I6" t="s">
        <v>19</v>
      </c>
      <c r="L6" s="32" t="s">
        <v>2</v>
      </c>
      <c r="M6" s="32"/>
      <c r="N6" s="32"/>
      <c r="O6" s="32"/>
      <c r="P6" s="32"/>
    </row>
    <row r="7" spans="1:19" x14ac:dyDescent="0.3">
      <c r="A7" s="34" t="s">
        <v>6</v>
      </c>
      <c r="B7" t="s">
        <v>12</v>
      </c>
      <c r="C7" t="s">
        <v>117</v>
      </c>
      <c r="D7" t="s">
        <v>115</v>
      </c>
      <c r="E7" t="s">
        <v>113</v>
      </c>
      <c r="F7" t="s">
        <v>111</v>
      </c>
      <c r="G7" t="s">
        <v>111</v>
      </c>
      <c r="H7" t="s">
        <v>108</v>
      </c>
      <c r="I7" t="s">
        <v>108</v>
      </c>
      <c r="L7" s="32"/>
      <c r="M7" s="32"/>
      <c r="N7" s="32"/>
      <c r="O7" s="32"/>
      <c r="P7" s="32"/>
    </row>
    <row r="8" spans="1:19" x14ac:dyDescent="0.3">
      <c r="A8" s="34"/>
      <c r="B8" t="s">
        <v>118</v>
      </c>
      <c r="C8" t="s">
        <v>118</v>
      </c>
      <c r="D8" t="s">
        <v>116</v>
      </c>
      <c r="E8" t="s">
        <v>114</v>
      </c>
      <c r="F8" t="s">
        <v>120</v>
      </c>
      <c r="G8" t="s">
        <v>112</v>
      </c>
      <c r="H8" t="s">
        <v>110</v>
      </c>
      <c r="I8" t="s">
        <v>109</v>
      </c>
      <c r="L8" s="32"/>
      <c r="M8" s="32"/>
      <c r="N8" s="32"/>
      <c r="O8" s="32"/>
      <c r="P8" s="32"/>
    </row>
    <row r="9" spans="1:19" x14ac:dyDescent="0.3">
      <c r="A9" s="30" t="s">
        <v>25</v>
      </c>
      <c r="B9" t="s">
        <v>32</v>
      </c>
      <c r="C9" t="s">
        <v>33</v>
      </c>
      <c r="D9">
        <v>172</v>
      </c>
      <c r="E9">
        <v>195</v>
      </c>
      <c r="F9">
        <v>208</v>
      </c>
      <c r="G9">
        <v>238</v>
      </c>
      <c r="H9">
        <v>204</v>
      </c>
      <c r="I9">
        <v>211</v>
      </c>
      <c r="L9" s="32"/>
      <c r="M9" s="32"/>
      <c r="N9" s="32"/>
      <c r="O9" s="32"/>
      <c r="P9" s="32"/>
      <c r="Q9" s="31" t="s">
        <v>3</v>
      </c>
      <c r="R9" s="31"/>
      <c r="S9" s="31"/>
    </row>
    <row r="10" spans="1:19" x14ac:dyDescent="0.3">
      <c r="A10" s="31"/>
      <c r="B10" t="s">
        <v>39</v>
      </c>
      <c r="C10" t="s">
        <v>40</v>
      </c>
      <c r="D10">
        <v>2.92</v>
      </c>
      <c r="E10">
        <v>5.0999999999999996</v>
      </c>
      <c r="F10">
        <v>9.5</v>
      </c>
      <c r="G10">
        <v>16.5</v>
      </c>
      <c r="H10">
        <v>38</v>
      </c>
      <c r="I10">
        <v>74</v>
      </c>
      <c r="L10" s="32" t="s">
        <v>4</v>
      </c>
      <c r="M10" s="33"/>
      <c r="N10" s="33"/>
      <c r="O10" s="33"/>
      <c r="P10" s="33"/>
    </row>
    <row r="11" spans="1:19" ht="14" customHeight="1" x14ac:dyDescent="0.3">
      <c r="A11" s="36" t="s">
        <v>24</v>
      </c>
      <c r="B11" t="s">
        <v>30</v>
      </c>
      <c r="C11" t="s">
        <v>31</v>
      </c>
      <c r="D11" t="s">
        <v>29</v>
      </c>
      <c r="E11" t="s">
        <v>27</v>
      </c>
      <c r="F11" t="s">
        <v>126</v>
      </c>
      <c r="G11" t="s">
        <v>28</v>
      </c>
      <c r="H11" t="s">
        <v>104</v>
      </c>
      <c r="I11" t="s">
        <v>23</v>
      </c>
      <c r="J11" s="30" t="s">
        <v>26</v>
      </c>
      <c r="K11" s="30"/>
      <c r="L11" s="33"/>
      <c r="M11" s="33"/>
      <c r="N11" s="33"/>
      <c r="O11" s="33"/>
      <c r="P11" s="33"/>
    </row>
    <row r="12" spans="1:19" x14ac:dyDescent="0.3">
      <c r="A12" s="34"/>
      <c r="B12" t="s">
        <v>41</v>
      </c>
      <c r="C12" t="s">
        <v>42</v>
      </c>
      <c r="D12" t="s">
        <v>43</v>
      </c>
      <c r="E12" t="s">
        <v>44</v>
      </c>
      <c r="F12" t="s">
        <v>79</v>
      </c>
      <c r="G12" t="s">
        <v>45</v>
      </c>
      <c r="H12" t="s">
        <v>105</v>
      </c>
      <c r="I12" t="s">
        <v>46</v>
      </c>
      <c r="J12" s="30"/>
      <c r="K12" s="30"/>
      <c r="L12" s="33"/>
      <c r="M12" s="33"/>
      <c r="N12" s="33"/>
      <c r="O12" s="33"/>
      <c r="P12" s="33"/>
    </row>
    <row r="13" spans="1:19" x14ac:dyDescent="0.3">
      <c r="A13" s="34" t="s">
        <v>7</v>
      </c>
      <c r="B13" t="s">
        <v>12</v>
      </c>
      <c r="C13" t="s">
        <v>18</v>
      </c>
      <c r="D13" t="s">
        <v>16</v>
      </c>
      <c r="E13" t="s">
        <v>20</v>
      </c>
      <c r="F13" t="s">
        <v>129</v>
      </c>
      <c r="G13" t="s">
        <v>21</v>
      </c>
      <c r="H13" t="s">
        <v>102</v>
      </c>
      <c r="I13" t="s">
        <v>22</v>
      </c>
      <c r="L13" s="33"/>
      <c r="M13" s="33"/>
      <c r="N13" s="33"/>
      <c r="O13" s="33"/>
      <c r="P13" s="33"/>
    </row>
    <row r="14" spans="1:19" x14ac:dyDescent="0.3">
      <c r="A14" s="34"/>
      <c r="B14" t="s">
        <v>47</v>
      </c>
      <c r="C14" t="s">
        <v>48</v>
      </c>
      <c r="D14" t="s">
        <v>49</v>
      </c>
      <c r="E14" t="s">
        <v>50</v>
      </c>
      <c r="F14" t="s">
        <v>130</v>
      </c>
      <c r="G14" t="s">
        <v>51</v>
      </c>
      <c r="H14" t="s">
        <v>103</v>
      </c>
      <c r="I14" t="s">
        <v>52</v>
      </c>
      <c r="L14" s="33"/>
      <c r="M14" s="33"/>
      <c r="N14" s="33"/>
      <c r="O14" s="33"/>
      <c r="P14" s="33"/>
    </row>
    <row r="15" spans="1:19" x14ac:dyDescent="0.3">
      <c r="A15" s="34" t="s">
        <v>8</v>
      </c>
      <c r="B15" t="s">
        <v>34</v>
      </c>
      <c r="C15" t="s">
        <v>35</v>
      </c>
      <c r="D15" t="s">
        <v>36</v>
      </c>
      <c r="E15" t="s">
        <v>38</v>
      </c>
      <c r="F15" t="s">
        <v>123</v>
      </c>
      <c r="G15" t="s">
        <v>37</v>
      </c>
      <c r="H15" t="s">
        <v>106</v>
      </c>
      <c r="I15" t="s">
        <v>57</v>
      </c>
      <c r="L15" s="33"/>
      <c r="M15" s="33"/>
      <c r="N15" s="33"/>
      <c r="O15" s="33"/>
      <c r="P15" s="33"/>
    </row>
    <row r="16" spans="1:19" x14ac:dyDescent="0.3">
      <c r="A16" s="34"/>
      <c r="B16" t="s">
        <v>53</v>
      </c>
      <c r="C16" t="s">
        <v>54</v>
      </c>
      <c r="D16" t="s">
        <v>54</v>
      </c>
      <c r="E16" t="s">
        <v>55</v>
      </c>
      <c r="F16" t="s">
        <v>124</v>
      </c>
      <c r="G16" t="s">
        <v>56</v>
      </c>
      <c r="H16" t="s">
        <v>107</v>
      </c>
      <c r="I16" t="s">
        <v>58</v>
      </c>
    </row>
    <row r="18" spans="1:11" x14ac:dyDescent="0.3">
      <c r="A18" t="s">
        <v>59</v>
      </c>
      <c r="D18" t="s">
        <v>143</v>
      </c>
    </row>
    <row r="19" spans="1:11" x14ac:dyDescent="0.3">
      <c r="A19" t="s">
        <v>10</v>
      </c>
      <c r="B19" t="s">
        <v>11</v>
      </c>
      <c r="C19" t="s">
        <v>17</v>
      </c>
      <c r="D19" t="s">
        <v>13</v>
      </c>
      <c r="E19" t="s">
        <v>14</v>
      </c>
      <c r="F19" t="s">
        <v>119</v>
      </c>
      <c r="G19" t="s">
        <v>15</v>
      </c>
      <c r="H19" t="s">
        <v>96</v>
      </c>
      <c r="I19" t="s">
        <v>19</v>
      </c>
    </row>
    <row r="20" spans="1:11" x14ac:dyDescent="0.3">
      <c r="A20" s="34" t="s">
        <v>6</v>
      </c>
      <c r="B20" t="s">
        <v>133</v>
      </c>
      <c r="C20" t="s">
        <v>137</v>
      </c>
      <c r="D20" t="s">
        <v>138</v>
      </c>
      <c r="E20" t="s">
        <v>140</v>
      </c>
      <c r="F20" t="s">
        <v>142</v>
      </c>
      <c r="G20" t="s">
        <v>144</v>
      </c>
      <c r="H20" t="s">
        <v>70</v>
      </c>
      <c r="I20" t="s">
        <v>147</v>
      </c>
    </row>
    <row r="21" spans="1:11" x14ac:dyDescent="0.3">
      <c r="A21" s="34"/>
      <c r="B21" t="s">
        <v>134</v>
      </c>
      <c r="C21" t="s">
        <v>65</v>
      </c>
      <c r="D21" t="s">
        <v>139</v>
      </c>
      <c r="E21" t="s">
        <v>141</v>
      </c>
      <c r="F21" t="s">
        <v>121</v>
      </c>
      <c r="G21" t="s">
        <v>145</v>
      </c>
      <c r="H21" t="s">
        <v>146</v>
      </c>
      <c r="I21" t="s">
        <v>148</v>
      </c>
    </row>
    <row r="22" spans="1:11" x14ac:dyDescent="0.3">
      <c r="A22" s="30" t="s">
        <v>25</v>
      </c>
      <c r="B22" s="34" t="s">
        <v>122</v>
      </c>
      <c r="C22" s="34"/>
      <c r="D22" s="34"/>
      <c r="E22" s="34"/>
      <c r="F22" s="34"/>
      <c r="G22" s="34"/>
      <c r="H22" s="34"/>
      <c r="I22" s="34"/>
    </row>
    <row r="23" spans="1:11" x14ac:dyDescent="0.3">
      <c r="A23" s="31"/>
      <c r="B23" s="34"/>
      <c r="C23" s="34"/>
      <c r="D23" s="34"/>
      <c r="E23" s="34"/>
      <c r="F23" s="34"/>
      <c r="G23" s="34"/>
      <c r="H23" s="34"/>
      <c r="I23" s="34"/>
    </row>
    <row r="24" spans="1:11" ht="14" customHeight="1" x14ac:dyDescent="0.3">
      <c r="A24" s="36" t="s">
        <v>24</v>
      </c>
      <c r="B24" t="s">
        <v>94</v>
      </c>
      <c r="C24" t="s">
        <v>92</v>
      </c>
      <c r="D24" t="s">
        <v>90</v>
      </c>
      <c r="E24" t="s">
        <v>88</v>
      </c>
      <c r="F24" t="s">
        <v>127</v>
      </c>
      <c r="G24" t="s">
        <v>20</v>
      </c>
      <c r="H24" t="s">
        <v>97</v>
      </c>
      <c r="I24" t="s">
        <v>85</v>
      </c>
      <c r="J24" s="30" t="s">
        <v>26</v>
      </c>
      <c r="K24" s="30"/>
    </row>
    <row r="25" spans="1:11" x14ac:dyDescent="0.3">
      <c r="A25" s="34"/>
      <c r="B25" t="s">
        <v>95</v>
      </c>
      <c r="C25" t="s">
        <v>93</v>
      </c>
      <c r="D25" t="s">
        <v>91</v>
      </c>
      <c r="E25" t="s">
        <v>89</v>
      </c>
      <c r="F25" t="s">
        <v>128</v>
      </c>
      <c r="G25" t="s">
        <v>87</v>
      </c>
      <c r="H25" t="s">
        <v>98</v>
      </c>
      <c r="I25" t="s">
        <v>86</v>
      </c>
      <c r="J25" s="30"/>
      <c r="K25" s="30"/>
    </row>
    <row r="26" spans="1:11" x14ac:dyDescent="0.3">
      <c r="A26" s="34" t="s">
        <v>7</v>
      </c>
      <c r="B26" t="s">
        <v>72</v>
      </c>
      <c r="C26" t="s">
        <v>75</v>
      </c>
      <c r="D26" t="s">
        <v>76</v>
      </c>
      <c r="E26" t="s">
        <v>78</v>
      </c>
      <c r="F26" t="s">
        <v>131</v>
      </c>
      <c r="G26" t="s">
        <v>80</v>
      </c>
      <c r="H26" t="s">
        <v>100</v>
      </c>
      <c r="I26" t="s">
        <v>82</v>
      </c>
    </row>
    <row r="27" spans="1:11" x14ac:dyDescent="0.3">
      <c r="A27" s="34"/>
      <c r="B27" t="s">
        <v>73</v>
      </c>
      <c r="C27" t="s">
        <v>74</v>
      </c>
      <c r="D27" t="s">
        <v>77</v>
      </c>
      <c r="E27" t="s">
        <v>79</v>
      </c>
      <c r="F27" t="s">
        <v>132</v>
      </c>
      <c r="G27" t="s">
        <v>81</v>
      </c>
      <c r="H27" t="s">
        <v>101</v>
      </c>
      <c r="I27" t="s">
        <v>83</v>
      </c>
    </row>
    <row r="28" spans="1:11" x14ac:dyDescent="0.3">
      <c r="A28" s="34" t="s">
        <v>8</v>
      </c>
      <c r="B28" t="s">
        <v>70</v>
      </c>
      <c r="C28" t="s">
        <v>68</v>
      </c>
      <c r="D28" t="s">
        <v>66</v>
      </c>
      <c r="E28" t="s">
        <v>64</v>
      </c>
      <c r="F28" t="s">
        <v>125</v>
      </c>
      <c r="G28" t="s">
        <v>62</v>
      </c>
      <c r="H28" t="s">
        <v>38</v>
      </c>
      <c r="I28" t="s">
        <v>60</v>
      </c>
    </row>
    <row r="29" spans="1:11" x14ac:dyDescent="0.3">
      <c r="A29" s="34"/>
      <c r="B29" t="s">
        <v>71</v>
      </c>
      <c r="C29" t="s">
        <v>69</v>
      </c>
      <c r="D29" t="s">
        <v>67</v>
      </c>
      <c r="E29" t="s">
        <v>65</v>
      </c>
      <c r="F29" t="s">
        <v>91</v>
      </c>
      <c r="G29" t="s">
        <v>63</v>
      </c>
      <c r="H29" t="s">
        <v>99</v>
      </c>
      <c r="I29" t="s">
        <v>61</v>
      </c>
    </row>
    <row r="30" spans="1:11" ht="14" customHeight="1" x14ac:dyDescent="0.3">
      <c r="G30" s="35" t="s">
        <v>84</v>
      </c>
      <c r="H30" s="35"/>
    </row>
    <row r="31" spans="1:11" x14ac:dyDescent="0.3">
      <c r="G31" s="35"/>
      <c r="H31" s="35"/>
    </row>
    <row r="32" spans="1:11" x14ac:dyDescent="0.3">
      <c r="G32" s="35"/>
      <c r="H32" s="35"/>
    </row>
    <row r="33" spans="1:8" x14ac:dyDescent="0.3">
      <c r="G33" s="35"/>
      <c r="H33" s="35"/>
    </row>
    <row r="34" spans="1:8" x14ac:dyDescent="0.3">
      <c r="G34" s="35"/>
      <c r="H34" s="35"/>
    </row>
    <row r="35" spans="1:8" x14ac:dyDescent="0.3">
      <c r="G35" s="1"/>
      <c r="H35" s="1"/>
    </row>
    <row r="36" spans="1:8" x14ac:dyDescent="0.3">
      <c r="G36" s="1"/>
      <c r="H36" s="1"/>
    </row>
    <row r="37" spans="1:8" x14ac:dyDescent="0.3">
      <c r="G37" s="1"/>
      <c r="H37" s="1"/>
    </row>
    <row r="38" spans="1:8" x14ac:dyDescent="0.3">
      <c r="G38" s="1"/>
      <c r="H38" s="1"/>
    </row>
    <row r="39" spans="1:8" x14ac:dyDescent="0.3">
      <c r="G39" s="1"/>
      <c r="H39" s="1"/>
    </row>
    <row r="40" spans="1:8" x14ac:dyDescent="0.3">
      <c r="G40" s="1"/>
      <c r="H40" s="1"/>
    </row>
    <row r="41" spans="1:8" x14ac:dyDescent="0.3">
      <c r="A41" s="2" t="s">
        <v>149</v>
      </c>
      <c r="B41" s="2"/>
      <c r="C41" s="2"/>
      <c r="D41" s="2"/>
      <c r="E41" s="2"/>
      <c r="F41" s="2"/>
      <c r="G41" s="1"/>
      <c r="H41" s="1"/>
    </row>
    <row r="42" spans="1:8" x14ac:dyDescent="0.3">
      <c r="A42" s="2" t="s">
        <v>150</v>
      </c>
      <c r="B42" s="2" t="s">
        <v>151</v>
      </c>
      <c r="C42" s="2"/>
      <c r="D42" s="2" t="s">
        <v>152</v>
      </c>
      <c r="E42" s="2"/>
      <c r="F42" s="2"/>
    </row>
    <row r="43" spans="1:8" x14ac:dyDescent="0.3">
      <c r="A43" s="2"/>
      <c r="B43" s="2"/>
      <c r="C43" s="2"/>
      <c r="D43" s="2"/>
      <c r="E43" s="2"/>
      <c r="F43" s="2" t="s">
        <v>153</v>
      </c>
    </row>
    <row r="44" spans="1:8" x14ac:dyDescent="0.3">
      <c r="A44" s="2" t="s">
        <v>154</v>
      </c>
      <c r="B44" s="2" t="s">
        <v>537</v>
      </c>
      <c r="C44" s="2" t="s">
        <v>538</v>
      </c>
      <c r="D44" s="2" t="s">
        <v>539</v>
      </c>
      <c r="E44" s="2" t="s">
        <v>540</v>
      </c>
      <c r="F44" s="2" t="s">
        <v>541</v>
      </c>
    </row>
    <row r="45" spans="1:8" x14ac:dyDescent="0.3">
      <c r="A45" t="s">
        <v>6</v>
      </c>
      <c r="B45">
        <v>49.9</v>
      </c>
      <c r="C45">
        <v>31.6</v>
      </c>
      <c r="D45">
        <v>28.1</v>
      </c>
      <c r="E45">
        <v>52.9</v>
      </c>
      <c r="F45">
        <v>0.3</v>
      </c>
    </row>
    <row r="46" spans="1:8" x14ac:dyDescent="0.3">
      <c r="A46" s="2" t="s">
        <v>598</v>
      </c>
      <c r="B46">
        <v>53.9</v>
      </c>
      <c r="C46">
        <v>32.6</v>
      </c>
      <c r="D46">
        <v>32.6</v>
      </c>
      <c r="E46">
        <v>315.39999999999998</v>
      </c>
      <c r="F46">
        <v>2</v>
      </c>
    </row>
    <row r="47" spans="1:8" x14ac:dyDescent="0.3">
      <c r="A47" s="2" t="s">
        <v>7</v>
      </c>
      <c r="B47">
        <v>52.8</v>
      </c>
      <c r="C47">
        <v>28.3</v>
      </c>
      <c r="D47">
        <v>31.6</v>
      </c>
      <c r="E47">
        <v>240.7</v>
      </c>
      <c r="F47">
        <v>5</v>
      </c>
    </row>
    <row r="48" spans="1:8" x14ac:dyDescent="0.3">
      <c r="A48" s="2" t="s">
        <v>8</v>
      </c>
      <c r="B48">
        <v>65.099999999999994</v>
      </c>
      <c r="C48">
        <v>38.5</v>
      </c>
      <c r="D48">
        <v>38.700000000000003</v>
      </c>
      <c r="E48">
        <v>373.1</v>
      </c>
      <c r="F48">
        <v>6.1</v>
      </c>
    </row>
    <row r="49" spans="1:13" x14ac:dyDescent="0.3">
      <c r="A49" s="2" t="s">
        <v>603</v>
      </c>
      <c r="B49">
        <v>49.1</v>
      </c>
      <c r="C49">
        <v>31</v>
      </c>
      <c r="D49">
        <v>29.3</v>
      </c>
      <c r="E49">
        <v>255.6</v>
      </c>
      <c r="F49">
        <v>1</v>
      </c>
    </row>
    <row r="51" spans="1:13" x14ac:dyDescent="0.3">
      <c r="A51" s="2" t="s">
        <v>423</v>
      </c>
      <c r="B51" s="2"/>
      <c r="C51" s="2"/>
      <c r="D51" s="2"/>
      <c r="E51" s="2"/>
      <c r="F51" s="2"/>
    </row>
    <row r="52" spans="1:13" x14ac:dyDescent="0.3">
      <c r="A52" s="2" t="s">
        <v>150</v>
      </c>
      <c r="B52" s="2" t="s">
        <v>151</v>
      </c>
      <c r="C52" s="2"/>
      <c r="D52" s="2" t="s">
        <v>152</v>
      </c>
      <c r="E52" s="2"/>
      <c r="F52" s="2"/>
      <c r="H52" s="2" t="s">
        <v>154</v>
      </c>
      <c r="I52" s="2" t="s">
        <v>537</v>
      </c>
      <c r="J52" s="2" t="s">
        <v>538</v>
      </c>
      <c r="K52" s="2" t="s">
        <v>539</v>
      </c>
      <c r="L52" s="2" t="s">
        <v>540</v>
      </c>
      <c r="M52" s="2" t="s">
        <v>541</v>
      </c>
    </row>
    <row r="53" spans="1:13" x14ac:dyDescent="0.3">
      <c r="A53" s="2"/>
      <c r="B53" s="2"/>
      <c r="C53" s="2"/>
      <c r="D53" s="2"/>
      <c r="E53" s="2"/>
      <c r="F53" s="2" t="s">
        <v>153</v>
      </c>
      <c r="H53" t="s">
        <v>6</v>
      </c>
      <c r="I53">
        <v>409</v>
      </c>
      <c r="J53">
        <v>259</v>
      </c>
      <c r="K53">
        <v>230</v>
      </c>
      <c r="L53">
        <v>433</v>
      </c>
      <c r="M53">
        <v>2</v>
      </c>
    </row>
    <row r="54" spans="1:13" x14ac:dyDescent="0.3">
      <c r="A54" s="2" t="s">
        <v>154</v>
      </c>
      <c r="B54" s="2" t="s">
        <v>155</v>
      </c>
      <c r="C54" s="2" t="s">
        <v>156</v>
      </c>
      <c r="D54" s="2" t="s">
        <v>157</v>
      </c>
      <c r="E54" s="2" t="s">
        <v>158</v>
      </c>
      <c r="F54" s="2" t="s">
        <v>159</v>
      </c>
      <c r="H54" s="2" t="s">
        <v>598</v>
      </c>
      <c r="I54">
        <v>442</v>
      </c>
      <c r="J54">
        <v>267</v>
      </c>
      <c r="K54">
        <v>267</v>
      </c>
      <c r="L54">
        <v>2584</v>
      </c>
      <c r="M54">
        <v>16</v>
      </c>
    </row>
    <row r="55" spans="1:13" x14ac:dyDescent="0.3">
      <c r="A55" t="s">
        <v>6</v>
      </c>
      <c r="B55">
        <v>50.5</v>
      </c>
      <c r="C55">
        <v>31.4</v>
      </c>
      <c r="D55">
        <v>20.6</v>
      </c>
      <c r="E55">
        <v>35</v>
      </c>
      <c r="F55">
        <v>0.3</v>
      </c>
      <c r="H55" s="2" t="s">
        <v>599</v>
      </c>
      <c r="I55">
        <v>433</v>
      </c>
      <c r="J55">
        <v>232</v>
      </c>
      <c r="K55">
        <v>259</v>
      </c>
      <c r="L55">
        <v>1972</v>
      </c>
      <c r="M55">
        <v>41</v>
      </c>
    </row>
    <row r="56" spans="1:13" x14ac:dyDescent="0.3">
      <c r="A56" s="2" t="s">
        <v>598</v>
      </c>
      <c r="B56">
        <v>50.7</v>
      </c>
      <c r="C56">
        <v>32.5</v>
      </c>
      <c r="D56">
        <v>31.5</v>
      </c>
      <c r="E56">
        <v>222.4</v>
      </c>
      <c r="F56">
        <v>9</v>
      </c>
      <c r="H56" s="2" t="s">
        <v>8</v>
      </c>
      <c r="I56">
        <f t="shared" ref="I56" si="0">ROUND(B48*1000/116,0)</f>
        <v>561</v>
      </c>
      <c r="J56">
        <f t="shared" ref="J56:M56" si="1">ROUND(C48*1000/116,0)</f>
        <v>332</v>
      </c>
      <c r="K56">
        <f t="shared" si="1"/>
        <v>334</v>
      </c>
      <c r="L56">
        <f t="shared" si="1"/>
        <v>3216</v>
      </c>
      <c r="M56">
        <f t="shared" si="1"/>
        <v>53</v>
      </c>
    </row>
    <row r="57" spans="1:13" x14ac:dyDescent="0.3">
      <c r="A57" s="2" t="s">
        <v>7</v>
      </c>
      <c r="B57">
        <v>48.9</v>
      </c>
      <c r="C57">
        <v>31.6</v>
      </c>
      <c r="D57">
        <v>31.5</v>
      </c>
      <c r="E57">
        <v>336.4</v>
      </c>
      <c r="F57">
        <v>9.1999999999999993</v>
      </c>
      <c r="H57" s="2" t="s">
        <v>603</v>
      </c>
      <c r="I57">
        <f>ROUND(B49*1000/116,0)</f>
        <v>423</v>
      </c>
      <c r="J57">
        <f>ROUND(C49*1000/116,0)</f>
        <v>267</v>
      </c>
      <c r="K57">
        <f>ROUND(D49*1000/116,0)</f>
        <v>253</v>
      </c>
      <c r="L57">
        <f>ROUND(E49*1000/116,0)</f>
        <v>2203</v>
      </c>
      <c r="M57">
        <f>ROUND(F49*1000/116,0)</f>
        <v>9</v>
      </c>
    </row>
    <row r="58" spans="1:13" x14ac:dyDescent="0.3">
      <c r="A58" s="2" t="s">
        <v>8</v>
      </c>
      <c r="B58">
        <v>71.8</v>
      </c>
      <c r="C58">
        <v>43.8</v>
      </c>
      <c r="D58">
        <v>38.700000000000003</v>
      </c>
      <c r="E58">
        <v>326</v>
      </c>
      <c r="F58">
        <v>9.3000000000000007</v>
      </c>
    </row>
    <row r="60" spans="1:13" x14ac:dyDescent="0.3">
      <c r="A60" s="2" t="s">
        <v>600</v>
      </c>
      <c r="B60" t="s">
        <v>602</v>
      </c>
      <c r="D60" t="s">
        <v>604</v>
      </c>
      <c r="H60" s="2" t="s">
        <v>600</v>
      </c>
      <c r="I60" t="s">
        <v>601</v>
      </c>
    </row>
    <row r="61" spans="1:13" x14ac:dyDescent="0.3">
      <c r="A61" s="2" t="s">
        <v>154</v>
      </c>
      <c r="B61" s="2" t="s">
        <v>537</v>
      </c>
      <c r="C61" s="2" t="s">
        <v>538</v>
      </c>
      <c r="D61" s="2" t="s">
        <v>539</v>
      </c>
      <c r="E61" s="2" t="s">
        <v>540</v>
      </c>
      <c r="F61" s="2" t="s">
        <v>541</v>
      </c>
      <c r="H61" s="2" t="s">
        <v>154</v>
      </c>
      <c r="I61" s="2" t="s">
        <v>537</v>
      </c>
      <c r="J61" s="2" t="s">
        <v>538</v>
      </c>
      <c r="K61" s="2" t="s">
        <v>539</v>
      </c>
      <c r="L61" s="2" t="s">
        <v>540</v>
      </c>
      <c r="M61" s="2" t="s">
        <v>541</v>
      </c>
    </row>
    <row r="62" spans="1:13" x14ac:dyDescent="0.3">
      <c r="A62" t="s">
        <v>6</v>
      </c>
      <c r="B62">
        <v>47.8</v>
      </c>
      <c r="C62">
        <v>41.2</v>
      </c>
      <c r="D62">
        <v>29.4</v>
      </c>
      <c r="E62">
        <v>48.4</v>
      </c>
      <c r="F62">
        <v>0.3</v>
      </c>
      <c r="H62" t="s">
        <v>6</v>
      </c>
      <c r="I62">
        <v>49</v>
      </c>
      <c r="J62">
        <v>42</v>
      </c>
      <c r="K62">
        <v>30</v>
      </c>
      <c r="L62">
        <v>49</v>
      </c>
      <c r="M62">
        <v>0.3</v>
      </c>
    </row>
    <row r="63" spans="1:13" x14ac:dyDescent="0.3">
      <c r="A63" s="2" t="s">
        <v>598</v>
      </c>
      <c r="B63">
        <v>289.3</v>
      </c>
      <c r="C63">
        <v>185</v>
      </c>
      <c r="D63">
        <v>188.6</v>
      </c>
      <c r="E63">
        <v>458</v>
      </c>
      <c r="F63">
        <v>6.2</v>
      </c>
      <c r="H63" s="2" t="s">
        <v>598</v>
      </c>
      <c r="I63">
        <v>295</v>
      </c>
      <c r="J63">
        <v>189</v>
      </c>
      <c r="K63">
        <v>192</v>
      </c>
      <c r="L63">
        <v>467</v>
      </c>
      <c r="M63">
        <v>6</v>
      </c>
    </row>
    <row r="64" spans="1:13" x14ac:dyDescent="0.3">
      <c r="A64" s="2" t="s">
        <v>7</v>
      </c>
      <c r="B64">
        <v>255.1</v>
      </c>
      <c r="C64">
        <v>177.3</v>
      </c>
      <c r="D64">
        <v>205.5</v>
      </c>
      <c r="E64">
        <v>365</v>
      </c>
      <c r="F64">
        <v>19.5</v>
      </c>
      <c r="H64" s="2" t="s">
        <v>7</v>
      </c>
      <c r="I64">
        <v>260</v>
      </c>
      <c r="J64">
        <v>181</v>
      </c>
      <c r="K64">
        <v>210</v>
      </c>
      <c r="L64">
        <v>372</v>
      </c>
      <c r="M64">
        <v>20</v>
      </c>
    </row>
    <row r="85" spans="1:9" x14ac:dyDescent="0.3">
      <c r="A85" t="s">
        <v>10</v>
      </c>
      <c r="B85" t="s">
        <v>11</v>
      </c>
      <c r="C85" t="s">
        <v>17</v>
      </c>
      <c r="D85" t="s">
        <v>13</v>
      </c>
      <c r="E85" t="s">
        <v>14</v>
      </c>
      <c r="F85" t="s">
        <v>119</v>
      </c>
      <c r="G85" t="s">
        <v>15</v>
      </c>
      <c r="H85" t="s">
        <v>96</v>
      </c>
      <c r="I85" t="s">
        <v>19</v>
      </c>
    </row>
    <row r="86" spans="1:9" x14ac:dyDescent="0.3">
      <c r="A86" s="2" t="s">
        <v>6</v>
      </c>
      <c r="B86">
        <v>45</v>
      </c>
      <c r="C86">
        <v>103</v>
      </c>
      <c r="D86">
        <v>114</v>
      </c>
      <c r="E86">
        <v>112</v>
      </c>
      <c r="F86">
        <v>111</v>
      </c>
      <c r="G86">
        <v>111</v>
      </c>
      <c r="H86">
        <v>110</v>
      </c>
      <c r="I86">
        <v>110</v>
      </c>
    </row>
    <row r="87" spans="1:9" ht="28" x14ac:dyDescent="0.3">
      <c r="A87" s="3" t="s">
        <v>25</v>
      </c>
      <c r="B87">
        <v>44.8</v>
      </c>
      <c r="C87">
        <v>99</v>
      </c>
      <c r="D87">
        <v>172</v>
      </c>
      <c r="E87">
        <v>195</v>
      </c>
      <c r="F87">
        <v>208</v>
      </c>
      <c r="G87">
        <v>238</v>
      </c>
      <c r="H87">
        <v>204</v>
      </c>
      <c r="I87">
        <v>211</v>
      </c>
    </row>
    <row r="88" spans="1:9" ht="14" customHeight="1" x14ac:dyDescent="0.3">
      <c r="A88" s="4" t="s">
        <v>24</v>
      </c>
      <c r="B88">
        <v>46</v>
      </c>
      <c r="C88">
        <v>93</v>
      </c>
      <c r="D88">
        <v>168</v>
      </c>
      <c r="E88">
        <v>277</v>
      </c>
      <c r="F88">
        <v>417</v>
      </c>
      <c r="G88">
        <v>514</v>
      </c>
      <c r="H88">
        <v>544</v>
      </c>
      <c r="I88">
        <v>432</v>
      </c>
    </row>
    <row r="89" spans="1:9" x14ac:dyDescent="0.3">
      <c r="A89" s="2" t="s">
        <v>7</v>
      </c>
      <c r="B89">
        <v>45</v>
      </c>
      <c r="C89">
        <v>95</v>
      </c>
      <c r="D89">
        <v>170</v>
      </c>
      <c r="E89">
        <v>260</v>
      </c>
      <c r="F89">
        <v>378</v>
      </c>
      <c r="G89">
        <v>520</v>
      </c>
      <c r="H89">
        <v>638</v>
      </c>
      <c r="I89">
        <v>782</v>
      </c>
    </row>
    <row r="90" spans="1:9" x14ac:dyDescent="0.3">
      <c r="A90" s="2" t="s">
        <v>8</v>
      </c>
      <c r="B90">
        <v>65</v>
      </c>
      <c r="C90">
        <v>128</v>
      </c>
      <c r="D90">
        <v>247</v>
      </c>
      <c r="E90">
        <v>370</v>
      </c>
      <c r="F90">
        <v>605</v>
      </c>
      <c r="G90">
        <v>834</v>
      </c>
      <c r="H90">
        <v>1045</v>
      </c>
      <c r="I90">
        <v>1224</v>
      </c>
    </row>
    <row r="92" spans="1:9" x14ac:dyDescent="0.3">
      <c r="A92" t="s">
        <v>10</v>
      </c>
      <c r="B92" t="s">
        <v>11</v>
      </c>
      <c r="C92" t="s">
        <v>17</v>
      </c>
      <c r="D92" t="s">
        <v>13</v>
      </c>
      <c r="E92" t="s">
        <v>14</v>
      </c>
      <c r="F92" t="s">
        <v>119</v>
      </c>
      <c r="G92" t="s">
        <v>15</v>
      </c>
      <c r="H92" t="s">
        <v>96</v>
      </c>
      <c r="I92" t="s">
        <v>19</v>
      </c>
    </row>
    <row r="93" spans="1:9" x14ac:dyDescent="0.3">
      <c r="A93" s="2" t="s">
        <v>6</v>
      </c>
      <c r="B93">
        <v>2.5</v>
      </c>
      <c r="C93">
        <v>2.5</v>
      </c>
      <c r="D93">
        <v>4.4000000000000004</v>
      </c>
      <c r="E93">
        <v>8.8000000000000007</v>
      </c>
      <c r="F93">
        <v>17.7</v>
      </c>
      <c r="G93">
        <v>35</v>
      </c>
      <c r="H93">
        <v>71</v>
      </c>
      <c r="I93">
        <v>141</v>
      </c>
    </row>
    <row r="94" spans="1:9" ht="28" x14ac:dyDescent="0.3">
      <c r="A94" s="3" t="s">
        <v>25</v>
      </c>
      <c r="B94">
        <v>2.4700000000000002</v>
      </c>
      <c r="C94">
        <v>2.6</v>
      </c>
      <c r="D94">
        <v>2.92</v>
      </c>
      <c r="E94">
        <v>5.0999999999999996</v>
      </c>
      <c r="F94">
        <v>9.5</v>
      </c>
      <c r="G94">
        <v>16.5</v>
      </c>
      <c r="H94">
        <v>38</v>
      </c>
      <c r="I94">
        <v>74</v>
      </c>
    </row>
    <row r="95" spans="1:9" ht="28" x14ac:dyDescent="0.3">
      <c r="A95" s="4" t="s">
        <v>24</v>
      </c>
      <c r="B95">
        <v>2.4</v>
      </c>
      <c r="C95">
        <v>2.77</v>
      </c>
      <c r="D95">
        <v>2.98</v>
      </c>
      <c r="E95">
        <v>3.6</v>
      </c>
      <c r="F95">
        <v>4.7</v>
      </c>
      <c r="G95">
        <v>7.6</v>
      </c>
      <c r="H95">
        <v>14.3</v>
      </c>
      <c r="I95">
        <v>36.1</v>
      </c>
    </row>
    <row r="96" spans="1:9" x14ac:dyDescent="0.3">
      <c r="A96" s="2" t="s">
        <v>7</v>
      </c>
      <c r="B96">
        <v>2.4500000000000002</v>
      </c>
      <c r="C96">
        <v>2.74</v>
      </c>
      <c r="D96">
        <v>2.93</v>
      </c>
      <c r="E96">
        <v>3.8</v>
      </c>
      <c r="F96">
        <v>5.3</v>
      </c>
      <c r="G96">
        <v>7.5</v>
      </c>
      <c r="H96">
        <v>12.3</v>
      </c>
      <c r="I96">
        <v>19.899999999999999</v>
      </c>
    </row>
    <row r="97" spans="1:9" x14ac:dyDescent="0.3">
      <c r="A97" s="2" t="s">
        <v>8</v>
      </c>
      <c r="B97">
        <v>1.7</v>
      </c>
      <c r="C97">
        <v>2</v>
      </c>
      <c r="D97">
        <v>2</v>
      </c>
      <c r="E97">
        <v>2.68</v>
      </c>
      <c r="F97">
        <v>3.25</v>
      </c>
      <c r="G97">
        <v>4.7</v>
      </c>
      <c r="H97">
        <v>7.5</v>
      </c>
      <c r="I97">
        <v>12.8</v>
      </c>
    </row>
  </sheetData>
  <mergeCells count="22">
    <mergeCell ref="B22:I23"/>
    <mergeCell ref="A1:I1"/>
    <mergeCell ref="A2:I2"/>
    <mergeCell ref="G30:H34"/>
    <mergeCell ref="J24:K25"/>
    <mergeCell ref="A20:A21"/>
    <mergeCell ref="A22:A23"/>
    <mergeCell ref="A24:A25"/>
    <mergeCell ref="A26:A27"/>
    <mergeCell ref="A28:A29"/>
    <mergeCell ref="J11:K12"/>
    <mergeCell ref="A3:G3"/>
    <mergeCell ref="A7:A8"/>
    <mergeCell ref="A11:A12"/>
    <mergeCell ref="A13:A14"/>
    <mergeCell ref="A15:A16"/>
    <mergeCell ref="A9:A10"/>
    <mergeCell ref="Q3:S3"/>
    <mergeCell ref="L1:P5"/>
    <mergeCell ref="L6:P9"/>
    <mergeCell ref="Q9:S9"/>
    <mergeCell ref="L10:P15"/>
  </mergeCells>
  <phoneticPr fontId="1" type="noConversion"/>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063BA-CA73-4F41-8E98-EFA7A1DAF442}">
  <sheetPr codeName="Sheet8"/>
  <dimension ref="A1:AI286"/>
  <sheetViews>
    <sheetView topLeftCell="A37" zoomScale="70" zoomScaleNormal="70" workbookViewId="0">
      <selection activeCell="AF38" sqref="AF38"/>
    </sheetView>
  </sheetViews>
  <sheetFormatPr defaultRowHeight="14" x14ac:dyDescent="0.3"/>
  <sheetData>
    <row r="1" spans="1:35" x14ac:dyDescent="0.3">
      <c r="A1" t="s">
        <v>276</v>
      </c>
      <c r="B1" t="s">
        <v>260</v>
      </c>
      <c r="C1" t="s">
        <v>289</v>
      </c>
      <c r="N1" t="s">
        <v>281</v>
      </c>
      <c r="O1" t="s">
        <v>290</v>
      </c>
      <c r="R1" t="s">
        <v>295</v>
      </c>
      <c r="U1" t="s">
        <v>296</v>
      </c>
      <c r="X1" t="s">
        <v>304</v>
      </c>
      <c r="Y1" t="s">
        <v>303</v>
      </c>
      <c r="Z1" t="s">
        <v>305</v>
      </c>
      <c r="AA1" t="s">
        <v>253</v>
      </c>
    </row>
    <row r="2" spans="1:35" x14ac:dyDescent="0.3">
      <c r="B2" t="s">
        <v>261</v>
      </c>
      <c r="C2">
        <v>526</v>
      </c>
      <c r="N2" t="s">
        <v>282</v>
      </c>
      <c r="O2">
        <v>807</v>
      </c>
      <c r="Q2" t="s">
        <v>293</v>
      </c>
      <c r="R2">
        <v>429</v>
      </c>
      <c r="T2">
        <v>0</v>
      </c>
      <c r="U2">
        <v>380</v>
      </c>
      <c r="W2" t="s">
        <v>291</v>
      </c>
      <c r="X2">
        <v>0</v>
      </c>
      <c r="Y2">
        <v>0</v>
      </c>
      <c r="Z2">
        <f>X2+Y2</f>
        <v>0</v>
      </c>
    </row>
    <row r="3" spans="1:35" x14ac:dyDescent="0.3">
      <c r="B3" t="s">
        <v>262</v>
      </c>
      <c r="C3">
        <v>599</v>
      </c>
      <c r="N3" t="s">
        <v>267</v>
      </c>
      <c r="O3">
        <v>452</v>
      </c>
      <c r="Q3" t="s">
        <v>291</v>
      </c>
      <c r="R3">
        <v>1122</v>
      </c>
      <c r="T3">
        <v>0</v>
      </c>
      <c r="U3">
        <v>2344</v>
      </c>
      <c r="W3" t="s">
        <v>260</v>
      </c>
      <c r="X3">
        <v>0</v>
      </c>
      <c r="Y3">
        <v>471</v>
      </c>
      <c r="Z3">
        <f t="shared" ref="Z3:Z66" si="0">X3+Y3</f>
        <v>471</v>
      </c>
      <c r="AI3" t="s">
        <v>234</v>
      </c>
    </row>
    <row r="4" spans="1:35" x14ac:dyDescent="0.3">
      <c r="B4" t="s">
        <v>262</v>
      </c>
      <c r="C4">
        <v>620</v>
      </c>
      <c r="N4" t="s">
        <v>283</v>
      </c>
      <c r="O4">
        <v>1004</v>
      </c>
      <c r="Q4" t="s">
        <v>267</v>
      </c>
      <c r="R4">
        <v>2260</v>
      </c>
      <c r="T4">
        <v>0</v>
      </c>
      <c r="U4">
        <v>2294</v>
      </c>
      <c r="W4" t="s">
        <v>261</v>
      </c>
      <c r="X4">
        <v>0</v>
      </c>
      <c r="Y4">
        <v>471</v>
      </c>
      <c r="Z4">
        <f t="shared" si="0"/>
        <v>471</v>
      </c>
    </row>
    <row r="5" spans="1:35" x14ac:dyDescent="0.3">
      <c r="B5" t="s">
        <v>263</v>
      </c>
      <c r="C5">
        <v>1455</v>
      </c>
      <c r="N5" t="s">
        <v>284</v>
      </c>
      <c r="O5">
        <v>1735</v>
      </c>
      <c r="Q5" t="s">
        <v>283</v>
      </c>
      <c r="R5">
        <v>2256</v>
      </c>
      <c r="T5">
        <v>0</v>
      </c>
      <c r="U5">
        <v>2268</v>
      </c>
      <c r="W5" t="s">
        <v>261</v>
      </c>
      <c r="X5">
        <v>0</v>
      </c>
      <c r="Y5">
        <v>420</v>
      </c>
      <c r="Z5">
        <f t="shared" si="0"/>
        <v>420</v>
      </c>
    </row>
    <row r="6" spans="1:35" x14ac:dyDescent="0.3">
      <c r="B6" t="s">
        <v>261</v>
      </c>
      <c r="C6">
        <v>1043</v>
      </c>
      <c r="N6" t="s">
        <v>267</v>
      </c>
      <c r="O6">
        <v>608</v>
      </c>
      <c r="Q6" t="s">
        <v>270</v>
      </c>
      <c r="R6">
        <v>2257</v>
      </c>
      <c r="T6">
        <v>0</v>
      </c>
      <c r="U6">
        <v>2275</v>
      </c>
      <c r="W6" t="s">
        <v>262</v>
      </c>
      <c r="X6">
        <v>0</v>
      </c>
      <c r="Y6">
        <v>923</v>
      </c>
      <c r="Z6">
        <f t="shared" si="0"/>
        <v>923</v>
      </c>
    </row>
    <row r="7" spans="1:35" x14ac:dyDescent="0.3">
      <c r="B7" t="s">
        <v>264</v>
      </c>
      <c r="C7">
        <v>420</v>
      </c>
      <c r="N7" t="s">
        <v>263</v>
      </c>
      <c r="O7">
        <v>1174</v>
      </c>
      <c r="Q7" t="s">
        <v>284</v>
      </c>
      <c r="R7">
        <v>642</v>
      </c>
      <c r="T7">
        <v>0</v>
      </c>
      <c r="U7">
        <v>2275</v>
      </c>
      <c r="W7" t="s">
        <v>272</v>
      </c>
      <c r="X7">
        <v>0</v>
      </c>
      <c r="Y7">
        <v>1546</v>
      </c>
      <c r="Z7">
        <f t="shared" si="0"/>
        <v>1546</v>
      </c>
    </row>
    <row r="8" spans="1:35" x14ac:dyDescent="0.3">
      <c r="B8" t="s">
        <v>265</v>
      </c>
      <c r="C8">
        <v>940</v>
      </c>
      <c r="N8" t="s">
        <v>260</v>
      </c>
      <c r="O8">
        <v>1775</v>
      </c>
      <c r="Q8">
        <v>0</v>
      </c>
      <c r="R8">
        <v>0</v>
      </c>
      <c r="T8">
        <v>0</v>
      </c>
      <c r="U8">
        <v>2270</v>
      </c>
      <c r="W8" t="s">
        <v>261</v>
      </c>
      <c r="X8">
        <v>0</v>
      </c>
      <c r="Y8">
        <v>462</v>
      </c>
      <c r="Z8">
        <f t="shared" si="0"/>
        <v>462</v>
      </c>
    </row>
    <row r="9" spans="1:35" x14ac:dyDescent="0.3">
      <c r="B9" t="s">
        <v>264</v>
      </c>
      <c r="C9">
        <v>1542</v>
      </c>
      <c r="N9" t="s">
        <v>272</v>
      </c>
      <c r="O9">
        <v>1459</v>
      </c>
      <c r="Q9">
        <v>0</v>
      </c>
      <c r="R9">
        <v>0</v>
      </c>
      <c r="T9">
        <v>0</v>
      </c>
      <c r="U9">
        <v>2273</v>
      </c>
      <c r="W9" t="s">
        <v>281</v>
      </c>
      <c r="X9">
        <v>0</v>
      </c>
      <c r="Y9">
        <v>473</v>
      </c>
      <c r="Z9">
        <f t="shared" si="0"/>
        <v>473</v>
      </c>
    </row>
    <row r="10" spans="1:35" x14ac:dyDescent="0.3">
      <c r="B10" t="s">
        <v>262</v>
      </c>
      <c r="C10">
        <v>1469</v>
      </c>
      <c r="N10" t="s">
        <v>285</v>
      </c>
      <c r="O10">
        <v>1170</v>
      </c>
      <c r="Q10" t="s">
        <v>284</v>
      </c>
      <c r="R10">
        <v>640</v>
      </c>
      <c r="T10">
        <v>0</v>
      </c>
      <c r="U10">
        <v>2276</v>
      </c>
      <c r="W10" t="s">
        <v>268</v>
      </c>
      <c r="X10">
        <v>0</v>
      </c>
      <c r="Y10">
        <v>1005</v>
      </c>
      <c r="Z10">
        <f t="shared" si="0"/>
        <v>1005</v>
      </c>
    </row>
    <row r="11" spans="1:35" x14ac:dyDescent="0.3">
      <c r="B11" t="s">
        <v>266</v>
      </c>
      <c r="C11">
        <v>1194</v>
      </c>
      <c r="N11" t="s">
        <v>270</v>
      </c>
      <c r="O11">
        <v>1834</v>
      </c>
      <c r="Q11" t="s">
        <v>267</v>
      </c>
      <c r="R11">
        <v>2248</v>
      </c>
      <c r="T11">
        <v>0</v>
      </c>
      <c r="U11">
        <v>2270</v>
      </c>
      <c r="W11" t="s">
        <v>268</v>
      </c>
      <c r="X11">
        <v>0</v>
      </c>
      <c r="Y11">
        <v>1460</v>
      </c>
      <c r="Z11">
        <f t="shared" si="0"/>
        <v>1460</v>
      </c>
    </row>
    <row r="12" spans="1:35" x14ac:dyDescent="0.3">
      <c r="B12" t="s">
        <v>267</v>
      </c>
      <c r="C12">
        <v>1178</v>
      </c>
      <c r="N12" t="s">
        <v>263</v>
      </c>
      <c r="O12">
        <v>1811</v>
      </c>
      <c r="Q12" t="s">
        <v>270</v>
      </c>
      <c r="R12">
        <v>2247</v>
      </c>
      <c r="T12">
        <v>0</v>
      </c>
      <c r="U12">
        <v>2256</v>
      </c>
      <c r="W12" t="s">
        <v>264</v>
      </c>
      <c r="X12">
        <v>0</v>
      </c>
      <c r="Y12">
        <v>1544</v>
      </c>
      <c r="Z12">
        <f t="shared" si="0"/>
        <v>1544</v>
      </c>
    </row>
    <row r="13" spans="1:35" x14ac:dyDescent="0.3">
      <c r="B13" t="s">
        <v>268</v>
      </c>
      <c r="C13">
        <v>1225</v>
      </c>
      <c r="N13" t="s">
        <v>263</v>
      </c>
      <c r="O13">
        <v>1677</v>
      </c>
      <c r="Q13" t="s">
        <v>267</v>
      </c>
      <c r="R13">
        <v>2255</v>
      </c>
      <c r="T13">
        <v>0</v>
      </c>
      <c r="U13">
        <v>2279</v>
      </c>
      <c r="W13" t="s">
        <v>267</v>
      </c>
      <c r="X13">
        <v>0</v>
      </c>
      <c r="Y13">
        <v>1012</v>
      </c>
      <c r="Z13">
        <f t="shared" si="0"/>
        <v>1012</v>
      </c>
    </row>
    <row r="14" spans="1:35" x14ac:dyDescent="0.3">
      <c r="B14" t="s">
        <v>268</v>
      </c>
      <c r="C14">
        <v>1296</v>
      </c>
      <c r="N14" t="s">
        <v>265</v>
      </c>
      <c r="O14">
        <v>1670</v>
      </c>
      <c r="Q14" t="s">
        <v>282</v>
      </c>
      <c r="R14">
        <v>470</v>
      </c>
      <c r="T14">
        <v>0</v>
      </c>
      <c r="U14">
        <v>2270</v>
      </c>
      <c r="W14" t="s">
        <v>264</v>
      </c>
      <c r="X14">
        <v>0</v>
      </c>
      <c r="Y14">
        <v>963</v>
      </c>
      <c r="Z14">
        <f t="shared" si="0"/>
        <v>963</v>
      </c>
    </row>
    <row r="15" spans="1:35" x14ac:dyDescent="0.3">
      <c r="B15" t="s">
        <v>269</v>
      </c>
      <c r="C15">
        <v>1430</v>
      </c>
      <c r="N15" t="s">
        <v>281</v>
      </c>
      <c r="O15">
        <v>1628</v>
      </c>
      <c r="Q15">
        <v>0</v>
      </c>
      <c r="R15">
        <v>0</v>
      </c>
      <c r="T15">
        <v>0</v>
      </c>
      <c r="U15">
        <v>2279</v>
      </c>
      <c r="W15" t="s">
        <v>264</v>
      </c>
      <c r="X15">
        <v>0</v>
      </c>
      <c r="Y15">
        <v>1436</v>
      </c>
      <c r="Z15">
        <f t="shared" si="0"/>
        <v>1436</v>
      </c>
    </row>
    <row r="16" spans="1:35" x14ac:dyDescent="0.3">
      <c r="B16" t="s">
        <v>270</v>
      </c>
      <c r="C16">
        <v>1205</v>
      </c>
      <c r="N16" t="s">
        <v>266</v>
      </c>
      <c r="O16">
        <v>1421</v>
      </c>
      <c r="Q16">
        <v>0</v>
      </c>
      <c r="R16">
        <v>0</v>
      </c>
      <c r="T16">
        <v>0</v>
      </c>
      <c r="U16">
        <v>2267</v>
      </c>
      <c r="W16" t="s">
        <v>264</v>
      </c>
      <c r="X16">
        <v>0</v>
      </c>
      <c r="Y16">
        <v>1510</v>
      </c>
      <c r="Z16">
        <f t="shared" si="0"/>
        <v>1510</v>
      </c>
    </row>
    <row r="17" spans="2:26" x14ac:dyDescent="0.3">
      <c r="B17" t="s">
        <v>271</v>
      </c>
      <c r="C17">
        <v>1734</v>
      </c>
      <c r="N17" t="s">
        <v>285</v>
      </c>
      <c r="O17">
        <v>1478</v>
      </c>
      <c r="Q17" t="s">
        <v>288</v>
      </c>
      <c r="R17">
        <v>87</v>
      </c>
      <c r="T17">
        <v>0</v>
      </c>
      <c r="U17">
        <v>2251</v>
      </c>
      <c r="W17" t="s">
        <v>285</v>
      </c>
      <c r="X17">
        <v>0</v>
      </c>
      <c r="Y17">
        <v>1321</v>
      </c>
      <c r="Z17">
        <f t="shared" si="0"/>
        <v>1321</v>
      </c>
    </row>
    <row r="18" spans="2:26" x14ac:dyDescent="0.3">
      <c r="B18" t="s">
        <v>264</v>
      </c>
      <c r="C18">
        <v>1608</v>
      </c>
      <c r="N18" t="s">
        <v>263</v>
      </c>
      <c r="O18">
        <v>1759</v>
      </c>
      <c r="Q18" t="s">
        <v>267</v>
      </c>
      <c r="R18">
        <v>2241</v>
      </c>
      <c r="T18">
        <v>0</v>
      </c>
      <c r="U18">
        <v>2265</v>
      </c>
      <c r="W18" t="s">
        <v>272</v>
      </c>
      <c r="X18">
        <v>0</v>
      </c>
      <c r="Y18">
        <v>1043</v>
      </c>
      <c r="Z18">
        <f t="shared" si="0"/>
        <v>1043</v>
      </c>
    </row>
    <row r="19" spans="2:26" x14ac:dyDescent="0.3">
      <c r="B19" t="s">
        <v>272</v>
      </c>
      <c r="C19">
        <v>1320</v>
      </c>
      <c r="N19" t="s">
        <v>262</v>
      </c>
      <c r="O19">
        <v>1985</v>
      </c>
      <c r="Q19" t="s">
        <v>283</v>
      </c>
      <c r="R19">
        <v>2240</v>
      </c>
      <c r="T19">
        <v>0</v>
      </c>
      <c r="U19">
        <v>2260</v>
      </c>
      <c r="W19" t="s">
        <v>268</v>
      </c>
      <c r="X19">
        <v>0</v>
      </c>
      <c r="Y19">
        <v>1653</v>
      </c>
      <c r="Z19">
        <f t="shared" si="0"/>
        <v>1653</v>
      </c>
    </row>
    <row r="20" spans="2:26" x14ac:dyDescent="0.3">
      <c r="B20" t="s">
        <v>264</v>
      </c>
      <c r="C20">
        <v>1267</v>
      </c>
      <c r="N20" t="s">
        <v>273</v>
      </c>
      <c r="O20">
        <v>1748</v>
      </c>
      <c r="Q20" t="s">
        <v>267</v>
      </c>
      <c r="R20">
        <v>2249</v>
      </c>
      <c r="T20">
        <v>0</v>
      </c>
      <c r="U20">
        <v>1909</v>
      </c>
      <c r="W20" t="s">
        <v>271</v>
      </c>
      <c r="X20">
        <v>0</v>
      </c>
      <c r="Y20">
        <v>1392</v>
      </c>
      <c r="Z20">
        <f t="shared" si="0"/>
        <v>1392</v>
      </c>
    </row>
    <row r="21" spans="2:26" x14ac:dyDescent="0.3">
      <c r="B21" t="s">
        <v>265</v>
      </c>
      <c r="C21">
        <v>1474</v>
      </c>
      <c r="N21" t="s">
        <v>271</v>
      </c>
      <c r="O21">
        <v>1514</v>
      </c>
      <c r="Q21" t="s">
        <v>275</v>
      </c>
      <c r="R21">
        <v>991</v>
      </c>
      <c r="W21" t="s">
        <v>270</v>
      </c>
      <c r="X21">
        <v>0</v>
      </c>
      <c r="Y21">
        <v>1313</v>
      </c>
      <c r="Z21">
        <f t="shared" si="0"/>
        <v>1313</v>
      </c>
    </row>
    <row r="22" spans="2:26" x14ac:dyDescent="0.3">
      <c r="B22" t="s">
        <v>264</v>
      </c>
      <c r="C22">
        <v>1478</v>
      </c>
      <c r="N22" t="s">
        <v>267</v>
      </c>
      <c r="O22">
        <v>1777</v>
      </c>
      <c r="Q22">
        <v>0</v>
      </c>
      <c r="R22">
        <v>0</v>
      </c>
      <c r="W22" t="s">
        <v>266</v>
      </c>
      <c r="X22">
        <v>0</v>
      </c>
      <c r="Y22">
        <v>1492</v>
      </c>
      <c r="Z22">
        <f t="shared" si="0"/>
        <v>1492</v>
      </c>
    </row>
    <row r="23" spans="2:26" x14ac:dyDescent="0.3">
      <c r="B23" t="s">
        <v>265</v>
      </c>
      <c r="C23">
        <v>1385</v>
      </c>
      <c r="N23" t="s">
        <v>264</v>
      </c>
      <c r="O23">
        <v>1840</v>
      </c>
      <c r="Q23">
        <v>0</v>
      </c>
      <c r="R23">
        <v>0</v>
      </c>
      <c r="W23" t="s">
        <v>297</v>
      </c>
      <c r="X23">
        <v>0</v>
      </c>
      <c r="Y23">
        <v>1588</v>
      </c>
      <c r="Z23">
        <f t="shared" si="0"/>
        <v>1588</v>
      </c>
    </row>
    <row r="24" spans="2:26" x14ac:dyDescent="0.3">
      <c r="B24" t="s">
        <v>264</v>
      </c>
      <c r="C24">
        <v>1564</v>
      </c>
      <c r="N24" t="s">
        <v>267</v>
      </c>
      <c r="O24">
        <v>1605</v>
      </c>
      <c r="Q24">
        <v>0</v>
      </c>
      <c r="R24">
        <v>0</v>
      </c>
      <c r="W24" t="s">
        <v>272</v>
      </c>
      <c r="X24">
        <v>0</v>
      </c>
      <c r="Y24">
        <v>1509</v>
      </c>
      <c r="Z24">
        <f t="shared" si="0"/>
        <v>1509</v>
      </c>
    </row>
    <row r="25" spans="2:26" x14ac:dyDescent="0.3">
      <c r="B25" t="s">
        <v>266</v>
      </c>
      <c r="C25">
        <v>1140</v>
      </c>
      <c r="N25" t="s">
        <v>286</v>
      </c>
      <c r="O25">
        <v>1666</v>
      </c>
      <c r="Q25" t="s">
        <v>267</v>
      </c>
      <c r="R25">
        <v>2196</v>
      </c>
      <c r="W25" t="s">
        <v>268</v>
      </c>
      <c r="X25">
        <v>0</v>
      </c>
      <c r="Y25">
        <v>1560</v>
      </c>
      <c r="Z25">
        <f t="shared" si="0"/>
        <v>1560</v>
      </c>
    </row>
    <row r="26" spans="2:26" x14ac:dyDescent="0.3">
      <c r="B26" t="s">
        <v>266</v>
      </c>
      <c r="C26">
        <v>1832</v>
      </c>
      <c r="N26" t="s">
        <v>287</v>
      </c>
      <c r="O26">
        <v>954</v>
      </c>
      <c r="Q26" t="s">
        <v>283</v>
      </c>
      <c r="R26">
        <v>2240</v>
      </c>
      <c r="W26" t="s">
        <v>271</v>
      </c>
      <c r="X26">
        <v>0</v>
      </c>
      <c r="Y26">
        <v>1391</v>
      </c>
      <c r="Z26">
        <f t="shared" si="0"/>
        <v>1391</v>
      </c>
    </row>
    <row r="27" spans="2:26" x14ac:dyDescent="0.3">
      <c r="B27" t="s">
        <v>265</v>
      </c>
      <c r="C27">
        <v>1756</v>
      </c>
      <c r="N27" t="s">
        <v>287</v>
      </c>
      <c r="O27">
        <v>390</v>
      </c>
      <c r="Q27" t="s">
        <v>267</v>
      </c>
      <c r="R27">
        <v>2248</v>
      </c>
      <c r="W27" t="s">
        <v>298</v>
      </c>
      <c r="X27">
        <v>0</v>
      </c>
      <c r="Y27">
        <v>1593</v>
      </c>
      <c r="Z27">
        <f t="shared" si="0"/>
        <v>1593</v>
      </c>
    </row>
    <row r="28" spans="2:26" x14ac:dyDescent="0.3">
      <c r="B28" t="s">
        <v>272</v>
      </c>
      <c r="C28">
        <v>1778</v>
      </c>
      <c r="N28" t="s">
        <v>288</v>
      </c>
      <c r="O28">
        <v>417</v>
      </c>
      <c r="Q28" t="s">
        <v>286</v>
      </c>
      <c r="R28">
        <v>1112</v>
      </c>
      <c r="W28" t="s">
        <v>262</v>
      </c>
      <c r="X28">
        <v>0</v>
      </c>
      <c r="Y28">
        <v>1728</v>
      </c>
      <c r="Z28">
        <f t="shared" si="0"/>
        <v>1728</v>
      </c>
    </row>
    <row r="29" spans="2:26" x14ac:dyDescent="0.3">
      <c r="B29" t="s">
        <v>263</v>
      </c>
      <c r="C29">
        <v>1496</v>
      </c>
      <c r="O29">
        <v>79</v>
      </c>
      <c r="Q29">
        <v>0</v>
      </c>
      <c r="R29">
        <v>0</v>
      </c>
      <c r="W29" t="s">
        <v>297</v>
      </c>
      <c r="X29">
        <v>0</v>
      </c>
      <c r="Y29">
        <v>1701</v>
      </c>
      <c r="Z29">
        <f t="shared" si="0"/>
        <v>1701</v>
      </c>
    </row>
    <row r="30" spans="2:26" x14ac:dyDescent="0.3">
      <c r="B30" t="s">
        <v>273</v>
      </c>
      <c r="C30">
        <v>1534</v>
      </c>
      <c r="Q30">
        <v>0</v>
      </c>
      <c r="R30">
        <v>0</v>
      </c>
      <c r="W30" t="s">
        <v>283</v>
      </c>
      <c r="X30">
        <v>0</v>
      </c>
      <c r="Y30">
        <v>1718</v>
      </c>
      <c r="Z30">
        <f t="shared" si="0"/>
        <v>1718</v>
      </c>
    </row>
    <row r="31" spans="2:26" x14ac:dyDescent="0.3">
      <c r="B31" t="s">
        <v>274</v>
      </c>
      <c r="C31">
        <v>1274</v>
      </c>
      <c r="Q31">
        <v>0</v>
      </c>
      <c r="R31">
        <v>0</v>
      </c>
      <c r="W31" t="s">
        <v>268</v>
      </c>
      <c r="X31">
        <v>0</v>
      </c>
      <c r="Y31">
        <v>1533</v>
      </c>
      <c r="Z31">
        <f t="shared" si="0"/>
        <v>1533</v>
      </c>
    </row>
    <row r="32" spans="2:26" x14ac:dyDescent="0.3">
      <c r="B32" t="s">
        <v>275</v>
      </c>
      <c r="C32">
        <v>820</v>
      </c>
      <c r="Q32">
        <v>0</v>
      </c>
      <c r="R32">
        <v>0</v>
      </c>
      <c r="W32" t="s">
        <v>266</v>
      </c>
      <c r="X32">
        <v>0</v>
      </c>
      <c r="Y32">
        <v>1602</v>
      </c>
      <c r="Z32">
        <f t="shared" si="0"/>
        <v>1602</v>
      </c>
    </row>
    <row r="33" spans="2:26" x14ac:dyDescent="0.3">
      <c r="C33">
        <v>597</v>
      </c>
      <c r="Q33" t="s">
        <v>287</v>
      </c>
      <c r="R33">
        <v>732</v>
      </c>
      <c r="W33" t="s">
        <v>264</v>
      </c>
      <c r="X33">
        <v>0</v>
      </c>
      <c r="Y33">
        <v>1421</v>
      </c>
      <c r="Z33">
        <f t="shared" si="0"/>
        <v>1421</v>
      </c>
    </row>
    <row r="34" spans="2:26" x14ac:dyDescent="0.3">
      <c r="Q34" t="s">
        <v>283</v>
      </c>
      <c r="R34">
        <v>2264</v>
      </c>
      <c r="W34" t="s">
        <v>285</v>
      </c>
      <c r="X34">
        <v>0</v>
      </c>
      <c r="Y34">
        <v>1669</v>
      </c>
      <c r="Z34">
        <f t="shared" si="0"/>
        <v>1669</v>
      </c>
    </row>
    <row r="35" spans="2:26" x14ac:dyDescent="0.3">
      <c r="Q35" t="s">
        <v>283</v>
      </c>
      <c r="R35">
        <v>2249</v>
      </c>
      <c r="W35" t="s">
        <v>285</v>
      </c>
      <c r="X35">
        <v>0</v>
      </c>
      <c r="Y35">
        <v>1567</v>
      </c>
      <c r="Z35">
        <f t="shared" si="0"/>
        <v>1567</v>
      </c>
    </row>
    <row r="36" spans="2:26" x14ac:dyDescent="0.3">
      <c r="Q36" t="s">
        <v>294</v>
      </c>
      <c r="R36">
        <v>321</v>
      </c>
      <c r="W36" t="s">
        <v>281</v>
      </c>
      <c r="X36">
        <v>0</v>
      </c>
      <c r="Y36">
        <v>1667</v>
      </c>
      <c r="Z36">
        <f t="shared" si="0"/>
        <v>1667</v>
      </c>
    </row>
    <row r="37" spans="2:26" x14ac:dyDescent="0.3">
      <c r="B37" t="s">
        <v>276</v>
      </c>
      <c r="C37">
        <v>100</v>
      </c>
      <c r="D37" t="s">
        <v>280</v>
      </c>
      <c r="W37" t="s">
        <v>283</v>
      </c>
      <c r="X37">
        <v>0</v>
      </c>
      <c r="Y37">
        <v>1474</v>
      </c>
      <c r="Z37">
        <f t="shared" si="0"/>
        <v>1474</v>
      </c>
    </row>
    <row r="38" spans="2:26" x14ac:dyDescent="0.3">
      <c r="M38" t="s">
        <v>290</v>
      </c>
      <c r="W38" t="s">
        <v>262</v>
      </c>
      <c r="X38">
        <v>0</v>
      </c>
      <c r="Y38">
        <v>1452</v>
      </c>
      <c r="Z38">
        <f t="shared" si="0"/>
        <v>1452</v>
      </c>
    </row>
    <row r="39" spans="2:26" x14ac:dyDescent="0.3">
      <c r="W39" t="s">
        <v>285</v>
      </c>
      <c r="X39">
        <v>0</v>
      </c>
      <c r="Y39">
        <v>1357</v>
      </c>
      <c r="Z39">
        <f t="shared" si="0"/>
        <v>1357</v>
      </c>
    </row>
    <row r="40" spans="2:26" x14ac:dyDescent="0.3">
      <c r="W40" t="s">
        <v>268</v>
      </c>
      <c r="X40">
        <v>0</v>
      </c>
      <c r="Y40">
        <v>1300</v>
      </c>
      <c r="Z40">
        <f t="shared" si="0"/>
        <v>1300</v>
      </c>
    </row>
    <row r="41" spans="2:26" x14ac:dyDescent="0.3">
      <c r="B41" t="s">
        <v>277</v>
      </c>
      <c r="C41">
        <v>673</v>
      </c>
      <c r="D41" t="s">
        <v>278</v>
      </c>
      <c r="E41" t="s">
        <v>279</v>
      </c>
      <c r="W41" t="s">
        <v>265</v>
      </c>
      <c r="X41">
        <v>0</v>
      </c>
      <c r="Y41">
        <v>1510</v>
      </c>
      <c r="Z41">
        <f t="shared" si="0"/>
        <v>1510</v>
      </c>
    </row>
    <row r="42" spans="2:26" x14ac:dyDescent="0.3">
      <c r="W42" t="s">
        <v>273</v>
      </c>
      <c r="X42">
        <v>0</v>
      </c>
      <c r="Y42">
        <v>1616</v>
      </c>
      <c r="Z42">
        <f t="shared" si="0"/>
        <v>1616</v>
      </c>
    </row>
    <row r="43" spans="2:26" x14ac:dyDescent="0.3">
      <c r="B43" t="s">
        <v>253</v>
      </c>
      <c r="C43">
        <v>673</v>
      </c>
      <c r="D43" t="s">
        <v>280</v>
      </c>
      <c r="E43" t="s">
        <v>299</v>
      </c>
      <c r="G43" t="s">
        <v>300</v>
      </c>
      <c r="W43" t="s">
        <v>275</v>
      </c>
      <c r="X43">
        <v>0</v>
      </c>
      <c r="Y43">
        <v>1690</v>
      </c>
      <c r="Z43">
        <f t="shared" si="0"/>
        <v>1690</v>
      </c>
    </row>
    <row r="44" spans="2:26" x14ac:dyDescent="0.3">
      <c r="W44" t="s">
        <v>292</v>
      </c>
      <c r="X44">
        <v>0</v>
      </c>
      <c r="Y44">
        <v>1889</v>
      </c>
      <c r="Z44">
        <f t="shared" si="0"/>
        <v>1889</v>
      </c>
    </row>
    <row r="45" spans="2:26" x14ac:dyDescent="0.3">
      <c r="W45" t="s">
        <v>293</v>
      </c>
      <c r="X45">
        <v>0</v>
      </c>
      <c r="Y45">
        <v>1815</v>
      </c>
      <c r="Z45">
        <f t="shared" si="0"/>
        <v>1815</v>
      </c>
    </row>
    <row r="46" spans="2:26" x14ac:dyDescent="0.3">
      <c r="B46" t="s">
        <v>301</v>
      </c>
      <c r="C46">
        <v>673</v>
      </c>
      <c r="D46" t="s">
        <v>278</v>
      </c>
      <c r="E46" t="s">
        <v>302</v>
      </c>
      <c r="X46">
        <v>0</v>
      </c>
      <c r="Y46">
        <v>1507</v>
      </c>
      <c r="Z46">
        <f t="shared" si="0"/>
        <v>1507</v>
      </c>
    </row>
    <row r="47" spans="2:26" x14ac:dyDescent="0.3">
      <c r="X47">
        <v>33</v>
      </c>
      <c r="Y47">
        <v>1320</v>
      </c>
      <c r="Z47">
        <f t="shared" si="0"/>
        <v>1353</v>
      </c>
    </row>
    <row r="48" spans="2:26" x14ac:dyDescent="0.3">
      <c r="X48">
        <v>24</v>
      </c>
      <c r="Y48">
        <v>1981</v>
      </c>
      <c r="Z48">
        <f t="shared" si="0"/>
        <v>2005</v>
      </c>
    </row>
    <row r="49" spans="2:26" x14ac:dyDescent="0.3">
      <c r="X49">
        <v>15</v>
      </c>
      <c r="Y49">
        <v>1949</v>
      </c>
      <c r="Z49">
        <f t="shared" si="0"/>
        <v>1964</v>
      </c>
    </row>
    <row r="50" spans="2:26" x14ac:dyDescent="0.3">
      <c r="X50">
        <v>68</v>
      </c>
      <c r="Y50">
        <v>1619</v>
      </c>
      <c r="Z50">
        <f t="shared" si="0"/>
        <v>1687</v>
      </c>
    </row>
    <row r="51" spans="2:26" x14ac:dyDescent="0.3">
      <c r="X51">
        <v>124</v>
      </c>
      <c r="Y51">
        <v>2190</v>
      </c>
      <c r="Z51">
        <f t="shared" si="0"/>
        <v>2314</v>
      </c>
    </row>
    <row r="52" spans="2:26" x14ac:dyDescent="0.3">
      <c r="X52">
        <v>395</v>
      </c>
      <c r="Y52">
        <v>1769</v>
      </c>
      <c r="Z52">
        <f t="shared" si="0"/>
        <v>2164</v>
      </c>
    </row>
    <row r="53" spans="2:26" x14ac:dyDescent="0.3">
      <c r="B53" t="s">
        <v>319</v>
      </c>
      <c r="E53" t="s">
        <v>320</v>
      </c>
      <c r="X53">
        <v>463</v>
      </c>
      <c r="Y53">
        <v>1888</v>
      </c>
      <c r="Z53">
        <f t="shared" si="0"/>
        <v>2351</v>
      </c>
    </row>
    <row r="54" spans="2:26" x14ac:dyDescent="0.3">
      <c r="K54" s="31" t="s">
        <v>317</v>
      </c>
      <c r="L54" s="31"/>
      <c r="M54" s="31"/>
      <c r="N54" s="31" t="s">
        <v>322</v>
      </c>
      <c r="O54" s="31"/>
      <c r="P54" s="31"/>
      <c r="X54">
        <v>477</v>
      </c>
      <c r="Y54">
        <v>1844</v>
      </c>
      <c r="Z54">
        <f t="shared" si="0"/>
        <v>2321</v>
      </c>
    </row>
    <row r="55" spans="2:26" x14ac:dyDescent="0.3">
      <c r="K55" t="s">
        <v>253</v>
      </c>
      <c r="L55" t="s">
        <v>321</v>
      </c>
      <c r="M55" t="s">
        <v>301</v>
      </c>
      <c r="N55" t="s">
        <v>253</v>
      </c>
      <c r="O55" t="s">
        <v>321</v>
      </c>
      <c r="P55" t="s">
        <v>301</v>
      </c>
      <c r="X55">
        <v>407</v>
      </c>
      <c r="Y55">
        <v>1905</v>
      </c>
      <c r="Z55">
        <f t="shared" si="0"/>
        <v>2312</v>
      </c>
    </row>
    <row r="56" spans="2:26" x14ac:dyDescent="0.3">
      <c r="K56">
        <v>834</v>
      </c>
      <c r="L56">
        <v>728</v>
      </c>
      <c r="M56">
        <v>500</v>
      </c>
      <c r="N56">
        <v>405</v>
      </c>
      <c r="O56">
        <v>11</v>
      </c>
      <c r="P56">
        <v>13</v>
      </c>
      <c r="X56">
        <v>412</v>
      </c>
      <c r="Y56">
        <v>1554</v>
      </c>
      <c r="Z56">
        <f t="shared" si="0"/>
        <v>1966</v>
      </c>
    </row>
    <row r="57" spans="2:26" x14ac:dyDescent="0.3">
      <c r="K57">
        <v>1314</v>
      </c>
      <c r="L57">
        <v>1354</v>
      </c>
      <c r="M57">
        <v>1427</v>
      </c>
      <c r="N57">
        <v>1216</v>
      </c>
      <c r="O57">
        <v>1244</v>
      </c>
      <c r="P57">
        <v>686</v>
      </c>
      <c r="X57">
        <v>257</v>
      </c>
      <c r="Y57">
        <v>1392</v>
      </c>
      <c r="Z57">
        <f t="shared" si="0"/>
        <v>1649</v>
      </c>
    </row>
    <row r="58" spans="2:26" x14ac:dyDescent="0.3">
      <c r="K58">
        <v>1320</v>
      </c>
      <c r="L58">
        <v>1354</v>
      </c>
      <c r="M58">
        <v>1504</v>
      </c>
      <c r="N58">
        <v>1350</v>
      </c>
      <c r="O58">
        <v>1883</v>
      </c>
      <c r="P58">
        <v>2028</v>
      </c>
      <c r="X58">
        <v>237</v>
      </c>
      <c r="Y58">
        <v>1677</v>
      </c>
      <c r="Z58">
        <f t="shared" si="0"/>
        <v>1914</v>
      </c>
    </row>
    <row r="59" spans="2:26" x14ac:dyDescent="0.3">
      <c r="K59">
        <v>1551</v>
      </c>
      <c r="L59">
        <v>1329</v>
      </c>
      <c r="M59">
        <v>1248</v>
      </c>
      <c r="N59">
        <v>1528</v>
      </c>
      <c r="O59">
        <v>2000</v>
      </c>
      <c r="P59">
        <v>2254</v>
      </c>
      <c r="X59">
        <v>343</v>
      </c>
      <c r="Y59">
        <v>1621</v>
      </c>
      <c r="Z59">
        <f t="shared" si="0"/>
        <v>1964</v>
      </c>
    </row>
    <row r="60" spans="2:26" x14ac:dyDescent="0.3">
      <c r="K60">
        <v>1373</v>
      </c>
      <c r="L60">
        <v>1948</v>
      </c>
      <c r="M60">
        <v>1556</v>
      </c>
      <c r="N60">
        <v>1507</v>
      </c>
      <c r="O60">
        <v>2207</v>
      </c>
      <c r="P60">
        <v>2290</v>
      </c>
      <c r="X60">
        <v>421</v>
      </c>
      <c r="Y60">
        <v>1495</v>
      </c>
      <c r="Z60">
        <f t="shared" si="0"/>
        <v>1916</v>
      </c>
    </row>
    <row r="61" spans="2:26" x14ac:dyDescent="0.3">
      <c r="K61">
        <v>1345</v>
      </c>
      <c r="L61">
        <v>1412</v>
      </c>
      <c r="M61">
        <v>1185</v>
      </c>
      <c r="N61">
        <v>1656</v>
      </c>
      <c r="O61">
        <v>2160</v>
      </c>
      <c r="P61">
        <v>2298</v>
      </c>
      <c r="X61">
        <v>378</v>
      </c>
      <c r="Y61">
        <v>1975</v>
      </c>
      <c r="Z61">
        <f t="shared" si="0"/>
        <v>2353</v>
      </c>
    </row>
    <row r="62" spans="2:26" x14ac:dyDescent="0.3">
      <c r="K62">
        <v>1434</v>
      </c>
      <c r="L62">
        <v>1463</v>
      </c>
      <c r="M62">
        <v>1416</v>
      </c>
      <c r="N62">
        <v>1739</v>
      </c>
      <c r="O62">
        <v>2270</v>
      </c>
      <c r="P62">
        <v>2278</v>
      </c>
      <c r="X62">
        <v>334</v>
      </c>
      <c r="Y62">
        <v>1747</v>
      </c>
      <c r="Z62">
        <f t="shared" si="0"/>
        <v>2081</v>
      </c>
    </row>
    <row r="63" spans="2:26" x14ac:dyDescent="0.3">
      <c r="K63">
        <v>1455</v>
      </c>
      <c r="L63">
        <v>1520</v>
      </c>
      <c r="M63">
        <v>1301</v>
      </c>
      <c r="N63">
        <v>1708</v>
      </c>
      <c r="O63">
        <v>2249</v>
      </c>
      <c r="P63">
        <v>2296</v>
      </c>
      <c r="X63">
        <v>560</v>
      </c>
      <c r="Y63">
        <v>1395</v>
      </c>
      <c r="Z63">
        <f t="shared" si="0"/>
        <v>1955</v>
      </c>
    </row>
    <row r="64" spans="2:26" x14ac:dyDescent="0.3">
      <c r="K64">
        <v>1649</v>
      </c>
      <c r="L64">
        <v>1447</v>
      </c>
      <c r="M64">
        <v>1355</v>
      </c>
      <c r="N64">
        <v>1713</v>
      </c>
      <c r="O64">
        <v>2280</v>
      </c>
      <c r="P64">
        <v>2290</v>
      </c>
      <c r="X64">
        <v>538</v>
      </c>
      <c r="Y64">
        <v>1442</v>
      </c>
      <c r="Z64">
        <f t="shared" si="0"/>
        <v>1980</v>
      </c>
    </row>
    <row r="65" spans="10:26" x14ac:dyDescent="0.3">
      <c r="K65">
        <v>1304</v>
      </c>
      <c r="L65">
        <v>1438</v>
      </c>
      <c r="M65">
        <v>1569</v>
      </c>
      <c r="N65">
        <v>1707</v>
      </c>
      <c r="O65">
        <v>2265</v>
      </c>
      <c r="P65">
        <v>2283</v>
      </c>
      <c r="X65">
        <v>452</v>
      </c>
      <c r="Y65">
        <v>1894</v>
      </c>
      <c r="Z65">
        <f t="shared" si="0"/>
        <v>2346</v>
      </c>
    </row>
    <row r="66" spans="10:26" x14ac:dyDescent="0.3">
      <c r="K66">
        <v>1411</v>
      </c>
      <c r="L66">
        <v>1463</v>
      </c>
      <c r="M66">
        <v>1000</v>
      </c>
      <c r="N66">
        <v>1700</v>
      </c>
      <c r="O66">
        <v>2262</v>
      </c>
      <c r="P66">
        <v>1723</v>
      </c>
      <c r="X66">
        <v>512</v>
      </c>
      <c r="Y66">
        <v>1682</v>
      </c>
      <c r="Z66">
        <f t="shared" si="0"/>
        <v>2194</v>
      </c>
    </row>
    <row r="67" spans="10:26" x14ac:dyDescent="0.3">
      <c r="K67">
        <v>1390</v>
      </c>
      <c r="L67">
        <v>1508</v>
      </c>
      <c r="M67">
        <v>1566</v>
      </c>
      <c r="N67">
        <v>1596</v>
      </c>
      <c r="O67">
        <v>463</v>
      </c>
      <c r="X67">
        <v>423</v>
      </c>
      <c r="Y67">
        <v>1738</v>
      </c>
      <c r="Z67">
        <f t="shared" ref="Z67:Z130" si="1">X67+Y67</f>
        <v>2161</v>
      </c>
    </row>
    <row r="68" spans="10:26" x14ac:dyDescent="0.3">
      <c r="K68">
        <v>1163</v>
      </c>
      <c r="L68">
        <v>1306</v>
      </c>
      <c r="M68">
        <v>1320</v>
      </c>
      <c r="N68">
        <v>1703</v>
      </c>
      <c r="X68">
        <v>432</v>
      </c>
      <c r="Y68">
        <v>1666</v>
      </c>
      <c r="Z68">
        <f t="shared" si="1"/>
        <v>2098</v>
      </c>
    </row>
    <row r="69" spans="10:26" x14ac:dyDescent="0.3">
      <c r="K69">
        <v>1331</v>
      </c>
      <c r="L69">
        <v>1435</v>
      </c>
      <c r="M69">
        <v>1621</v>
      </c>
      <c r="N69">
        <v>1300</v>
      </c>
      <c r="X69">
        <v>479</v>
      </c>
      <c r="Y69">
        <v>1367</v>
      </c>
      <c r="Z69">
        <f t="shared" si="1"/>
        <v>1846</v>
      </c>
    </row>
    <row r="70" spans="10:26" x14ac:dyDescent="0.3">
      <c r="K70">
        <v>1195</v>
      </c>
      <c r="L70">
        <v>1692</v>
      </c>
      <c r="M70">
        <v>1738</v>
      </c>
      <c r="N70">
        <v>36</v>
      </c>
      <c r="X70">
        <v>488</v>
      </c>
      <c r="Y70">
        <v>1663</v>
      </c>
      <c r="Z70">
        <f t="shared" si="1"/>
        <v>2151</v>
      </c>
    </row>
    <row r="71" spans="10:26" x14ac:dyDescent="0.3">
      <c r="K71">
        <v>1201</v>
      </c>
      <c r="L71">
        <v>57</v>
      </c>
      <c r="M71">
        <v>488</v>
      </c>
      <c r="X71">
        <v>939</v>
      </c>
      <c r="Y71">
        <v>902</v>
      </c>
      <c r="Z71">
        <f t="shared" si="1"/>
        <v>1841</v>
      </c>
    </row>
    <row r="72" spans="10:26" x14ac:dyDescent="0.3">
      <c r="K72">
        <v>1113</v>
      </c>
      <c r="X72">
        <v>442</v>
      </c>
      <c r="Y72">
        <v>1908</v>
      </c>
      <c r="Z72">
        <f t="shared" si="1"/>
        <v>2350</v>
      </c>
    </row>
    <row r="73" spans="10:26" x14ac:dyDescent="0.3">
      <c r="X73">
        <v>82</v>
      </c>
      <c r="Y73">
        <v>2222</v>
      </c>
      <c r="Z73">
        <f t="shared" si="1"/>
        <v>2304</v>
      </c>
    </row>
    <row r="74" spans="10:26" x14ac:dyDescent="0.3">
      <c r="J74" t="s">
        <v>318</v>
      </c>
      <c r="K74">
        <v>1164</v>
      </c>
      <c r="L74">
        <v>1304</v>
      </c>
      <c r="M74">
        <v>1279</v>
      </c>
      <c r="N74">
        <v>1446</v>
      </c>
      <c r="O74">
        <v>1934</v>
      </c>
      <c r="P74">
        <v>2026</v>
      </c>
      <c r="X74">
        <v>882</v>
      </c>
      <c r="Y74">
        <v>1495</v>
      </c>
      <c r="Z74">
        <f t="shared" si="1"/>
        <v>2377</v>
      </c>
    </row>
    <row r="75" spans="10:26" x14ac:dyDescent="0.3">
      <c r="X75">
        <v>406</v>
      </c>
      <c r="Y75">
        <v>1924</v>
      </c>
      <c r="Z75">
        <f t="shared" si="1"/>
        <v>2330</v>
      </c>
    </row>
    <row r="76" spans="10:26" x14ac:dyDescent="0.3">
      <c r="X76">
        <v>672</v>
      </c>
      <c r="Y76">
        <v>1671</v>
      </c>
      <c r="Z76">
        <f t="shared" si="1"/>
        <v>2343</v>
      </c>
    </row>
    <row r="77" spans="10:26" x14ac:dyDescent="0.3">
      <c r="L77" t="s">
        <v>323</v>
      </c>
      <c r="X77">
        <v>1066</v>
      </c>
      <c r="Y77">
        <v>1303</v>
      </c>
      <c r="Z77">
        <f t="shared" si="1"/>
        <v>2369</v>
      </c>
    </row>
    <row r="78" spans="10:26" x14ac:dyDescent="0.3">
      <c r="X78">
        <v>704</v>
      </c>
      <c r="Y78">
        <v>1651</v>
      </c>
      <c r="Z78">
        <f t="shared" si="1"/>
        <v>2355</v>
      </c>
    </row>
    <row r="79" spans="10:26" x14ac:dyDescent="0.3">
      <c r="L79" t="s">
        <v>324</v>
      </c>
      <c r="X79">
        <v>728</v>
      </c>
      <c r="Y79">
        <v>1631</v>
      </c>
      <c r="Z79">
        <f t="shared" si="1"/>
        <v>2359</v>
      </c>
    </row>
    <row r="80" spans="10:26" x14ac:dyDescent="0.3">
      <c r="X80">
        <v>435</v>
      </c>
      <c r="Y80">
        <v>1472</v>
      </c>
      <c r="Z80">
        <f t="shared" si="1"/>
        <v>1907</v>
      </c>
    </row>
    <row r="81" spans="11:26" x14ac:dyDescent="0.3">
      <c r="X81">
        <v>631</v>
      </c>
      <c r="Y81">
        <v>1459</v>
      </c>
      <c r="Z81">
        <f t="shared" si="1"/>
        <v>2090</v>
      </c>
    </row>
    <row r="82" spans="11:26" x14ac:dyDescent="0.3">
      <c r="X82">
        <v>525</v>
      </c>
      <c r="Y82">
        <v>1309</v>
      </c>
      <c r="Z82">
        <f t="shared" si="1"/>
        <v>1834</v>
      </c>
    </row>
    <row r="83" spans="11:26" x14ac:dyDescent="0.3">
      <c r="X83">
        <v>433</v>
      </c>
      <c r="Y83">
        <v>1664</v>
      </c>
      <c r="Z83">
        <f t="shared" si="1"/>
        <v>2097</v>
      </c>
    </row>
    <row r="84" spans="11:26" x14ac:dyDescent="0.3">
      <c r="X84">
        <v>426</v>
      </c>
      <c r="Y84">
        <v>1618</v>
      </c>
      <c r="Z84">
        <f t="shared" si="1"/>
        <v>2044</v>
      </c>
    </row>
    <row r="85" spans="11:26" x14ac:dyDescent="0.3">
      <c r="X85">
        <v>288</v>
      </c>
      <c r="Y85">
        <v>1904</v>
      </c>
      <c r="Z85">
        <f t="shared" si="1"/>
        <v>2192</v>
      </c>
    </row>
    <row r="86" spans="11:26" x14ac:dyDescent="0.3">
      <c r="X86">
        <v>327</v>
      </c>
      <c r="Y86">
        <v>1571</v>
      </c>
      <c r="Z86">
        <f t="shared" si="1"/>
        <v>1898</v>
      </c>
    </row>
    <row r="87" spans="11:26" x14ac:dyDescent="0.3">
      <c r="X87">
        <v>420</v>
      </c>
      <c r="Y87">
        <v>1299</v>
      </c>
      <c r="Z87">
        <f t="shared" si="1"/>
        <v>1719</v>
      </c>
    </row>
    <row r="88" spans="11:26" x14ac:dyDescent="0.3">
      <c r="X88">
        <v>347</v>
      </c>
      <c r="Y88">
        <v>1453</v>
      </c>
      <c r="Z88">
        <f t="shared" si="1"/>
        <v>1800</v>
      </c>
    </row>
    <row r="89" spans="11:26" x14ac:dyDescent="0.3">
      <c r="X89">
        <v>532</v>
      </c>
      <c r="Y89">
        <v>1791</v>
      </c>
      <c r="Z89">
        <f t="shared" si="1"/>
        <v>2323</v>
      </c>
    </row>
    <row r="90" spans="11:26" x14ac:dyDescent="0.3">
      <c r="X90">
        <v>515</v>
      </c>
      <c r="Y90">
        <v>1819</v>
      </c>
      <c r="Z90">
        <f t="shared" si="1"/>
        <v>2334</v>
      </c>
    </row>
    <row r="91" spans="11:26" x14ac:dyDescent="0.3">
      <c r="X91">
        <v>626</v>
      </c>
      <c r="Y91">
        <v>1683</v>
      </c>
      <c r="Z91">
        <f t="shared" si="1"/>
        <v>2309</v>
      </c>
    </row>
    <row r="92" spans="11:26" x14ac:dyDescent="0.3">
      <c r="K92" t="s">
        <v>348</v>
      </c>
      <c r="X92">
        <v>465</v>
      </c>
      <c r="Y92">
        <v>1673</v>
      </c>
      <c r="Z92">
        <f t="shared" si="1"/>
        <v>2138</v>
      </c>
    </row>
    <row r="93" spans="11:26" x14ac:dyDescent="0.3">
      <c r="X93">
        <v>399</v>
      </c>
      <c r="Y93">
        <v>1750</v>
      </c>
      <c r="Z93">
        <f t="shared" si="1"/>
        <v>2149</v>
      </c>
    </row>
    <row r="94" spans="11:26" x14ac:dyDescent="0.3">
      <c r="X94">
        <v>508</v>
      </c>
      <c r="Y94">
        <v>1451</v>
      </c>
      <c r="Z94">
        <f t="shared" si="1"/>
        <v>1959</v>
      </c>
    </row>
    <row r="95" spans="11:26" x14ac:dyDescent="0.3">
      <c r="X95">
        <v>362</v>
      </c>
      <c r="Y95">
        <v>1325</v>
      </c>
      <c r="Z95">
        <f t="shared" si="1"/>
        <v>1687</v>
      </c>
    </row>
    <row r="96" spans="11:26" x14ac:dyDescent="0.3">
      <c r="X96">
        <v>334</v>
      </c>
      <c r="Y96">
        <v>1456</v>
      </c>
      <c r="Z96">
        <f t="shared" si="1"/>
        <v>1790</v>
      </c>
    </row>
    <row r="97" spans="10:26" x14ac:dyDescent="0.3">
      <c r="X97">
        <v>1012</v>
      </c>
      <c r="Y97">
        <v>998</v>
      </c>
      <c r="Z97">
        <f t="shared" si="1"/>
        <v>2010</v>
      </c>
    </row>
    <row r="98" spans="10:26" x14ac:dyDescent="0.3">
      <c r="X98">
        <v>257</v>
      </c>
      <c r="Y98">
        <v>2095</v>
      </c>
      <c r="Z98">
        <f t="shared" si="1"/>
        <v>2352</v>
      </c>
    </row>
    <row r="99" spans="10:26" x14ac:dyDescent="0.3">
      <c r="X99">
        <v>412</v>
      </c>
      <c r="Y99">
        <v>1924</v>
      </c>
      <c r="Z99">
        <f t="shared" si="1"/>
        <v>2336</v>
      </c>
    </row>
    <row r="100" spans="10:26" x14ac:dyDescent="0.3">
      <c r="X100">
        <v>576</v>
      </c>
      <c r="Y100">
        <v>1782</v>
      </c>
      <c r="Z100">
        <f t="shared" si="1"/>
        <v>2358</v>
      </c>
    </row>
    <row r="101" spans="10:26" x14ac:dyDescent="0.3">
      <c r="X101">
        <v>752</v>
      </c>
      <c r="Y101">
        <v>1605</v>
      </c>
      <c r="Z101">
        <f t="shared" si="1"/>
        <v>2357</v>
      </c>
    </row>
    <row r="102" spans="10:26" x14ac:dyDescent="0.3">
      <c r="X102">
        <v>569</v>
      </c>
      <c r="Y102">
        <v>1777</v>
      </c>
      <c r="Z102">
        <f t="shared" si="1"/>
        <v>2346</v>
      </c>
    </row>
    <row r="103" spans="10:26" x14ac:dyDescent="0.3">
      <c r="X103">
        <v>787</v>
      </c>
      <c r="Y103">
        <v>1554</v>
      </c>
      <c r="Z103">
        <f t="shared" si="1"/>
        <v>2341</v>
      </c>
    </row>
    <row r="104" spans="10:26" x14ac:dyDescent="0.3">
      <c r="X104">
        <v>1127</v>
      </c>
      <c r="Y104">
        <v>1260</v>
      </c>
      <c r="Z104">
        <f t="shared" si="1"/>
        <v>2387</v>
      </c>
    </row>
    <row r="105" spans="10:26" x14ac:dyDescent="0.3">
      <c r="X105">
        <v>627</v>
      </c>
      <c r="Y105">
        <v>1730</v>
      </c>
      <c r="Z105">
        <f t="shared" si="1"/>
        <v>2357</v>
      </c>
    </row>
    <row r="106" spans="10:26" x14ac:dyDescent="0.3">
      <c r="J106" t="s">
        <v>333</v>
      </c>
      <c r="K106" t="s">
        <v>337</v>
      </c>
      <c r="L106" t="s">
        <v>338</v>
      </c>
      <c r="X106">
        <v>571</v>
      </c>
      <c r="Y106">
        <v>1765</v>
      </c>
      <c r="Z106">
        <f t="shared" si="1"/>
        <v>2336</v>
      </c>
    </row>
    <row r="107" spans="10:26" x14ac:dyDescent="0.3">
      <c r="J107" t="s">
        <v>336</v>
      </c>
      <c r="K107" t="s">
        <v>343</v>
      </c>
      <c r="L107" t="s">
        <v>344</v>
      </c>
      <c r="X107">
        <v>598</v>
      </c>
      <c r="Y107">
        <v>1740</v>
      </c>
      <c r="Z107">
        <f t="shared" si="1"/>
        <v>2338</v>
      </c>
    </row>
    <row r="108" spans="10:26" x14ac:dyDescent="0.3">
      <c r="J108" t="s">
        <v>335</v>
      </c>
      <c r="K108" t="s">
        <v>341</v>
      </c>
      <c r="L108" t="s">
        <v>342</v>
      </c>
      <c r="X108">
        <v>904</v>
      </c>
      <c r="Y108">
        <v>1265</v>
      </c>
      <c r="Z108">
        <f t="shared" si="1"/>
        <v>2169</v>
      </c>
    </row>
    <row r="109" spans="10:26" x14ac:dyDescent="0.3">
      <c r="J109" t="s">
        <v>334</v>
      </c>
      <c r="K109" t="s">
        <v>339</v>
      </c>
      <c r="L109" t="s">
        <v>340</v>
      </c>
      <c r="X109">
        <v>320</v>
      </c>
      <c r="Y109">
        <v>2021</v>
      </c>
      <c r="Z109">
        <f t="shared" si="1"/>
        <v>2341</v>
      </c>
    </row>
    <row r="110" spans="10:26" x14ac:dyDescent="0.3">
      <c r="J110" t="s">
        <v>345</v>
      </c>
      <c r="K110" t="s">
        <v>346</v>
      </c>
      <c r="L110" t="s">
        <v>347</v>
      </c>
      <c r="X110">
        <v>779</v>
      </c>
      <c r="Y110">
        <v>1600</v>
      </c>
      <c r="Z110">
        <f t="shared" si="1"/>
        <v>2379</v>
      </c>
    </row>
    <row r="111" spans="10:26" x14ac:dyDescent="0.3">
      <c r="X111">
        <v>679</v>
      </c>
      <c r="Y111">
        <v>1492</v>
      </c>
      <c r="Z111">
        <f t="shared" si="1"/>
        <v>2171</v>
      </c>
    </row>
    <row r="112" spans="10:26" x14ac:dyDescent="0.3">
      <c r="X112">
        <v>644</v>
      </c>
      <c r="Y112">
        <v>1565</v>
      </c>
      <c r="Z112">
        <f t="shared" si="1"/>
        <v>2209</v>
      </c>
    </row>
    <row r="113" spans="24:26" x14ac:dyDescent="0.3">
      <c r="X113">
        <v>420</v>
      </c>
      <c r="Y113">
        <v>1320</v>
      </c>
      <c r="Z113">
        <f t="shared" si="1"/>
        <v>1740</v>
      </c>
    </row>
    <row r="114" spans="24:26" x14ac:dyDescent="0.3">
      <c r="X114">
        <v>444</v>
      </c>
      <c r="Y114">
        <v>1597</v>
      </c>
      <c r="Z114">
        <f t="shared" si="1"/>
        <v>2041</v>
      </c>
    </row>
    <row r="115" spans="24:26" x14ac:dyDescent="0.3">
      <c r="X115">
        <v>463</v>
      </c>
      <c r="Y115">
        <v>1323</v>
      </c>
      <c r="Z115">
        <f t="shared" si="1"/>
        <v>1786</v>
      </c>
    </row>
    <row r="116" spans="24:26" x14ac:dyDescent="0.3">
      <c r="X116">
        <v>352</v>
      </c>
      <c r="Y116">
        <v>1534</v>
      </c>
      <c r="Z116">
        <f t="shared" si="1"/>
        <v>1886</v>
      </c>
    </row>
    <row r="117" spans="24:26" x14ac:dyDescent="0.3">
      <c r="X117">
        <v>339</v>
      </c>
      <c r="Y117">
        <v>2019</v>
      </c>
      <c r="Z117">
        <f t="shared" si="1"/>
        <v>2358</v>
      </c>
    </row>
    <row r="118" spans="24:26" x14ac:dyDescent="0.3">
      <c r="X118">
        <v>529</v>
      </c>
      <c r="Y118">
        <v>1846</v>
      </c>
      <c r="Z118">
        <f t="shared" si="1"/>
        <v>2375</v>
      </c>
    </row>
    <row r="119" spans="24:26" x14ac:dyDescent="0.3">
      <c r="X119">
        <v>439</v>
      </c>
      <c r="Y119">
        <v>1909</v>
      </c>
      <c r="Z119">
        <f t="shared" si="1"/>
        <v>2348</v>
      </c>
    </row>
    <row r="120" spans="24:26" x14ac:dyDescent="0.3">
      <c r="X120">
        <v>701</v>
      </c>
      <c r="Y120">
        <v>1668</v>
      </c>
      <c r="Z120">
        <f t="shared" si="1"/>
        <v>2369</v>
      </c>
    </row>
    <row r="121" spans="24:26" x14ac:dyDescent="0.3">
      <c r="X121">
        <v>570</v>
      </c>
      <c r="Y121">
        <v>1033</v>
      </c>
      <c r="Z121">
        <f t="shared" si="1"/>
        <v>1603</v>
      </c>
    </row>
    <row r="122" spans="24:26" x14ac:dyDescent="0.3">
      <c r="X122">
        <v>128</v>
      </c>
      <c r="Y122">
        <v>2099</v>
      </c>
      <c r="Z122">
        <f t="shared" si="1"/>
        <v>2227</v>
      </c>
    </row>
    <row r="123" spans="24:26" x14ac:dyDescent="0.3">
      <c r="X123">
        <v>598</v>
      </c>
      <c r="Y123">
        <v>1284</v>
      </c>
      <c r="Z123">
        <f t="shared" si="1"/>
        <v>1882</v>
      </c>
    </row>
    <row r="124" spans="24:26" x14ac:dyDescent="0.3">
      <c r="X124">
        <v>492</v>
      </c>
      <c r="Y124">
        <v>1665</v>
      </c>
      <c r="Z124">
        <f t="shared" si="1"/>
        <v>2157</v>
      </c>
    </row>
    <row r="125" spans="24:26" x14ac:dyDescent="0.3">
      <c r="X125">
        <v>537</v>
      </c>
      <c r="Y125">
        <v>1495</v>
      </c>
      <c r="Z125">
        <f t="shared" si="1"/>
        <v>2032</v>
      </c>
    </row>
    <row r="126" spans="24:26" x14ac:dyDescent="0.3">
      <c r="X126">
        <v>508</v>
      </c>
      <c r="Y126">
        <v>1678</v>
      </c>
      <c r="Z126">
        <f t="shared" si="1"/>
        <v>2186</v>
      </c>
    </row>
    <row r="127" spans="24:26" x14ac:dyDescent="0.3">
      <c r="X127">
        <v>595</v>
      </c>
      <c r="Y127">
        <v>1221</v>
      </c>
      <c r="Z127">
        <f t="shared" si="1"/>
        <v>1816</v>
      </c>
    </row>
    <row r="128" spans="24:26" x14ac:dyDescent="0.3">
      <c r="X128">
        <v>522</v>
      </c>
      <c r="Y128">
        <v>1391</v>
      </c>
      <c r="Z128">
        <f t="shared" si="1"/>
        <v>1913</v>
      </c>
    </row>
    <row r="129" spans="24:26" x14ac:dyDescent="0.3">
      <c r="X129">
        <v>613</v>
      </c>
      <c r="Y129">
        <v>1210</v>
      </c>
      <c r="Z129">
        <f t="shared" si="1"/>
        <v>1823</v>
      </c>
    </row>
    <row r="130" spans="24:26" x14ac:dyDescent="0.3">
      <c r="X130">
        <v>348</v>
      </c>
      <c r="Y130">
        <v>2006</v>
      </c>
      <c r="Z130">
        <f t="shared" si="1"/>
        <v>2354</v>
      </c>
    </row>
    <row r="131" spans="24:26" x14ac:dyDescent="0.3">
      <c r="X131">
        <v>487</v>
      </c>
      <c r="Y131">
        <v>1858</v>
      </c>
      <c r="Z131">
        <f t="shared" ref="Z131:Z194" si="2">X131+Y131</f>
        <v>2345</v>
      </c>
    </row>
    <row r="132" spans="24:26" x14ac:dyDescent="0.3">
      <c r="X132">
        <v>367</v>
      </c>
      <c r="Y132">
        <v>1968</v>
      </c>
      <c r="Z132">
        <f t="shared" si="2"/>
        <v>2335</v>
      </c>
    </row>
    <row r="133" spans="24:26" x14ac:dyDescent="0.3">
      <c r="X133">
        <v>438</v>
      </c>
      <c r="Y133">
        <v>1899</v>
      </c>
      <c r="Z133">
        <f t="shared" si="2"/>
        <v>2337</v>
      </c>
    </row>
    <row r="134" spans="24:26" x14ac:dyDescent="0.3">
      <c r="X134">
        <v>1211</v>
      </c>
      <c r="Y134">
        <v>1183</v>
      </c>
      <c r="Z134">
        <f t="shared" si="2"/>
        <v>2394</v>
      </c>
    </row>
    <row r="135" spans="24:26" x14ac:dyDescent="0.3">
      <c r="X135">
        <v>386</v>
      </c>
      <c r="Y135">
        <v>1907</v>
      </c>
      <c r="Z135">
        <f t="shared" si="2"/>
        <v>2293</v>
      </c>
    </row>
    <row r="136" spans="24:26" x14ac:dyDescent="0.3">
      <c r="X136">
        <v>467</v>
      </c>
      <c r="Y136">
        <v>1852</v>
      </c>
      <c r="Z136">
        <f t="shared" si="2"/>
        <v>2319</v>
      </c>
    </row>
    <row r="137" spans="24:26" x14ac:dyDescent="0.3">
      <c r="X137">
        <v>1061</v>
      </c>
      <c r="Y137">
        <v>1317</v>
      </c>
      <c r="Z137">
        <f t="shared" si="2"/>
        <v>2378</v>
      </c>
    </row>
    <row r="138" spans="24:26" x14ac:dyDescent="0.3">
      <c r="X138">
        <v>1225</v>
      </c>
      <c r="Y138">
        <v>1172</v>
      </c>
      <c r="Z138">
        <f t="shared" si="2"/>
        <v>2397</v>
      </c>
    </row>
    <row r="139" spans="24:26" x14ac:dyDescent="0.3">
      <c r="X139">
        <v>711</v>
      </c>
      <c r="Y139">
        <v>1642</v>
      </c>
      <c r="Z139">
        <f t="shared" si="2"/>
        <v>2353</v>
      </c>
    </row>
    <row r="140" spans="24:26" x14ac:dyDescent="0.3">
      <c r="X140">
        <v>819</v>
      </c>
      <c r="Y140">
        <v>1540</v>
      </c>
      <c r="Z140">
        <f t="shared" si="2"/>
        <v>2359</v>
      </c>
    </row>
    <row r="141" spans="24:26" x14ac:dyDescent="0.3">
      <c r="X141">
        <v>975</v>
      </c>
      <c r="Y141">
        <v>1377</v>
      </c>
      <c r="Z141">
        <f t="shared" si="2"/>
        <v>2352</v>
      </c>
    </row>
    <row r="142" spans="24:26" x14ac:dyDescent="0.3">
      <c r="X142">
        <v>859</v>
      </c>
      <c r="Y142">
        <v>1468</v>
      </c>
      <c r="Z142">
        <f t="shared" si="2"/>
        <v>2327</v>
      </c>
    </row>
    <row r="143" spans="24:26" x14ac:dyDescent="0.3">
      <c r="X143">
        <v>1045</v>
      </c>
      <c r="Y143">
        <v>1319</v>
      </c>
      <c r="Z143">
        <f t="shared" si="2"/>
        <v>2364</v>
      </c>
    </row>
    <row r="144" spans="24:26" x14ac:dyDescent="0.3">
      <c r="X144">
        <v>501</v>
      </c>
      <c r="Y144">
        <v>1842</v>
      </c>
      <c r="Z144">
        <f t="shared" si="2"/>
        <v>2343</v>
      </c>
    </row>
    <row r="145" spans="24:26" x14ac:dyDescent="0.3">
      <c r="X145">
        <v>1034</v>
      </c>
      <c r="Y145">
        <v>1342</v>
      </c>
      <c r="Z145">
        <f t="shared" si="2"/>
        <v>2376</v>
      </c>
    </row>
    <row r="146" spans="24:26" x14ac:dyDescent="0.3">
      <c r="X146">
        <v>740</v>
      </c>
      <c r="Y146">
        <v>1608</v>
      </c>
      <c r="Z146">
        <f t="shared" si="2"/>
        <v>2348</v>
      </c>
    </row>
    <row r="147" spans="24:26" x14ac:dyDescent="0.3">
      <c r="X147">
        <v>709</v>
      </c>
      <c r="Y147">
        <v>1658</v>
      </c>
      <c r="Z147">
        <f t="shared" si="2"/>
        <v>2367</v>
      </c>
    </row>
    <row r="148" spans="24:26" x14ac:dyDescent="0.3">
      <c r="X148">
        <v>638</v>
      </c>
      <c r="Y148">
        <v>1467</v>
      </c>
      <c r="Z148">
        <f t="shared" si="2"/>
        <v>2105</v>
      </c>
    </row>
    <row r="149" spans="24:26" x14ac:dyDescent="0.3">
      <c r="X149">
        <v>280</v>
      </c>
      <c r="Y149">
        <v>1368</v>
      </c>
      <c r="Z149">
        <f t="shared" si="2"/>
        <v>1648</v>
      </c>
    </row>
    <row r="150" spans="24:26" x14ac:dyDescent="0.3">
      <c r="X150">
        <v>492</v>
      </c>
      <c r="Y150">
        <v>1583</v>
      </c>
      <c r="Z150">
        <f t="shared" si="2"/>
        <v>2075</v>
      </c>
    </row>
    <row r="151" spans="24:26" x14ac:dyDescent="0.3">
      <c r="X151">
        <v>523</v>
      </c>
      <c r="Y151">
        <v>1378</v>
      </c>
      <c r="Z151">
        <f t="shared" si="2"/>
        <v>1901</v>
      </c>
    </row>
    <row r="152" spans="24:26" x14ac:dyDescent="0.3">
      <c r="X152">
        <v>507</v>
      </c>
      <c r="Y152">
        <v>1728</v>
      </c>
      <c r="Z152">
        <f t="shared" si="2"/>
        <v>2235</v>
      </c>
    </row>
    <row r="153" spans="24:26" x14ac:dyDescent="0.3">
      <c r="X153">
        <v>501</v>
      </c>
      <c r="Y153">
        <v>1609</v>
      </c>
      <c r="Z153">
        <f t="shared" si="2"/>
        <v>2110</v>
      </c>
    </row>
    <row r="154" spans="24:26" x14ac:dyDescent="0.3">
      <c r="X154">
        <v>454</v>
      </c>
      <c r="Y154">
        <v>1557</v>
      </c>
      <c r="Z154">
        <f t="shared" si="2"/>
        <v>2011</v>
      </c>
    </row>
    <row r="155" spans="24:26" x14ac:dyDescent="0.3">
      <c r="X155">
        <v>483</v>
      </c>
      <c r="Y155">
        <v>1851</v>
      </c>
      <c r="Z155">
        <f t="shared" si="2"/>
        <v>2334</v>
      </c>
    </row>
    <row r="156" spans="24:26" x14ac:dyDescent="0.3">
      <c r="X156">
        <v>653</v>
      </c>
      <c r="Y156">
        <v>1647</v>
      </c>
      <c r="Z156">
        <f t="shared" si="2"/>
        <v>2300</v>
      </c>
    </row>
    <row r="157" spans="24:26" x14ac:dyDescent="0.3">
      <c r="X157">
        <v>648</v>
      </c>
      <c r="Y157">
        <v>1693</v>
      </c>
      <c r="Z157">
        <f t="shared" si="2"/>
        <v>2341</v>
      </c>
    </row>
    <row r="158" spans="24:26" x14ac:dyDescent="0.3">
      <c r="X158">
        <v>644</v>
      </c>
      <c r="Y158">
        <v>1623</v>
      </c>
      <c r="Z158">
        <f t="shared" si="2"/>
        <v>2267</v>
      </c>
    </row>
    <row r="159" spans="24:26" x14ac:dyDescent="0.3">
      <c r="X159">
        <v>766</v>
      </c>
      <c r="Y159">
        <v>1474</v>
      </c>
      <c r="Z159">
        <f t="shared" si="2"/>
        <v>2240</v>
      </c>
    </row>
    <row r="160" spans="24:26" x14ac:dyDescent="0.3">
      <c r="X160">
        <v>371</v>
      </c>
      <c r="Y160">
        <v>1856</v>
      </c>
      <c r="Z160">
        <f t="shared" si="2"/>
        <v>2227</v>
      </c>
    </row>
    <row r="161" spans="24:26" x14ac:dyDescent="0.3">
      <c r="X161">
        <v>597</v>
      </c>
      <c r="Y161">
        <v>1421</v>
      </c>
      <c r="Z161">
        <f t="shared" si="2"/>
        <v>2018</v>
      </c>
    </row>
    <row r="162" spans="24:26" x14ac:dyDescent="0.3">
      <c r="X162">
        <v>513</v>
      </c>
      <c r="Y162">
        <v>1698</v>
      </c>
      <c r="Z162">
        <f t="shared" si="2"/>
        <v>2211</v>
      </c>
    </row>
    <row r="163" spans="24:26" x14ac:dyDescent="0.3">
      <c r="X163">
        <v>675</v>
      </c>
      <c r="Y163">
        <v>1511</v>
      </c>
      <c r="Z163">
        <f t="shared" si="2"/>
        <v>2186</v>
      </c>
    </row>
    <row r="164" spans="24:26" x14ac:dyDescent="0.3">
      <c r="X164">
        <v>389</v>
      </c>
      <c r="Y164">
        <v>1948</v>
      </c>
      <c r="Z164">
        <f t="shared" si="2"/>
        <v>2337</v>
      </c>
    </row>
    <row r="165" spans="24:26" x14ac:dyDescent="0.3">
      <c r="X165">
        <v>541</v>
      </c>
      <c r="Y165">
        <v>1414</v>
      </c>
      <c r="Z165">
        <f t="shared" si="2"/>
        <v>1955</v>
      </c>
    </row>
    <row r="166" spans="24:26" x14ac:dyDescent="0.3">
      <c r="X166">
        <v>470</v>
      </c>
      <c r="Y166">
        <v>1643</v>
      </c>
      <c r="Z166">
        <f t="shared" si="2"/>
        <v>2113</v>
      </c>
    </row>
    <row r="167" spans="24:26" x14ac:dyDescent="0.3">
      <c r="X167">
        <v>369</v>
      </c>
      <c r="Y167">
        <v>1944</v>
      </c>
      <c r="Z167">
        <f t="shared" si="2"/>
        <v>2313</v>
      </c>
    </row>
    <row r="168" spans="24:26" x14ac:dyDescent="0.3">
      <c r="X168">
        <v>615</v>
      </c>
      <c r="Y168">
        <v>1629</v>
      </c>
      <c r="Z168">
        <f t="shared" si="2"/>
        <v>2244</v>
      </c>
    </row>
    <row r="169" spans="24:26" x14ac:dyDescent="0.3">
      <c r="X169">
        <v>192</v>
      </c>
      <c r="Y169">
        <v>2135</v>
      </c>
      <c r="Z169">
        <f t="shared" si="2"/>
        <v>2327</v>
      </c>
    </row>
    <row r="170" spans="24:26" x14ac:dyDescent="0.3">
      <c r="X170">
        <v>813</v>
      </c>
      <c r="Y170">
        <v>1542</v>
      </c>
      <c r="Z170">
        <f t="shared" si="2"/>
        <v>2355</v>
      </c>
    </row>
    <row r="171" spans="24:26" x14ac:dyDescent="0.3">
      <c r="X171">
        <v>901</v>
      </c>
      <c r="Y171">
        <v>1458</v>
      </c>
      <c r="Z171">
        <f t="shared" si="2"/>
        <v>2359</v>
      </c>
    </row>
    <row r="172" spans="24:26" x14ac:dyDescent="0.3">
      <c r="X172">
        <v>767</v>
      </c>
      <c r="Y172">
        <v>1591</v>
      </c>
      <c r="Z172">
        <f t="shared" si="2"/>
        <v>2358</v>
      </c>
    </row>
    <row r="173" spans="24:26" x14ac:dyDescent="0.3">
      <c r="X173">
        <v>321</v>
      </c>
      <c r="Y173">
        <v>2015</v>
      </c>
      <c r="Z173">
        <f t="shared" si="2"/>
        <v>2336</v>
      </c>
    </row>
    <row r="174" spans="24:26" x14ac:dyDescent="0.3">
      <c r="X174">
        <v>890</v>
      </c>
      <c r="Y174">
        <v>1466</v>
      </c>
      <c r="Z174">
        <f t="shared" si="2"/>
        <v>2356</v>
      </c>
    </row>
    <row r="175" spans="24:26" x14ac:dyDescent="0.3">
      <c r="X175">
        <v>953</v>
      </c>
      <c r="Y175">
        <v>1374</v>
      </c>
      <c r="Z175">
        <f t="shared" si="2"/>
        <v>2327</v>
      </c>
    </row>
    <row r="176" spans="24:26" x14ac:dyDescent="0.3">
      <c r="X176">
        <v>737</v>
      </c>
      <c r="Y176">
        <v>1534</v>
      </c>
      <c r="Z176">
        <f t="shared" si="2"/>
        <v>2271</v>
      </c>
    </row>
    <row r="177" spans="24:26" x14ac:dyDescent="0.3">
      <c r="X177">
        <v>1354</v>
      </c>
      <c r="Y177">
        <v>1087</v>
      </c>
      <c r="Z177">
        <f t="shared" si="2"/>
        <v>2441</v>
      </c>
    </row>
    <row r="178" spans="24:26" x14ac:dyDescent="0.3">
      <c r="X178">
        <v>115</v>
      </c>
      <c r="Y178">
        <v>2209</v>
      </c>
      <c r="Z178">
        <f t="shared" si="2"/>
        <v>2324</v>
      </c>
    </row>
    <row r="179" spans="24:26" x14ac:dyDescent="0.3">
      <c r="X179">
        <v>1189</v>
      </c>
      <c r="Y179">
        <v>1183</v>
      </c>
      <c r="Z179">
        <f t="shared" si="2"/>
        <v>2372</v>
      </c>
    </row>
    <row r="180" spans="24:26" x14ac:dyDescent="0.3">
      <c r="X180">
        <v>891</v>
      </c>
      <c r="Y180">
        <v>1491</v>
      </c>
      <c r="Z180">
        <f t="shared" si="2"/>
        <v>2382</v>
      </c>
    </row>
    <row r="181" spans="24:26" x14ac:dyDescent="0.3">
      <c r="X181">
        <v>757</v>
      </c>
      <c r="Y181">
        <v>1271</v>
      </c>
      <c r="Z181">
        <f t="shared" si="2"/>
        <v>2028</v>
      </c>
    </row>
    <row r="182" spans="24:26" x14ac:dyDescent="0.3">
      <c r="X182">
        <v>450</v>
      </c>
      <c r="Y182">
        <v>1627</v>
      </c>
      <c r="Z182">
        <f t="shared" si="2"/>
        <v>2077</v>
      </c>
    </row>
    <row r="183" spans="24:26" x14ac:dyDescent="0.3">
      <c r="X183">
        <v>423</v>
      </c>
      <c r="Y183">
        <v>1349</v>
      </c>
      <c r="Z183">
        <f t="shared" si="2"/>
        <v>1772</v>
      </c>
    </row>
    <row r="184" spans="24:26" x14ac:dyDescent="0.3">
      <c r="X184">
        <v>1087</v>
      </c>
      <c r="Y184">
        <v>1309</v>
      </c>
      <c r="Z184">
        <f t="shared" si="2"/>
        <v>2396</v>
      </c>
    </row>
    <row r="185" spans="24:26" x14ac:dyDescent="0.3">
      <c r="X185">
        <v>670</v>
      </c>
      <c r="Y185">
        <v>1709</v>
      </c>
      <c r="Z185">
        <f t="shared" si="2"/>
        <v>2379</v>
      </c>
    </row>
    <row r="186" spans="24:26" x14ac:dyDescent="0.3">
      <c r="X186">
        <v>492</v>
      </c>
      <c r="Y186">
        <v>1829</v>
      </c>
      <c r="Z186">
        <f t="shared" si="2"/>
        <v>2321</v>
      </c>
    </row>
    <row r="187" spans="24:26" x14ac:dyDescent="0.3">
      <c r="X187">
        <v>654</v>
      </c>
      <c r="Y187">
        <v>1676</v>
      </c>
      <c r="Z187">
        <f t="shared" si="2"/>
        <v>2330</v>
      </c>
    </row>
    <row r="188" spans="24:26" x14ac:dyDescent="0.3">
      <c r="X188">
        <v>792</v>
      </c>
      <c r="Y188">
        <v>1558</v>
      </c>
      <c r="Z188">
        <f t="shared" si="2"/>
        <v>2350</v>
      </c>
    </row>
    <row r="189" spans="24:26" x14ac:dyDescent="0.3">
      <c r="X189">
        <v>891</v>
      </c>
      <c r="Y189">
        <v>1476</v>
      </c>
      <c r="Z189">
        <f t="shared" si="2"/>
        <v>2367</v>
      </c>
    </row>
    <row r="190" spans="24:26" x14ac:dyDescent="0.3">
      <c r="X190">
        <v>867</v>
      </c>
      <c r="Y190">
        <v>1488</v>
      </c>
      <c r="Z190">
        <f t="shared" si="2"/>
        <v>2355</v>
      </c>
    </row>
    <row r="191" spans="24:26" x14ac:dyDescent="0.3">
      <c r="X191">
        <v>847</v>
      </c>
      <c r="Y191">
        <v>1506</v>
      </c>
      <c r="Z191">
        <f t="shared" si="2"/>
        <v>2353</v>
      </c>
    </row>
    <row r="192" spans="24:26" x14ac:dyDescent="0.3">
      <c r="X192">
        <v>486</v>
      </c>
      <c r="Y192">
        <v>1838</v>
      </c>
      <c r="Z192">
        <f t="shared" si="2"/>
        <v>2324</v>
      </c>
    </row>
    <row r="193" spans="24:26" x14ac:dyDescent="0.3">
      <c r="X193">
        <v>622</v>
      </c>
      <c r="Y193">
        <v>1609</v>
      </c>
      <c r="Z193">
        <f t="shared" si="2"/>
        <v>2231</v>
      </c>
    </row>
    <row r="194" spans="24:26" x14ac:dyDescent="0.3">
      <c r="X194">
        <v>636</v>
      </c>
      <c r="Y194">
        <v>1303</v>
      </c>
      <c r="Z194">
        <f t="shared" si="2"/>
        <v>1939</v>
      </c>
    </row>
    <row r="195" spans="24:26" x14ac:dyDescent="0.3">
      <c r="X195">
        <v>423</v>
      </c>
      <c r="Y195">
        <v>1577</v>
      </c>
      <c r="Z195">
        <f t="shared" ref="Z195:Z258" si="3">X195+Y195</f>
        <v>2000</v>
      </c>
    </row>
    <row r="196" spans="24:26" x14ac:dyDescent="0.3">
      <c r="X196">
        <v>529</v>
      </c>
      <c r="Y196">
        <v>1557</v>
      </c>
      <c r="Z196">
        <f t="shared" si="3"/>
        <v>2086</v>
      </c>
    </row>
    <row r="197" spans="24:26" x14ac:dyDescent="0.3">
      <c r="X197">
        <v>590</v>
      </c>
      <c r="Y197">
        <v>1599</v>
      </c>
      <c r="Z197">
        <f t="shared" si="3"/>
        <v>2189</v>
      </c>
    </row>
    <row r="198" spans="24:26" x14ac:dyDescent="0.3">
      <c r="X198">
        <v>588</v>
      </c>
      <c r="Y198">
        <v>1342</v>
      </c>
      <c r="Z198">
        <f t="shared" si="3"/>
        <v>1930</v>
      </c>
    </row>
    <row r="199" spans="24:26" x14ac:dyDescent="0.3">
      <c r="X199">
        <v>671</v>
      </c>
      <c r="Y199">
        <v>1339</v>
      </c>
      <c r="Z199">
        <f t="shared" si="3"/>
        <v>2010</v>
      </c>
    </row>
    <row r="200" spans="24:26" x14ac:dyDescent="0.3">
      <c r="X200">
        <v>435</v>
      </c>
      <c r="Y200">
        <v>1877</v>
      </c>
      <c r="Z200">
        <f t="shared" si="3"/>
        <v>2312</v>
      </c>
    </row>
    <row r="201" spans="24:26" x14ac:dyDescent="0.3">
      <c r="X201">
        <v>445</v>
      </c>
      <c r="Y201">
        <v>1570</v>
      </c>
      <c r="Z201">
        <f t="shared" si="3"/>
        <v>2015</v>
      </c>
    </row>
    <row r="202" spans="24:26" x14ac:dyDescent="0.3">
      <c r="X202">
        <v>404</v>
      </c>
      <c r="Y202">
        <v>1947</v>
      </c>
      <c r="Z202">
        <f t="shared" si="3"/>
        <v>2351</v>
      </c>
    </row>
    <row r="203" spans="24:26" x14ac:dyDescent="0.3">
      <c r="X203">
        <v>653</v>
      </c>
      <c r="Y203">
        <v>1461</v>
      </c>
      <c r="Z203">
        <f t="shared" si="3"/>
        <v>2114</v>
      </c>
    </row>
    <row r="204" spans="24:26" x14ac:dyDescent="0.3">
      <c r="X204">
        <v>480</v>
      </c>
      <c r="Y204">
        <v>1626</v>
      </c>
      <c r="Z204">
        <f t="shared" si="3"/>
        <v>2106</v>
      </c>
    </row>
    <row r="205" spans="24:26" x14ac:dyDescent="0.3">
      <c r="X205">
        <v>567</v>
      </c>
      <c r="Y205">
        <v>1415</v>
      </c>
      <c r="Z205">
        <f t="shared" si="3"/>
        <v>1982</v>
      </c>
    </row>
    <row r="206" spans="24:26" x14ac:dyDescent="0.3">
      <c r="X206">
        <v>658</v>
      </c>
      <c r="Y206">
        <v>1635</v>
      </c>
      <c r="Z206">
        <f t="shared" si="3"/>
        <v>2293</v>
      </c>
    </row>
    <row r="207" spans="24:26" x14ac:dyDescent="0.3">
      <c r="X207">
        <v>696</v>
      </c>
      <c r="Y207">
        <v>1678</v>
      </c>
      <c r="Z207">
        <f t="shared" si="3"/>
        <v>2374</v>
      </c>
    </row>
    <row r="208" spans="24:26" x14ac:dyDescent="0.3">
      <c r="X208">
        <v>699</v>
      </c>
      <c r="Y208">
        <v>1649</v>
      </c>
      <c r="Z208">
        <f t="shared" si="3"/>
        <v>2348</v>
      </c>
    </row>
    <row r="209" spans="24:26" x14ac:dyDescent="0.3">
      <c r="X209">
        <v>900</v>
      </c>
      <c r="Y209">
        <v>1483</v>
      </c>
      <c r="Z209">
        <f t="shared" si="3"/>
        <v>2383</v>
      </c>
    </row>
    <row r="210" spans="24:26" x14ac:dyDescent="0.3">
      <c r="X210">
        <v>319</v>
      </c>
      <c r="Y210">
        <v>2014</v>
      </c>
      <c r="Z210">
        <f t="shared" si="3"/>
        <v>2333</v>
      </c>
    </row>
    <row r="211" spans="24:26" x14ac:dyDescent="0.3">
      <c r="X211">
        <v>545</v>
      </c>
      <c r="Y211">
        <v>1818</v>
      </c>
      <c r="Z211">
        <f t="shared" si="3"/>
        <v>2363</v>
      </c>
    </row>
    <row r="212" spans="24:26" x14ac:dyDescent="0.3">
      <c r="X212">
        <v>667</v>
      </c>
      <c r="Y212">
        <v>1569</v>
      </c>
      <c r="Z212">
        <f t="shared" si="3"/>
        <v>2236</v>
      </c>
    </row>
    <row r="213" spans="24:26" x14ac:dyDescent="0.3">
      <c r="X213">
        <v>938</v>
      </c>
      <c r="Y213">
        <v>1333</v>
      </c>
      <c r="Z213">
        <f t="shared" si="3"/>
        <v>2271</v>
      </c>
    </row>
    <row r="214" spans="24:26" x14ac:dyDescent="0.3">
      <c r="X214">
        <v>595</v>
      </c>
      <c r="Y214">
        <v>1771</v>
      </c>
      <c r="Z214">
        <f t="shared" si="3"/>
        <v>2366</v>
      </c>
    </row>
    <row r="215" spans="24:26" x14ac:dyDescent="0.3">
      <c r="X215">
        <v>520</v>
      </c>
      <c r="Y215">
        <v>1843</v>
      </c>
      <c r="Z215">
        <f t="shared" si="3"/>
        <v>2363</v>
      </c>
    </row>
    <row r="216" spans="24:26" x14ac:dyDescent="0.3">
      <c r="X216">
        <v>739</v>
      </c>
      <c r="Y216">
        <v>1619</v>
      </c>
      <c r="Z216">
        <f t="shared" si="3"/>
        <v>2358</v>
      </c>
    </row>
    <row r="217" spans="24:26" x14ac:dyDescent="0.3">
      <c r="X217">
        <v>818</v>
      </c>
      <c r="Y217">
        <v>1562</v>
      </c>
      <c r="Z217">
        <f t="shared" si="3"/>
        <v>2380</v>
      </c>
    </row>
    <row r="218" spans="24:26" x14ac:dyDescent="0.3">
      <c r="X218">
        <v>715</v>
      </c>
      <c r="Y218">
        <v>1644</v>
      </c>
      <c r="Z218">
        <f t="shared" si="3"/>
        <v>2359</v>
      </c>
    </row>
    <row r="219" spans="24:26" x14ac:dyDescent="0.3">
      <c r="X219">
        <v>419</v>
      </c>
      <c r="Y219">
        <v>1935</v>
      </c>
      <c r="Z219">
        <f t="shared" si="3"/>
        <v>2354</v>
      </c>
    </row>
    <row r="220" spans="24:26" x14ac:dyDescent="0.3">
      <c r="X220">
        <v>627</v>
      </c>
      <c r="Y220">
        <v>1353</v>
      </c>
      <c r="Z220">
        <f t="shared" si="3"/>
        <v>1980</v>
      </c>
    </row>
    <row r="221" spans="24:26" x14ac:dyDescent="0.3">
      <c r="X221">
        <v>558</v>
      </c>
      <c r="Y221">
        <v>1705</v>
      </c>
      <c r="Z221">
        <f t="shared" si="3"/>
        <v>2263</v>
      </c>
    </row>
    <row r="222" spans="24:26" x14ac:dyDescent="0.3">
      <c r="X222">
        <v>839</v>
      </c>
      <c r="Y222">
        <v>1492</v>
      </c>
      <c r="Z222">
        <f t="shared" si="3"/>
        <v>2331</v>
      </c>
    </row>
    <row r="223" spans="24:26" x14ac:dyDescent="0.3">
      <c r="X223">
        <v>681</v>
      </c>
      <c r="Y223">
        <v>1600</v>
      </c>
      <c r="Z223">
        <f t="shared" si="3"/>
        <v>2281</v>
      </c>
    </row>
    <row r="224" spans="24:26" x14ac:dyDescent="0.3">
      <c r="X224">
        <v>399</v>
      </c>
      <c r="Y224">
        <v>1716</v>
      </c>
      <c r="Z224">
        <f t="shared" si="3"/>
        <v>2115</v>
      </c>
    </row>
    <row r="225" spans="24:26" x14ac:dyDescent="0.3">
      <c r="X225">
        <v>875</v>
      </c>
      <c r="Y225">
        <v>1437</v>
      </c>
      <c r="Z225">
        <f t="shared" si="3"/>
        <v>2312</v>
      </c>
    </row>
    <row r="226" spans="24:26" x14ac:dyDescent="0.3">
      <c r="X226">
        <v>1146</v>
      </c>
      <c r="Y226">
        <v>1235</v>
      </c>
      <c r="Z226">
        <f t="shared" si="3"/>
        <v>2381</v>
      </c>
    </row>
    <row r="227" spans="24:26" x14ac:dyDescent="0.3">
      <c r="X227">
        <v>616</v>
      </c>
      <c r="Y227">
        <v>1769</v>
      </c>
      <c r="Z227">
        <f t="shared" si="3"/>
        <v>2385</v>
      </c>
    </row>
    <row r="228" spans="24:26" x14ac:dyDescent="0.3">
      <c r="X228">
        <v>330</v>
      </c>
      <c r="Y228">
        <v>2024</v>
      </c>
      <c r="Z228">
        <f t="shared" si="3"/>
        <v>2354</v>
      </c>
    </row>
    <row r="229" spans="24:26" x14ac:dyDescent="0.3">
      <c r="X229">
        <v>1444</v>
      </c>
      <c r="Y229">
        <v>997</v>
      </c>
      <c r="Z229">
        <f t="shared" si="3"/>
        <v>2441</v>
      </c>
    </row>
    <row r="230" spans="24:26" x14ac:dyDescent="0.3">
      <c r="X230">
        <v>344</v>
      </c>
      <c r="Y230">
        <v>1999</v>
      </c>
      <c r="Z230">
        <f t="shared" si="3"/>
        <v>2343</v>
      </c>
    </row>
    <row r="231" spans="24:26" x14ac:dyDescent="0.3">
      <c r="X231">
        <v>885</v>
      </c>
      <c r="Y231">
        <v>1463</v>
      </c>
      <c r="Z231">
        <f t="shared" si="3"/>
        <v>2348</v>
      </c>
    </row>
    <row r="232" spans="24:26" x14ac:dyDescent="0.3">
      <c r="X232">
        <v>830</v>
      </c>
      <c r="Y232">
        <v>1359</v>
      </c>
      <c r="Z232">
        <f t="shared" si="3"/>
        <v>2189</v>
      </c>
    </row>
    <row r="233" spans="24:26" x14ac:dyDescent="0.3">
      <c r="X233">
        <v>524</v>
      </c>
      <c r="Y233">
        <v>1457</v>
      </c>
      <c r="Z233">
        <f t="shared" si="3"/>
        <v>1981</v>
      </c>
    </row>
    <row r="234" spans="24:26" x14ac:dyDescent="0.3">
      <c r="X234">
        <v>297</v>
      </c>
      <c r="Y234">
        <v>2056</v>
      </c>
      <c r="Z234">
        <f t="shared" si="3"/>
        <v>2353</v>
      </c>
    </row>
    <row r="235" spans="24:26" x14ac:dyDescent="0.3">
      <c r="X235">
        <v>841</v>
      </c>
      <c r="Y235">
        <v>1373</v>
      </c>
      <c r="Z235">
        <f t="shared" si="3"/>
        <v>2214</v>
      </c>
    </row>
    <row r="236" spans="24:26" x14ac:dyDescent="0.3">
      <c r="X236">
        <v>377</v>
      </c>
      <c r="Y236">
        <v>1986</v>
      </c>
      <c r="Z236">
        <f t="shared" si="3"/>
        <v>2363</v>
      </c>
    </row>
    <row r="237" spans="24:26" x14ac:dyDescent="0.3">
      <c r="X237">
        <v>408</v>
      </c>
      <c r="Y237">
        <v>1955</v>
      </c>
      <c r="Z237">
        <f t="shared" si="3"/>
        <v>2363</v>
      </c>
    </row>
    <row r="238" spans="24:26" x14ac:dyDescent="0.3">
      <c r="X238">
        <v>535</v>
      </c>
      <c r="Y238">
        <v>1840</v>
      </c>
      <c r="Z238">
        <f t="shared" si="3"/>
        <v>2375</v>
      </c>
    </row>
    <row r="239" spans="24:26" x14ac:dyDescent="0.3">
      <c r="X239">
        <v>454</v>
      </c>
      <c r="Y239">
        <v>1613</v>
      </c>
      <c r="Z239">
        <f t="shared" si="3"/>
        <v>2067</v>
      </c>
    </row>
    <row r="240" spans="24:26" x14ac:dyDescent="0.3">
      <c r="X240">
        <v>574</v>
      </c>
      <c r="Y240">
        <v>1409</v>
      </c>
      <c r="Z240">
        <f t="shared" si="3"/>
        <v>1983</v>
      </c>
    </row>
    <row r="241" spans="24:26" x14ac:dyDescent="0.3">
      <c r="X241">
        <v>518</v>
      </c>
      <c r="Y241">
        <v>1784</v>
      </c>
      <c r="Z241">
        <f t="shared" si="3"/>
        <v>2302</v>
      </c>
    </row>
    <row r="242" spans="24:26" x14ac:dyDescent="0.3">
      <c r="X242">
        <v>443</v>
      </c>
      <c r="Y242">
        <v>1922</v>
      </c>
      <c r="Z242">
        <f t="shared" si="3"/>
        <v>2365</v>
      </c>
    </row>
    <row r="243" spans="24:26" x14ac:dyDescent="0.3">
      <c r="X243">
        <v>507</v>
      </c>
      <c r="Y243">
        <v>1786</v>
      </c>
      <c r="Z243">
        <f t="shared" si="3"/>
        <v>2293</v>
      </c>
    </row>
    <row r="244" spans="24:26" x14ac:dyDescent="0.3">
      <c r="X244">
        <v>489</v>
      </c>
      <c r="Y244">
        <v>1663</v>
      </c>
      <c r="Z244">
        <f t="shared" si="3"/>
        <v>2152</v>
      </c>
    </row>
    <row r="245" spans="24:26" x14ac:dyDescent="0.3">
      <c r="X245">
        <v>541</v>
      </c>
      <c r="Y245">
        <v>1706</v>
      </c>
      <c r="Z245">
        <f t="shared" si="3"/>
        <v>2247</v>
      </c>
    </row>
    <row r="246" spans="24:26" x14ac:dyDescent="0.3">
      <c r="X246">
        <v>518</v>
      </c>
      <c r="Y246">
        <v>1486</v>
      </c>
      <c r="Z246">
        <f t="shared" si="3"/>
        <v>2004</v>
      </c>
    </row>
    <row r="247" spans="24:26" x14ac:dyDescent="0.3">
      <c r="X247">
        <v>660</v>
      </c>
      <c r="Y247">
        <v>1444</v>
      </c>
      <c r="Z247">
        <f t="shared" si="3"/>
        <v>2104</v>
      </c>
    </row>
    <row r="248" spans="24:26" x14ac:dyDescent="0.3">
      <c r="X248">
        <v>676</v>
      </c>
      <c r="Y248">
        <v>1717</v>
      </c>
      <c r="Z248">
        <f t="shared" si="3"/>
        <v>2393</v>
      </c>
    </row>
    <row r="249" spans="24:26" x14ac:dyDescent="0.3">
      <c r="X249">
        <v>912</v>
      </c>
      <c r="Y249">
        <v>1490</v>
      </c>
      <c r="Z249">
        <f t="shared" si="3"/>
        <v>2402</v>
      </c>
    </row>
    <row r="250" spans="24:26" x14ac:dyDescent="0.3">
      <c r="X250">
        <v>381</v>
      </c>
      <c r="Y250">
        <v>1961</v>
      </c>
      <c r="Z250">
        <f t="shared" si="3"/>
        <v>2342</v>
      </c>
    </row>
    <row r="251" spans="24:26" x14ac:dyDescent="0.3">
      <c r="X251">
        <v>950</v>
      </c>
      <c r="Y251">
        <v>1447</v>
      </c>
      <c r="Z251">
        <f t="shared" si="3"/>
        <v>2397</v>
      </c>
    </row>
    <row r="252" spans="24:26" x14ac:dyDescent="0.3">
      <c r="X252">
        <v>590</v>
      </c>
      <c r="Y252">
        <v>1775</v>
      </c>
      <c r="Z252">
        <f t="shared" si="3"/>
        <v>2365</v>
      </c>
    </row>
    <row r="253" spans="24:26" x14ac:dyDescent="0.3">
      <c r="X253">
        <v>508</v>
      </c>
      <c r="Y253">
        <v>1864</v>
      </c>
      <c r="Z253">
        <f t="shared" si="3"/>
        <v>2372</v>
      </c>
    </row>
    <row r="254" spans="24:26" x14ac:dyDescent="0.3">
      <c r="X254">
        <v>806</v>
      </c>
      <c r="Y254">
        <v>1529</v>
      </c>
      <c r="Z254">
        <f t="shared" si="3"/>
        <v>2335</v>
      </c>
    </row>
    <row r="255" spans="24:26" x14ac:dyDescent="0.3">
      <c r="X255">
        <v>206</v>
      </c>
      <c r="Y255">
        <v>2143</v>
      </c>
      <c r="Z255">
        <f t="shared" si="3"/>
        <v>2349</v>
      </c>
    </row>
    <row r="256" spans="24:26" x14ac:dyDescent="0.3">
      <c r="X256">
        <v>787</v>
      </c>
      <c r="Y256">
        <v>1583</v>
      </c>
      <c r="Z256">
        <f t="shared" si="3"/>
        <v>2370</v>
      </c>
    </row>
    <row r="257" spans="24:26" x14ac:dyDescent="0.3">
      <c r="X257">
        <v>555</v>
      </c>
      <c r="Y257">
        <v>1817</v>
      </c>
      <c r="Z257">
        <f t="shared" si="3"/>
        <v>2372</v>
      </c>
    </row>
    <row r="258" spans="24:26" x14ac:dyDescent="0.3">
      <c r="X258">
        <v>1227</v>
      </c>
      <c r="Y258">
        <v>1212</v>
      </c>
      <c r="Z258">
        <f t="shared" si="3"/>
        <v>2439</v>
      </c>
    </row>
    <row r="259" spans="24:26" x14ac:dyDescent="0.3">
      <c r="X259">
        <v>144</v>
      </c>
      <c r="Y259">
        <v>2191</v>
      </c>
      <c r="Z259">
        <f t="shared" ref="Z259:Z286" si="4">X259+Y259</f>
        <v>2335</v>
      </c>
    </row>
    <row r="260" spans="24:26" x14ac:dyDescent="0.3">
      <c r="X260">
        <v>1141</v>
      </c>
      <c r="Y260">
        <v>1243</v>
      </c>
      <c r="Z260">
        <f t="shared" si="4"/>
        <v>2384</v>
      </c>
    </row>
    <row r="261" spans="24:26" x14ac:dyDescent="0.3">
      <c r="X261">
        <v>1029</v>
      </c>
      <c r="Y261">
        <v>1364</v>
      </c>
      <c r="Z261">
        <f t="shared" si="4"/>
        <v>2393</v>
      </c>
    </row>
    <row r="262" spans="24:26" x14ac:dyDescent="0.3">
      <c r="X262">
        <v>464</v>
      </c>
      <c r="Y262">
        <v>1899</v>
      </c>
      <c r="Z262">
        <f t="shared" si="4"/>
        <v>2363</v>
      </c>
    </row>
    <row r="263" spans="24:26" x14ac:dyDescent="0.3">
      <c r="X263">
        <v>738</v>
      </c>
      <c r="Y263">
        <v>1432</v>
      </c>
      <c r="Z263">
        <f t="shared" si="4"/>
        <v>2170</v>
      </c>
    </row>
    <row r="264" spans="24:26" x14ac:dyDescent="0.3">
      <c r="X264">
        <v>1148</v>
      </c>
      <c r="Y264">
        <v>1188</v>
      </c>
      <c r="Z264">
        <f t="shared" si="4"/>
        <v>2336</v>
      </c>
    </row>
    <row r="265" spans="24:26" x14ac:dyDescent="0.3">
      <c r="X265">
        <v>502</v>
      </c>
      <c r="Y265">
        <v>1876</v>
      </c>
      <c r="Z265">
        <f t="shared" si="4"/>
        <v>2378</v>
      </c>
    </row>
    <row r="266" spans="24:26" x14ac:dyDescent="0.3">
      <c r="X266">
        <v>1081</v>
      </c>
      <c r="Y266">
        <v>1330</v>
      </c>
      <c r="Z266">
        <f t="shared" si="4"/>
        <v>2411</v>
      </c>
    </row>
    <row r="267" spans="24:26" x14ac:dyDescent="0.3">
      <c r="X267">
        <v>716</v>
      </c>
      <c r="Y267">
        <v>1653</v>
      </c>
      <c r="Z267">
        <f t="shared" si="4"/>
        <v>2369</v>
      </c>
    </row>
    <row r="268" spans="24:26" x14ac:dyDescent="0.3">
      <c r="X268">
        <v>429</v>
      </c>
      <c r="Y268">
        <v>1935</v>
      </c>
      <c r="Z268">
        <f t="shared" si="4"/>
        <v>2364</v>
      </c>
    </row>
    <row r="269" spans="24:26" x14ac:dyDescent="0.3">
      <c r="X269">
        <v>495</v>
      </c>
      <c r="Y269">
        <v>1853</v>
      </c>
      <c r="Z269">
        <f t="shared" si="4"/>
        <v>2348</v>
      </c>
    </row>
    <row r="270" spans="24:26" x14ac:dyDescent="0.3">
      <c r="X270">
        <v>652</v>
      </c>
      <c r="Y270">
        <v>1728</v>
      </c>
      <c r="Z270">
        <f t="shared" si="4"/>
        <v>2380</v>
      </c>
    </row>
    <row r="271" spans="24:26" x14ac:dyDescent="0.3">
      <c r="X271">
        <v>742</v>
      </c>
      <c r="Y271">
        <v>1630</v>
      </c>
      <c r="Z271">
        <f t="shared" si="4"/>
        <v>2372</v>
      </c>
    </row>
    <row r="272" spans="24:26" x14ac:dyDescent="0.3">
      <c r="X272">
        <v>754</v>
      </c>
      <c r="Y272">
        <v>1617</v>
      </c>
      <c r="Z272">
        <f t="shared" si="4"/>
        <v>2371</v>
      </c>
    </row>
    <row r="273" spans="24:26" x14ac:dyDescent="0.3">
      <c r="X273">
        <v>724</v>
      </c>
      <c r="Y273">
        <v>1188</v>
      </c>
      <c r="Z273">
        <f t="shared" si="4"/>
        <v>1912</v>
      </c>
    </row>
    <row r="274" spans="24:26" x14ac:dyDescent="0.3">
      <c r="X274">
        <v>482</v>
      </c>
      <c r="Y274">
        <v>1737</v>
      </c>
      <c r="Z274">
        <f t="shared" si="4"/>
        <v>2219</v>
      </c>
    </row>
    <row r="275" spans="24:26" x14ac:dyDescent="0.3">
      <c r="X275">
        <v>689</v>
      </c>
      <c r="Y275">
        <v>910</v>
      </c>
      <c r="Z275">
        <f t="shared" si="4"/>
        <v>1599</v>
      </c>
    </row>
    <row r="276" spans="24:26" x14ac:dyDescent="0.3">
      <c r="X276">
        <v>641</v>
      </c>
      <c r="Y276">
        <v>835</v>
      </c>
      <c r="Z276">
        <f t="shared" si="4"/>
        <v>1476</v>
      </c>
    </row>
    <row r="277" spans="24:26" x14ac:dyDescent="0.3">
      <c r="X277">
        <v>510</v>
      </c>
      <c r="Y277">
        <v>668</v>
      </c>
      <c r="Z277">
        <f t="shared" si="4"/>
        <v>1178</v>
      </c>
    </row>
    <row r="278" spans="24:26" x14ac:dyDescent="0.3">
      <c r="X278">
        <v>426</v>
      </c>
      <c r="Y278">
        <v>592</v>
      </c>
      <c r="Z278">
        <f t="shared" si="4"/>
        <v>1018</v>
      </c>
    </row>
    <row r="279" spans="24:26" x14ac:dyDescent="0.3">
      <c r="X279">
        <v>436</v>
      </c>
      <c r="Y279">
        <v>634</v>
      </c>
      <c r="Z279">
        <f t="shared" si="4"/>
        <v>1070</v>
      </c>
    </row>
    <row r="280" spans="24:26" x14ac:dyDescent="0.3">
      <c r="X280">
        <v>386</v>
      </c>
      <c r="Y280">
        <v>487</v>
      </c>
      <c r="Z280">
        <f t="shared" si="4"/>
        <v>873</v>
      </c>
    </row>
    <row r="281" spans="24:26" x14ac:dyDescent="0.3">
      <c r="X281">
        <v>347</v>
      </c>
      <c r="Y281">
        <v>390</v>
      </c>
      <c r="Z281">
        <f t="shared" si="4"/>
        <v>737</v>
      </c>
    </row>
    <row r="282" spans="24:26" x14ac:dyDescent="0.3">
      <c r="X282">
        <v>344</v>
      </c>
      <c r="Y282">
        <v>359</v>
      </c>
      <c r="Z282">
        <f t="shared" si="4"/>
        <v>703</v>
      </c>
    </row>
    <row r="283" spans="24:26" x14ac:dyDescent="0.3">
      <c r="X283">
        <v>306</v>
      </c>
      <c r="Y283">
        <v>431</v>
      </c>
      <c r="Z283">
        <f t="shared" si="4"/>
        <v>737</v>
      </c>
    </row>
    <row r="284" spans="24:26" x14ac:dyDescent="0.3">
      <c r="X284">
        <v>141</v>
      </c>
      <c r="Y284">
        <v>274</v>
      </c>
      <c r="Z284">
        <f t="shared" si="4"/>
        <v>415</v>
      </c>
    </row>
    <row r="285" spans="24:26" x14ac:dyDescent="0.3">
      <c r="X285">
        <v>190</v>
      </c>
      <c r="Y285">
        <v>195</v>
      </c>
      <c r="Z285">
        <f t="shared" si="4"/>
        <v>385</v>
      </c>
    </row>
    <row r="286" spans="24:26" x14ac:dyDescent="0.3">
      <c r="X286">
        <v>16</v>
      </c>
      <c r="Y286">
        <v>80</v>
      </c>
      <c r="Z286">
        <f t="shared" si="4"/>
        <v>96</v>
      </c>
    </row>
  </sheetData>
  <mergeCells count="2">
    <mergeCell ref="K54:M54"/>
    <mergeCell ref="N54:P54"/>
  </mergeCells>
  <phoneticPr fontId="1" type="noConversion"/>
  <pageMargins left="0.7" right="0.7" top="0.75" bottom="0.75" header="0.3" footer="0.3"/>
  <pageSetup paperSize="9"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B32B6-8F0B-4A9E-A124-66DF7A40847E}">
  <sheetPr codeName="Sheet10"/>
  <dimension ref="A1:Q88"/>
  <sheetViews>
    <sheetView topLeftCell="A55" zoomScale="85" zoomScaleNormal="85" workbookViewId="0">
      <selection activeCell="N60" sqref="N60:Q65"/>
    </sheetView>
  </sheetViews>
  <sheetFormatPr defaultRowHeight="14" x14ac:dyDescent="0.3"/>
  <sheetData>
    <row r="1" spans="1:10" x14ac:dyDescent="0.3">
      <c r="A1" t="s">
        <v>351</v>
      </c>
      <c r="G1" t="s">
        <v>356</v>
      </c>
    </row>
    <row r="2" spans="1:10" x14ac:dyDescent="0.3">
      <c r="A2" t="s">
        <v>355</v>
      </c>
      <c r="B2" t="s">
        <v>352</v>
      </c>
      <c r="C2" t="s">
        <v>353</v>
      </c>
      <c r="D2" t="s">
        <v>354</v>
      </c>
      <c r="H2" t="s">
        <v>352</v>
      </c>
      <c r="I2" t="s">
        <v>353</v>
      </c>
      <c r="J2" t="s">
        <v>354</v>
      </c>
    </row>
    <row r="3" spans="1:10" x14ac:dyDescent="0.3">
      <c r="A3">
        <v>0</v>
      </c>
      <c r="B3">
        <v>46020</v>
      </c>
      <c r="C3">
        <v>34040</v>
      </c>
      <c r="D3">
        <v>96020</v>
      </c>
      <c r="G3">
        <v>0</v>
      </c>
      <c r="H3">
        <v>21729</v>
      </c>
      <c r="I3">
        <v>29376</v>
      </c>
      <c r="J3">
        <v>10414</v>
      </c>
    </row>
    <row r="4" spans="1:10" x14ac:dyDescent="0.3">
      <c r="A4">
        <v>1</v>
      </c>
      <c r="B4">
        <v>46432</v>
      </c>
      <c r="C4">
        <v>33359</v>
      </c>
      <c r="D4">
        <v>97627</v>
      </c>
      <c r="G4">
        <v>1</v>
      </c>
      <c r="H4">
        <v>21536</v>
      </c>
      <c r="I4">
        <v>29976</v>
      </c>
      <c r="J4">
        <v>10243</v>
      </c>
    </row>
    <row r="5" spans="1:10" x14ac:dyDescent="0.3">
      <c r="A5">
        <v>20</v>
      </c>
      <c r="B5">
        <v>38476</v>
      </c>
      <c r="C5">
        <v>28589</v>
      </c>
      <c r="D5">
        <v>61589</v>
      </c>
      <c r="G5">
        <v>20</v>
      </c>
      <c r="H5">
        <v>25989</v>
      </c>
      <c r="I5">
        <v>34977</v>
      </c>
      <c r="J5">
        <v>16236</v>
      </c>
    </row>
    <row r="6" spans="1:10" x14ac:dyDescent="0.3">
      <c r="A6">
        <v>50</v>
      </c>
      <c r="B6">
        <v>31158</v>
      </c>
      <c r="C6">
        <v>22515</v>
      </c>
      <c r="D6">
        <v>43244</v>
      </c>
      <c r="G6">
        <v>50</v>
      </c>
      <c r="H6">
        <v>32094</v>
      </c>
      <c r="I6">
        <v>44413</v>
      </c>
      <c r="J6">
        <v>23124</v>
      </c>
    </row>
    <row r="7" spans="1:10" x14ac:dyDescent="0.3">
      <c r="A7">
        <v>100</v>
      </c>
      <c r="B7">
        <v>23514</v>
      </c>
      <c r="C7">
        <v>18012</v>
      </c>
      <c r="D7">
        <v>28203</v>
      </c>
      <c r="G7">
        <v>100</v>
      </c>
      <c r="H7">
        <v>42526</v>
      </c>
      <c r="I7">
        <v>55517</v>
      </c>
      <c r="J7">
        <v>35456</v>
      </c>
    </row>
    <row r="9" spans="1:10" x14ac:dyDescent="0.3">
      <c r="B9" t="s">
        <v>359</v>
      </c>
      <c r="C9" t="s">
        <v>357</v>
      </c>
      <c r="D9" t="s">
        <v>358</v>
      </c>
    </row>
    <row r="21" spans="1:9" x14ac:dyDescent="0.3">
      <c r="B21" t="s">
        <v>360</v>
      </c>
    </row>
    <row r="23" spans="1:9" x14ac:dyDescent="0.3">
      <c r="A23" t="s">
        <v>355</v>
      </c>
      <c r="B23" t="s">
        <v>352</v>
      </c>
      <c r="C23" t="s">
        <v>353</v>
      </c>
      <c r="D23" t="s">
        <v>354</v>
      </c>
      <c r="G23" t="s">
        <v>352</v>
      </c>
      <c r="H23" t="s">
        <v>353</v>
      </c>
      <c r="I23" t="s">
        <v>354</v>
      </c>
    </row>
    <row r="24" spans="1:9" x14ac:dyDescent="0.3">
      <c r="A24">
        <v>0</v>
      </c>
      <c r="B24">
        <v>46020</v>
      </c>
      <c r="C24">
        <v>40376</v>
      </c>
      <c r="D24">
        <v>35059</v>
      </c>
      <c r="F24">
        <v>0</v>
      </c>
      <c r="G24">
        <v>21729</v>
      </c>
      <c r="H24">
        <v>24767</v>
      </c>
      <c r="I24">
        <v>28523</v>
      </c>
    </row>
    <row r="25" spans="1:9" x14ac:dyDescent="0.3">
      <c r="A25">
        <v>1</v>
      </c>
      <c r="B25">
        <v>46432</v>
      </c>
      <c r="C25">
        <v>38998</v>
      </c>
      <c r="D25">
        <v>35068</v>
      </c>
      <c r="F25">
        <v>1</v>
      </c>
      <c r="G25">
        <v>21536</v>
      </c>
      <c r="H25">
        <v>25641</v>
      </c>
      <c r="I25">
        <v>28515</v>
      </c>
    </row>
    <row r="26" spans="1:9" x14ac:dyDescent="0.3">
      <c r="A26">
        <v>20</v>
      </c>
      <c r="B26">
        <v>38476</v>
      </c>
      <c r="C26">
        <v>32568</v>
      </c>
      <c r="D26">
        <v>28809</v>
      </c>
      <c r="F26">
        <v>20</v>
      </c>
      <c r="G26">
        <v>25989</v>
      </c>
      <c r="H26">
        <v>30704</v>
      </c>
      <c r="I26">
        <v>34710</v>
      </c>
    </row>
    <row r="27" spans="1:9" x14ac:dyDescent="0.3">
      <c r="A27">
        <v>50</v>
      </c>
      <c r="B27">
        <v>31158</v>
      </c>
      <c r="C27">
        <v>26454</v>
      </c>
      <c r="D27">
        <v>23159</v>
      </c>
      <c r="F27">
        <v>50</v>
      </c>
      <c r="G27">
        <v>32094</v>
      </c>
      <c r="H27">
        <v>37800</v>
      </c>
      <c r="I27">
        <v>43178</v>
      </c>
    </row>
    <row r="28" spans="1:9" x14ac:dyDescent="0.3">
      <c r="A28">
        <v>100</v>
      </c>
      <c r="B28">
        <v>23514</v>
      </c>
      <c r="C28">
        <v>20057</v>
      </c>
      <c r="D28">
        <v>17632</v>
      </c>
      <c r="F28">
        <v>100</v>
      </c>
      <c r="G28">
        <v>42526</v>
      </c>
      <c r="H28">
        <v>49855</v>
      </c>
      <c r="I28">
        <v>56714</v>
      </c>
    </row>
    <row r="29" spans="1:9" x14ac:dyDescent="0.3">
      <c r="G29">
        <f>G28-G27</f>
        <v>10432</v>
      </c>
      <c r="H29">
        <f>H28-H27</f>
        <v>12055</v>
      </c>
      <c r="I29">
        <f>I28-I27</f>
        <v>13536</v>
      </c>
    </row>
    <row r="30" spans="1:9" x14ac:dyDescent="0.3">
      <c r="C30" t="s">
        <v>361</v>
      </c>
      <c r="G30">
        <f>G27-G24</f>
        <v>10365</v>
      </c>
      <c r="H30">
        <f>H27-H24</f>
        <v>13033</v>
      </c>
      <c r="I30">
        <f>I27-I24</f>
        <v>14655</v>
      </c>
    </row>
    <row r="46" spans="1:10" x14ac:dyDescent="0.3">
      <c r="C46" t="s">
        <v>362</v>
      </c>
      <c r="E46" t="s">
        <v>364</v>
      </c>
      <c r="G46" t="s">
        <v>411</v>
      </c>
    </row>
    <row r="47" spans="1:10" x14ac:dyDescent="0.3">
      <c r="A47" t="s">
        <v>355</v>
      </c>
      <c r="B47" t="s">
        <v>352</v>
      </c>
      <c r="C47" t="s">
        <v>353</v>
      </c>
      <c r="D47" t="s">
        <v>354</v>
      </c>
      <c r="E47" t="s">
        <v>363</v>
      </c>
      <c r="G47" t="s">
        <v>352</v>
      </c>
      <c r="H47" t="s">
        <v>353</v>
      </c>
      <c r="I47" t="s">
        <v>354</v>
      </c>
      <c r="J47" t="s">
        <v>363</v>
      </c>
    </row>
    <row r="48" spans="1:10" x14ac:dyDescent="0.3">
      <c r="A48" t="s">
        <v>554</v>
      </c>
      <c r="B48">
        <v>31248</v>
      </c>
      <c r="C48">
        <v>27932</v>
      </c>
      <c r="D48">
        <v>29319</v>
      </c>
      <c r="E48">
        <v>46735</v>
      </c>
      <c r="F48">
        <v>0</v>
      </c>
      <c r="G48">
        <v>32002</v>
      </c>
      <c r="H48">
        <v>35800</v>
      </c>
      <c r="I48">
        <v>34107</v>
      </c>
      <c r="J48">
        <v>21397</v>
      </c>
    </row>
    <row r="49" spans="1:17" x14ac:dyDescent="0.3">
      <c r="A49" t="s">
        <v>555</v>
      </c>
      <c r="B49">
        <v>22246</v>
      </c>
      <c r="C49">
        <v>19128</v>
      </c>
      <c r="D49">
        <v>19276</v>
      </c>
      <c r="E49">
        <v>32926</v>
      </c>
      <c r="F49">
        <v>25</v>
      </c>
      <c r="G49">
        <v>44950</v>
      </c>
      <c r="H49">
        <v>52277</v>
      </c>
      <c r="I49">
        <v>51875</v>
      </c>
      <c r="J49">
        <v>30370</v>
      </c>
    </row>
    <row r="50" spans="1:17" x14ac:dyDescent="0.3">
      <c r="A50" t="s">
        <v>556</v>
      </c>
      <c r="B50">
        <v>17361</v>
      </c>
      <c r="C50">
        <v>15897</v>
      </c>
      <c r="D50">
        <v>15430</v>
      </c>
      <c r="E50">
        <v>28239</v>
      </c>
      <c r="F50">
        <v>50</v>
      </c>
      <c r="G50">
        <v>57600</v>
      </c>
      <c r="H50">
        <v>62901</v>
      </c>
      <c r="I50">
        <v>64807</v>
      </c>
      <c r="J50">
        <v>35411</v>
      </c>
    </row>
    <row r="51" spans="1:17" x14ac:dyDescent="0.3">
      <c r="A51" t="s">
        <v>557</v>
      </c>
      <c r="B51">
        <v>14361</v>
      </c>
      <c r="C51">
        <v>12444</v>
      </c>
      <c r="D51">
        <v>12035</v>
      </c>
      <c r="E51">
        <v>19736</v>
      </c>
      <c r="F51">
        <v>100</v>
      </c>
      <c r="G51">
        <v>69631</v>
      </c>
      <c r="H51">
        <v>80359</v>
      </c>
      <c r="I51">
        <v>83085</v>
      </c>
      <c r="J51">
        <v>50667</v>
      </c>
    </row>
    <row r="52" spans="1:17" x14ac:dyDescent="0.3">
      <c r="A52" t="s">
        <v>558</v>
      </c>
    </row>
    <row r="53" spans="1:17" x14ac:dyDescent="0.3">
      <c r="E53" t="s">
        <v>366</v>
      </c>
      <c r="F53" t="s">
        <v>367</v>
      </c>
    </row>
    <row r="54" spans="1:17" x14ac:dyDescent="0.3">
      <c r="C54" t="s">
        <v>365</v>
      </c>
      <c r="D54" t="s">
        <v>368</v>
      </c>
      <c r="E54">
        <v>9711</v>
      </c>
      <c r="F54">
        <v>102965</v>
      </c>
    </row>
    <row r="55" spans="1:17" x14ac:dyDescent="0.3">
      <c r="D55" t="s">
        <v>370</v>
      </c>
      <c r="E55">
        <v>10877</v>
      </c>
      <c r="F55">
        <v>91929</v>
      </c>
      <c r="H55" t="s">
        <v>389</v>
      </c>
      <c r="I55">
        <v>6322</v>
      </c>
      <c r="J55">
        <v>158158</v>
      </c>
    </row>
    <row r="56" spans="1:17" x14ac:dyDescent="0.3">
      <c r="D56" t="s">
        <v>369</v>
      </c>
      <c r="E56">
        <v>9823</v>
      </c>
      <c r="F56">
        <v>101792</v>
      </c>
    </row>
    <row r="57" spans="1:17" x14ac:dyDescent="0.3">
      <c r="C57" t="s">
        <v>371</v>
      </c>
      <c r="E57">
        <v>8656</v>
      </c>
      <c r="F57">
        <v>115519</v>
      </c>
    </row>
    <row r="58" spans="1:17" x14ac:dyDescent="0.3">
      <c r="C58" t="s">
        <v>372</v>
      </c>
      <c r="E58">
        <v>7401</v>
      </c>
      <c r="F58">
        <v>135106</v>
      </c>
    </row>
    <row r="59" spans="1:17" x14ac:dyDescent="0.3">
      <c r="D59" t="s">
        <v>373</v>
      </c>
      <c r="E59">
        <v>9512</v>
      </c>
      <c r="F59">
        <v>105126</v>
      </c>
    </row>
    <row r="60" spans="1:17" x14ac:dyDescent="0.3">
      <c r="D60" t="s">
        <v>374</v>
      </c>
      <c r="E60">
        <v>10274</v>
      </c>
      <c r="F60">
        <v>97330</v>
      </c>
      <c r="N60" t="s">
        <v>559</v>
      </c>
      <c r="O60" t="s">
        <v>428</v>
      </c>
      <c r="P60" t="s">
        <v>560</v>
      </c>
      <c r="Q60" t="s">
        <v>562</v>
      </c>
    </row>
    <row r="61" spans="1:17" x14ac:dyDescent="0.3">
      <c r="D61" t="s">
        <v>375</v>
      </c>
      <c r="E61">
        <v>11972</v>
      </c>
      <c r="F61">
        <v>83525</v>
      </c>
      <c r="N61" t="s">
        <v>558</v>
      </c>
      <c r="O61">
        <v>12177</v>
      </c>
      <c r="P61">
        <v>23724</v>
      </c>
      <c r="Q61">
        <v>28837</v>
      </c>
    </row>
    <row r="62" spans="1:17" x14ac:dyDescent="0.3">
      <c r="N62" t="s">
        <v>555</v>
      </c>
      <c r="O62">
        <v>17048</v>
      </c>
      <c r="P62">
        <v>23806</v>
      </c>
      <c r="Q62">
        <v>24757</v>
      </c>
    </row>
    <row r="63" spans="1:17" x14ac:dyDescent="0.3">
      <c r="D63" t="s">
        <v>377</v>
      </c>
      <c r="E63">
        <v>10900</v>
      </c>
      <c r="F63">
        <v>91741</v>
      </c>
      <c r="N63" t="s">
        <v>556</v>
      </c>
      <c r="O63">
        <v>14915</v>
      </c>
      <c r="P63">
        <v>18384</v>
      </c>
      <c r="Q63">
        <v>20931</v>
      </c>
    </row>
    <row r="64" spans="1:17" x14ac:dyDescent="0.3">
      <c r="D64" t="s">
        <v>376</v>
      </c>
      <c r="E64">
        <v>6491</v>
      </c>
      <c r="F64">
        <v>154052</v>
      </c>
      <c r="N64" t="s">
        <v>557</v>
      </c>
      <c r="O64">
        <v>11323</v>
      </c>
      <c r="P64">
        <v>14675</v>
      </c>
      <c r="Q64">
        <v>16471</v>
      </c>
    </row>
    <row r="65" spans="1:17" x14ac:dyDescent="0.3">
      <c r="N65" t="s">
        <v>561</v>
      </c>
      <c r="O65">
        <v>3848</v>
      </c>
      <c r="P65">
        <v>3731</v>
      </c>
      <c r="Q65">
        <v>3433</v>
      </c>
    </row>
    <row r="66" spans="1:17" x14ac:dyDescent="0.3">
      <c r="D66" t="s">
        <v>378</v>
      </c>
      <c r="E66">
        <v>3022</v>
      </c>
      <c r="F66">
        <v>330837</v>
      </c>
    </row>
    <row r="67" spans="1:17" x14ac:dyDescent="0.3">
      <c r="D67" t="s">
        <v>379</v>
      </c>
      <c r="E67">
        <v>3311</v>
      </c>
      <c r="N67">
        <v>10000</v>
      </c>
    </row>
    <row r="68" spans="1:17" x14ac:dyDescent="0.3">
      <c r="N68" t="s">
        <v>554</v>
      </c>
      <c r="O68">
        <v>24765</v>
      </c>
      <c r="P68">
        <v>30730</v>
      </c>
      <c r="Q68">
        <v>34612</v>
      </c>
    </row>
    <row r="69" spans="1:17" x14ac:dyDescent="0.3">
      <c r="C69" t="s">
        <v>386</v>
      </c>
      <c r="E69">
        <v>9156</v>
      </c>
      <c r="F69">
        <v>109212</v>
      </c>
    </row>
    <row r="70" spans="1:17" x14ac:dyDescent="0.3">
      <c r="D70" t="s">
        <v>387</v>
      </c>
      <c r="E70">
        <v>9700</v>
      </c>
      <c r="F70">
        <v>103090</v>
      </c>
    </row>
    <row r="71" spans="1:17" x14ac:dyDescent="0.3">
      <c r="D71" t="s">
        <v>388</v>
      </c>
      <c r="E71">
        <v>8669</v>
      </c>
      <c r="F71">
        <v>115349</v>
      </c>
    </row>
    <row r="72" spans="1:17" s="7" customFormat="1" x14ac:dyDescent="0.3"/>
    <row r="73" spans="1:17" x14ac:dyDescent="0.3">
      <c r="A73" t="s">
        <v>392</v>
      </c>
      <c r="C73" t="s">
        <v>390</v>
      </c>
      <c r="D73">
        <v>3335</v>
      </c>
    </row>
    <row r="74" spans="1:17" x14ac:dyDescent="0.3">
      <c r="A74" t="s">
        <v>393</v>
      </c>
      <c r="C74" t="s">
        <v>391</v>
      </c>
      <c r="D74">
        <v>15267</v>
      </c>
    </row>
    <row r="75" spans="1:17" x14ac:dyDescent="0.3">
      <c r="C75" t="s">
        <v>394</v>
      </c>
      <c r="D75">
        <v>13426</v>
      </c>
      <c r="E75">
        <v>12799</v>
      </c>
    </row>
    <row r="76" spans="1:17" x14ac:dyDescent="0.3">
      <c r="C76" t="s">
        <v>396</v>
      </c>
      <c r="D76">
        <v>6675</v>
      </c>
    </row>
    <row r="77" spans="1:17" x14ac:dyDescent="0.3">
      <c r="C77" t="s">
        <v>395</v>
      </c>
      <c r="D77">
        <v>11128</v>
      </c>
    </row>
    <row r="78" spans="1:17" x14ac:dyDescent="0.3">
      <c r="B78" s="31" t="s">
        <v>397</v>
      </c>
      <c r="C78" s="31"/>
      <c r="D78">
        <v>9667</v>
      </c>
      <c r="G78" s="31" t="s">
        <v>398</v>
      </c>
      <c r="H78" s="31"/>
      <c r="I78" s="31"/>
      <c r="J78" s="31"/>
      <c r="K78" s="31"/>
      <c r="L78" s="31"/>
    </row>
    <row r="81" spans="7:14" x14ac:dyDescent="0.3">
      <c r="G81" t="s">
        <v>399</v>
      </c>
      <c r="L81" t="s">
        <v>405</v>
      </c>
    </row>
    <row r="82" spans="7:14" x14ac:dyDescent="0.3">
      <c r="G82">
        <v>100</v>
      </c>
      <c r="H82">
        <v>7642</v>
      </c>
      <c r="I82" t="s">
        <v>400</v>
      </c>
      <c r="M82">
        <v>23</v>
      </c>
      <c r="N82" t="s">
        <v>406</v>
      </c>
    </row>
    <row r="83" spans="7:14" x14ac:dyDescent="0.3">
      <c r="G83">
        <v>50</v>
      </c>
      <c r="H83">
        <v>7725</v>
      </c>
      <c r="I83" t="s">
        <v>401</v>
      </c>
      <c r="M83">
        <v>19</v>
      </c>
      <c r="N83" t="s">
        <v>407</v>
      </c>
    </row>
    <row r="84" spans="7:14" x14ac:dyDescent="0.3">
      <c r="G84">
        <v>25</v>
      </c>
      <c r="H84">
        <v>7992</v>
      </c>
      <c r="I84" t="s">
        <v>402</v>
      </c>
    </row>
    <row r="85" spans="7:14" x14ac:dyDescent="0.3">
      <c r="G85">
        <v>15</v>
      </c>
      <c r="H85">
        <v>7822</v>
      </c>
      <c r="I85" t="s">
        <v>404</v>
      </c>
    </row>
    <row r="86" spans="7:14" x14ac:dyDescent="0.3">
      <c r="G86">
        <v>12</v>
      </c>
      <c r="H86">
        <v>8482</v>
      </c>
      <c r="I86">
        <v>103</v>
      </c>
    </row>
    <row r="87" spans="7:14" x14ac:dyDescent="0.3">
      <c r="G87">
        <v>10</v>
      </c>
      <c r="H87">
        <v>8210</v>
      </c>
      <c r="I87" t="s">
        <v>403</v>
      </c>
    </row>
    <row r="88" spans="7:14" x14ac:dyDescent="0.3">
      <c r="G88">
        <v>0</v>
      </c>
      <c r="H88">
        <v>7478</v>
      </c>
      <c r="I88" t="s">
        <v>408</v>
      </c>
    </row>
  </sheetData>
  <mergeCells count="2">
    <mergeCell ref="B78:C78"/>
    <mergeCell ref="G78:L78"/>
  </mergeCells>
  <phoneticPr fontId="1" type="noConversion"/>
  <pageMargins left="0.7" right="0.7" top="0.75" bottom="0.75" header="0.3" footer="0.3"/>
  <pageSetup paperSize="9"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C25EF-11D7-4805-A799-C284DE5E29C6}">
  <sheetPr codeName="Sheet11"/>
  <dimension ref="A1:AI597"/>
  <sheetViews>
    <sheetView topLeftCell="M1" zoomScale="70" zoomScaleNormal="70" workbookViewId="0">
      <selection activeCell="T36" sqref="T4:T36"/>
    </sheetView>
  </sheetViews>
  <sheetFormatPr defaultRowHeight="14" x14ac:dyDescent="0.3"/>
  <sheetData>
    <row r="1" spans="1:26" x14ac:dyDescent="0.3">
      <c r="A1" t="s">
        <v>460</v>
      </c>
      <c r="D1" t="s">
        <v>219</v>
      </c>
      <c r="W1" t="s">
        <v>639</v>
      </c>
      <c r="X1" t="s">
        <v>640</v>
      </c>
      <c r="Y1" t="s">
        <v>641</v>
      </c>
      <c r="Z1" t="s">
        <v>642</v>
      </c>
    </row>
    <row r="2" spans="1:26" x14ac:dyDescent="0.3">
      <c r="A2" t="s">
        <v>459</v>
      </c>
      <c r="E2" t="s">
        <v>458</v>
      </c>
      <c r="K2" t="s">
        <v>643</v>
      </c>
      <c r="L2">
        <v>35.299999999999997</v>
      </c>
      <c r="R2" t="s">
        <v>428</v>
      </c>
      <c r="S2" t="s">
        <v>616</v>
      </c>
      <c r="T2" t="s">
        <v>617</v>
      </c>
      <c r="V2" t="s">
        <v>637</v>
      </c>
      <c r="W2">
        <v>178510</v>
      </c>
      <c r="X2">
        <v>21.6</v>
      </c>
      <c r="Y2">
        <v>6.5</v>
      </c>
      <c r="Z2">
        <v>6.5</v>
      </c>
    </row>
    <row r="3" spans="1:26" x14ac:dyDescent="0.3">
      <c r="A3" t="s">
        <v>428</v>
      </c>
      <c r="B3" t="s">
        <v>457</v>
      </c>
      <c r="C3" t="s">
        <v>456</v>
      </c>
      <c r="E3" t="s">
        <v>428</v>
      </c>
      <c r="F3" t="s">
        <v>616</v>
      </c>
      <c r="G3" t="s">
        <v>617</v>
      </c>
      <c r="R3">
        <v>0</v>
      </c>
      <c r="S3">
        <v>0</v>
      </c>
      <c r="T3">
        <v>0</v>
      </c>
      <c r="V3" t="s">
        <v>634</v>
      </c>
      <c r="W3">
        <v>256195</v>
      </c>
      <c r="X3">
        <v>31</v>
      </c>
      <c r="Y3">
        <v>9.6999999999999993</v>
      </c>
      <c r="Z3">
        <v>17.399999999999999</v>
      </c>
    </row>
    <row r="4" spans="1:26" x14ac:dyDescent="0.3">
      <c r="A4">
        <v>51</v>
      </c>
      <c r="B4">
        <v>807</v>
      </c>
      <c r="C4">
        <v>1085</v>
      </c>
      <c r="E4">
        <v>0</v>
      </c>
      <c r="F4">
        <v>0</v>
      </c>
      <c r="G4">
        <v>0</v>
      </c>
      <c r="R4">
        <v>40</v>
      </c>
      <c r="S4">
        <v>184</v>
      </c>
      <c r="T4">
        <v>324</v>
      </c>
      <c r="V4" t="s">
        <v>635</v>
      </c>
      <c r="W4">
        <v>1796004</v>
      </c>
      <c r="X4">
        <v>219</v>
      </c>
      <c r="Y4">
        <v>5</v>
      </c>
      <c r="Z4">
        <v>8.1999999999999993</v>
      </c>
    </row>
    <row r="5" spans="1:26" x14ac:dyDescent="0.3">
      <c r="E5">
        <v>30</v>
      </c>
      <c r="F5">
        <v>1316</v>
      </c>
      <c r="G5">
        <v>1297</v>
      </c>
      <c r="R5">
        <v>89</v>
      </c>
      <c r="S5">
        <v>614</v>
      </c>
      <c r="T5">
        <v>834</v>
      </c>
      <c r="V5" t="s">
        <v>636</v>
      </c>
      <c r="W5">
        <v>3088202</v>
      </c>
      <c r="X5">
        <v>376</v>
      </c>
      <c r="Y5">
        <v>3.7</v>
      </c>
      <c r="Z5">
        <v>5.4</v>
      </c>
    </row>
    <row r="6" spans="1:26" x14ac:dyDescent="0.3">
      <c r="E6">
        <v>112</v>
      </c>
      <c r="F6">
        <v>1628</v>
      </c>
      <c r="G6">
        <v>2102</v>
      </c>
      <c r="R6">
        <v>93</v>
      </c>
      <c r="S6">
        <v>515</v>
      </c>
      <c r="T6">
        <v>862</v>
      </c>
    </row>
    <row r="7" spans="1:26" x14ac:dyDescent="0.3">
      <c r="E7">
        <v>108</v>
      </c>
      <c r="F7">
        <v>1495</v>
      </c>
      <c r="G7">
        <v>2108</v>
      </c>
      <c r="R7">
        <v>36</v>
      </c>
      <c r="S7">
        <v>1107</v>
      </c>
      <c r="T7">
        <v>945</v>
      </c>
    </row>
    <row r="8" spans="1:26" x14ac:dyDescent="0.3">
      <c r="E8">
        <v>112</v>
      </c>
      <c r="F8">
        <v>1687</v>
      </c>
      <c r="G8">
        <v>2249</v>
      </c>
      <c r="R8">
        <v>93</v>
      </c>
      <c r="S8">
        <v>1515</v>
      </c>
      <c r="T8">
        <v>2289</v>
      </c>
    </row>
    <row r="9" spans="1:26" x14ac:dyDescent="0.3">
      <c r="E9">
        <v>112</v>
      </c>
      <c r="F9">
        <v>1658</v>
      </c>
      <c r="G9">
        <v>2308</v>
      </c>
      <c r="R9">
        <v>188</v>
      </c>
      <c r="S9">
        <v>504</v>
      </c>
      <c r="T9">
        <v>2355</v>
      </c>
    </row>
    <row r="10" spans="1:26" x14ac:dyDescent="0.3">
      <c r="E10">
        <v>112</v>
      </c>
      <c r="F10">
        <v>1596</v>
      </c>
      <c r="G10">
        <v>2280</v>
      </c>
      <c r="R10">
        <v>354</v>
      </c>
      <c r="S10">
        <v>866</v>
      </c>
      <c r="T10">
        <v>1222</v>
      </c>
    </row>
    <row r="11" spans="1:26" x14ac:dyDescent="0.3">
      <c r="E11">
        <v>112</v>
      </c>
      <c r="F11">
        <v>1666</v>
      </c>
      <c r="G11">
        <v>2309</v>
      </c>
      <c r="R11">
        <v>89</v>
      </c>
      <c r="S11">
        <v>2087</v>
      </c>
      <c r="T11">
        <v>1011</v>
      </c>
    </row>
    <row r="12" spans="1:26" x14ac:dyDescent="0.3">
      <c r="E12">
        <v>112</v>
      </c>
      <c r="F12">
        <v>1651</v>
      </c>
      <c r="G12">
        <v>2291</v>
      </c>
      <c r="R12">
        <v>89</v>
      </c>
      <c r="S12">
        <v>1875</v>
      </c>
      <c r="T12">
        <v>2314</v>
      </c>
    </row>
    <row r="13" spans="1:26" x14ac:dyDescent="0.3">
      <c r="E13">
        <v>112</v>
      </c>
      <c r="F13">
        <v>1619</v>
      </c>
      <c r="G13">
        <v>2304</v>
      </c>
      <c r="R13">
        <v>36</v>
      </c>
      <c r="S13">
        <v>617</v>
      </c>
      <c r="T13">
        <v>2353</v>
      </c>
    </row>
    <row r="14" spans="1:26" x14ac:dyDescent="0.3">
      <c r="E14">
        <v>138</v>
      </c>
      <c r="F14">
        <v>1737</v>
      </c>
      <c r="G14">
        <v>2242</v>
      </c>
      <c r="R14">
        <v>89</v>
      </c>
      <c r="S14">
        <v>1844</v>
      </c>
      <c r="T14">
        <v>2331</v>
      </c>
    </row>
    <row r="15" spans="1:26" x14ac:dyDescent="0.3">
      <c r="E15">
        <v>133</v>
      </c>
      <c r="F15">
        <v>1680</v>
      </c>
      <c r="G15">
        <v>2234</v>
      </c>
      <c r="R15">
        <v>87</v>
      </c>
      <c r="S15">
        <v>1966</v>
      </c>
      <c r="T15">
        <v>2325</v>
      </c>
    </row>
    <row r="16" spans="1:26" x14ac:dyDescent="0.3">
      <c r="E16">
        <v>112</v>
      </c>
      <c r="F16">
        <v>1731</v>
      </c>
      <c r="G16">
        <v>744</v>
      </c>
      <c r="R16">
        <v>562</v>
      </c>
      <c r="S16">
        <v>905</v>
      </c>
      <c r="T16">
        <v>2338</v>
      </c>
    </row>
    <row r="17" spans="5:35" x14ac:dyDescent="0.3">
      <c r="E17">
        <v>112</v>
      </c>
      <c r="F17">
        <v>1739</v>
      </c>
      <c r="G17">
        <v>0</v>
      </c>
      <c r="R17">
        <v>395</v>
      </c>
      <c r="S17">
        <v>1147</v>
      </c>
      <c r="T17">
        <v>2326</v>
      </c>
    </row>
    <row r="18" spans="5:35" x14ac:dyDescent="0.3">
      <c r="E18">
        <v>108</v>
      </c>
      <c r="F18">
        <v>1697</v>
      </c>
      <c r="R18">
        <v>36</v>
      </c>
      <c r="S18">
        <v>2054</v>
      </c>
      <c r="T18">
        <v>2334</v>
      </c>
    </row>
    <row r="19" spans="5:35" x14ac:dyDescent="0.3">
      <c r="E19">
        <v>112</v>
      </c>
      <c r="F19">
        <v>1564</v>
      </c>
      <c r="R19">
        <v>85</v>
      </c>
      <c r="S19">
        <v>2042</v>
      </c>
      <c r="T19">
        <v>2317</v>
      </c>
    </row>
    <row r="20" spans="5:35" x14ac:dyDescent="0.3">
      <c r="E20">
        <v>112</v>
      </c>
      <c r="F20">
        <v>166</v>
      </c>
      <c r="R20">
        <v>89</v>
      </c>
      <c r="S20">
        <v>1964</v>
      </c>
      <c r="T20">
        <v>2324</v>
      </c>
    </row>
    <row r="21" spans="5:35" x14ac:dyDescent="0.3">
      <c r="E21">
        <v>112</v>
      </c>
      <c r="F21">
        <v>0</v>
      </c>
      <c r="R21">
        <v>36</v>
      </c>
      <c r="S21">
        <v>2006</v>
      </c>
      <c r="T21">
        <v>2316</v>
      </c>
    </row>
    <row r="22" spans="5:35" x14ac:dyDescent="0.3">
      <c r="E22">
        <v>112</v>
      </c>
      <c r="R22">
        <v>355</v>
      </c>
      <c r="S22">
        <v>2070</v>
      </c>
      <c r="T22">
        <v>2309</v>
      </c>
    </row>
    <row r="23" spans="5:35" x14ac:dyDescent="0.3">
      <c r="E23">
        <v>112</v>
      </c>
      <c r="F23">
        <f>SUM(F4:F21)</f>
        <v>24630</v>
      </c>
      <c r="G23">
        <f>SUM(G4:G17)</f>
        <v>24468</v>
      </c>
      <c r="R23">
        <v>606</v>
      </c>
      <c r="S23">
        <v>2046</v>
      </c>
      <c r="T23">
        <v>2311</v>
      </c>
    </row>
    <row r="24" spans="5:35" x14ac:dyDescent="0.3">
      <c r="E24">
        <v>108</v>
      </c>
      <c r="R24">
        <v>104</v>
      </c>
      <c r="S24">
        <v>2081</v>
      </c>
      <c r="T24">
        <v>2310</v>
      </c>
    </row>
    <row r="25" spans="5:35" x14ac:dyDescent="0.3">
      <c r="E25">
        <v>112</v>
      </c>
      <c r="R25">
        <v>89</v>
      </c>
      <c r="S25">
        <v>2100</v>
      </c>
      <c r="T25">
        <v>2310</v>
      </c>
    </row>
    <row r="26" spans="5:35" x14ac:dyDescent="0.3">
      <c r="E26">
        <v>108</v>
      </c>
      <c r="R26">
        <v>36</v>
      </c>
      <c r="S26">
        <v>1960</v>
      </c>
      <c r="T26">
        <v>2314</v>
      </c>
    </row>
    <row r="27" spans="5:35" x14ac:dyDescent="0.3">
      <c r="E27">
        <v>112</v>
      </c>
      <c r="R27">
        <v>85</v>
      </c>
      <c r="S27">
        <v>2102</v>
      </c>
      <c r="T27">
        <v>2326</v>
      </c>
    </row>
    <row r="28" spans="5:35" x14ac:dyDescent="0.3">
      <c r="E28">
        <v>108</v>
      </c>
      <c r="R28">
        <v>79</v>
      </c>
      <c r="S28">
        <v>2031</v>
      </c>
      <c r="T28">
        <v>2309</v>
      </c>
    </row>
    <row r="29" spans="5:35" x14ac:dyDescent="0.3">
      <c r="E29">
        <v>112</v>
      </c>
      <c r="R29">
        <v>562</v>
      </c>
      <c r="S29">
        <v>2102</v>
      </c>
      <c r="T29">
        <v>2304</v>
      </c>
    </row>
    <row r="30" spans="5:35" x14ac:dyDescent="0.3">
      <c r="E30">
        <v>108</v>
      </c>
      <c r="R30">
        <v>624</v>
      </c>
      <c r="S30">
        <v>2074</v>
      </c>
      <c r="T30">
        <v>2302</v>
      </c>
      <c r="X30">
        <v>84</v>
      </c>
      <c r="Z30">
        <v>0</v>
      </c>
      <c r="AA30">
        <v>40</v>
      </c>
      <c r="AB30">
        <f>Z30+AA30</f>
        <v>40</v>
      </c>
      <c r="AD30">
        <v>0</v>
      </c>
      <c r="AE30">
        <v>140</v>
      </c>
      <c r="AF30">
        <f>AD30+AE30</f>
        <v>140</v>
      </c>
      <c r="AG30">
        <v>0</v>
      </c>
      <c r="AH30">
        <v>31</v>
      </c>
      <c r="AI30">
        <f>AG30+AH30</f>
        <v>31</v>
      </c>
    </row>
    <row r="31" spans="5:35" x14ac:dyDescent="0.3">
      <c r="E31">
        <v>108</v>
      </c>
      <c r="R31">
        <v>520</v>
      </c>
      <c r="S31">
        <v>2115</v>
      </c>
      <c r="T31">
        <v>2309</v>
      </c>
      <c r="X31">
        <v>179</v>
      </c>
      <c r="Z31">
        <v>1</v>
      </c>
      <c r="AA31">
        <v>88</v>
      </c>
      <c r="AB31">
        <f t="shared" ref="AB31:AB94" si="0">Z31+AA31</f>
        <v>89</v>
      </c>
      <c r="AD31">
        <v>3</v>
      </c>
      <c r="AE31">
        <v>434</v>
      </c>
      <c r="AF31">
        <f t="shared" ref="AF31:AF88" si="1">AD31+AE31</f>
        <v>437</v>
      </c>
      <c r="AG31">
        <v>1</v>
      </c>
      <c r="AH31">
        <v>564</v>
      </c>
      <c r="AI31">
        <f t="shared" ref="AI31:AI64" si="2">AG31+AH31</f>
        <v>565</v>
      </c>
    </row>
    <row r="32" spans="5:35" x14ac:dyDescent="0.3">
      <c r="E32">
        <v>112</v>
      </c>
      <c r="R32">
        <v>89</v>
      </c>
      <c r="S32">
        <v>2039</v>
      </c>
      <c r="T32">
        <v>2307</v>
      </c>
      <c r="X32">
        <v>146</v>
      </c>
      <c r="Z32">
        <v>1</v>
      </c>
      <c r="AA32">
        <v>92</v>
      </c>
      <c r="AB32">
        <f t="shared" si="0"/>
        <v>93</v>
      </c>
      <c r="AD32">
        <v>3</v>
      </c>
      <c r="AE32">
        <v>436</v>
      </c>
      <c r="AF32">
        <f t="shared" si="1"/>
        <v>439</v>
      </c>
      <c r="AG32">
        <v>6</v>
      </c>
      <c r="AH32">
        <v>795</v>
      </c>
      <c r="AI32">
        <f t="shared" si="2"/>
        <v>801</v>
      </c>
    </row>
    <row r="33" spans="5:35" x14ac:dyDescent="0.3">
      <c r="E33">
        <v>112</v>
      </c>
      <c r="R33">
        <v>85</v>
      </c>
      <c r="S33">
        <v>2198</v>
      </c>
      <c r="T33">
        <v>2303</v>
      </c>
      <c r="X33">
        <v>212</v>
      </c>
      <c r="Z33">
        <v>0</v>
      </c>
      <c r="AA33">
        <v>36</v>
      </c>
      <c r="AB33">
        <f t="shared" si="0"/>
        <v>36</v>
      </c>
      <c r="AD33">
        <v>3</v>
      </c>
      <c r="AE33">
        <v>568</v>
      </c>
      <c r="AF33">
        <f t="shared" si="1"/>
        <v>571</v>
      </c>
      <c r="AG33">
        <v>6</v>
      </c>
      <c r="AH33">
        <v>818</v>
      </c>
      <c r="AI33">
        <f t="shared" si="2"/>
        <v>824</v>
      </c>
    </row>
    <row r="34" spans="5:35" x14ac:dyDescent="0.3">
      <c r="E34">
        <v>112</v>
      </c>
      <c r="R34">
        <v>36</v>
      </c>
      <c r="S34">
        <v>2118</v>
      </c>
      <c r="T34">
        <v>2315</v>
      </c>
      <c r="X34">
        <v>148</v>
      </c>
      <c r="Z34">
        <v>1</v>
      </c>
      <c r="AA34">
        <v>92</v>
      </c>
      <c r="AB34">
        <f t="shared" si="0"/>
        <v>93</v>
      </c>
      <c r="AD34">
        <v>735</v>
      </c>
      <c r="AE34">
        <v>1201</v>
      </c>
      <c r="AF34">
        <f t="shared" si="1"/>
        <v>1936</v>
      </c>
      <c r="AG34">
        <v>52</v>
      </c>
      <c r="AH34">
        <v>967</v>
      </c>
      <c r="AI34">
        <f t="shared" si="2"/>
        <v>1019</v>
      </c>
    </row>
    <row r="35" spans="5:35" x14ac:dyDescent="0.3">
      <c r="E35">
        <v>132</v>
      </c>
      <c r="R35">
        <v>407</v>
      </c>
      <c r="S35">
        <v>2124</v>
      </c>
      <c r="T35">
        <v>2341</v>
      </c>
      <c r="X35">
        <v>169</v>
      </c>
      <c r="Z35">
        <v>51</v>
      </c>
      <c r="AA35">
        <v>137</v>
      </c>
      <c r="AB35">
        <f t="shared" si="0"/>
        <v>188</v>
      </c>
      <c r="AD35">
        <v>109</v>
      </c>
      <c r="AE35">
        <v>568</v>
      </c>
      <c r="AF35">
        <f t="shared" si="1"/>
        <v>677</v>
      </c>
      <c r="AG35">
        <v>831</v>
      </c>
      <c r="AH35">
        <v>1470</v>
      </c>
      <c r="AI35">
        <f t="shared" si="2"/>
        <v>2301</v>
      </c>
    </row>
    <row r="36" spans="5:35" x14ac:dyDescent="0.3">
      <c r="E36">
        <v>109</v>
      </c>
      <c r="R36">
        <v>650</v>
      </c>
      <c r="S36">
        <v>2106</v>
      </c>
      <c r="T36">
        <v>1664</v>
      </c>
      <c r="X36">
        <v>147</v>
      </c>
      <c r="Z36">
        <v>159</v>
      </c>
      <c r="AA36">
        <v>195</v>
      </c>
      <c r="AB36">
        <f t="shared" si="0"/>
        <v>354</v>
      </c>
      <c r="AD36">
        <v>3</v>
      </c>
      <c r="AE36">
        <v>423</v>
      </c>
      <c r="AF36">
        <f t="shared" si="1"/>
        <v>426</v>
      </c>
      <c r="AG36">
        <v>777</v>
      </c>
      <c r="AH36">
        <v>1550</v>
      </c>
      <c r="AI36">
        <f t="shared" si="2"/>
        <v>2327</v>
      </c>
    </row>
    <row r="37" spans="5:35" x14ac:dyDescent="0.3">
      <c r="E37">
        <v>107</v>
      </c>
      <c r="R37">
        <v>622</v>
      </c>
      <c r="S37">
        <v>2069</v>
      </c>
      <c r="T37">
        <v>0</v>
      </c>
      <c r="X37">
        <v>177</v>
      </c>
      <c r="Z37">
        <v>1</v>
      </c>
      <c r="AA37">
        <v>88</v>
      </c>
      <c r="AB37">
        <f t="shared" si="0"/>
        <v>89</v>
      </c>
      <c r="AD37">
        <v>356</v>
      </c>
      <c r="AE37">
        <v>778</v>
      </c>
      <c r="AF37">
        <f t="shared" si="1"/>
        <v>1134</v>
      </c>
      <c r="AG37">
        <v>34</v>
      </c>
      <c r="AH37">
        <v>806</v>
      </c>
      <c r="AI37">
        <f t="shared" si="2"/>
        <v>840</v>
      </c>
    </row>
    <row r="38" spans="5:35" x14ac:dyDescent="0.3">
      <c r="E38">
        <v>102</v>
      </c>
      <c r="R38">
        <v>470</v>
      </c>
      <c r="S38">
        <v>2006</v>
      </c>
      <c r="X38">
        <v>147</v>
      </c>
      <c r="Z38">
        <v>1</v>
      </c>
      <c r="AA38">
        <v>88</v>
      </c>
      <c r="AB38">
        <f t="shared" si="0"/>
        <v>89</v>
      </c>
      <c r="AD38">
        <v>759</v>
      </c>
      <c r="AE38">
        <v>1184</v>
      </c>
      <c r="AF38">
        <f t="shared" si="1"/>
        <v>1943</v>
      </c>
      <c r="AG38">
        <v>95</v>
      </c>
      <c r="AH38">
        <v>853</v>
      </c>
      <c r="AI38">
        <f t="shared" si="2"/>
        <v>948</v>
      </c>
    </row>
    <row r="39" spans="5:35" x14ac:dyDescent="0.3">
      <c r="E39">
        <v>110</v>
      </c>
      <c r="R39">
        <v>54</v>
      </c>
      <c r="S39">
        <v>2211</v>
      </c>
      <c r="T39">
        <f>SUM(T3:T37)</f>
        <v>67154</v>
      </c>
      <c r="X39">
        <v>152</v>
      </c>
      <c r="Z39">
        <v>0</v>
      </c>
      <c r="AA39">
        <v>36</v>
      </c>
      <c r="AB39">
        <f t="shared" si="0"/>
        <v>36</v>
      </c>
      <c r="AD39">
        <v>561</v>
      </c>
      <c r="AE39">
        <v>976</v>
      </c>
      <c r="AF39">
        <f t="shared" si="1"/>
        <v>1537</v>
      </c>
      <c r="AG39">
        <v>701</v>
      </c>
      <c r="AH39">
        <v>1425</v>
      </c>
      <c r="AI39">
        <f t="shared" si="2"/>
        <v>2126</v>
      </c>
    </row>
    <row r="40" spans="5:35" x14ac:dyDescent="0.3">
      <c r="E40">
        <v>98</v>
      </c>
      <c r="R40">
        <v>67</v>
      </c>
      <c r="S40">
        <v>2220</v>
      </c>
      <c r="T40">
        <f>T39/12800</f>
        <v>5.2464062499999997</v>
      </c>
      <c r="X40">
        <v>120</v>
      </c>
      <c r="Z40">
        <v>1</v>
      </c>
      <c r="AA40">
        <v>88</v>
      </c>
      <c r="AB40">
        <f t="shared" si="0"/>
        <v>89</v>
      </c>
      <c r="AD40">
        <v>3</v>
      </c>
      <c r="AE40">
        <v>534</v>
      </c>
      <c r="AF40">
        <f t="shared" si="1"/>
        <v>537</v>
      </c>
      <c r="AG40">
        <v>791</v>
      </c>
      <c r="AH40">
        <v>1553</v>
      </c>
      <c r="AI40">
        <f t="shared" si="2"/>
        <v>2344</v>
      </c>
    </row>
    <row r="41" spans="5:35" x14ac:dyDescent="0.3">
      <c r="E41">
        <v>103</v>
      </c>
      <c r="R41">
        <v>232</v>
      </c>
      <c r="S41">
        <v>2253</v>
      </c>
      <c r="X41">
        <v>160</v>
      </c>
      <c r="Z41">
        <v>0</v>
      </c>
      <c r="AA41">
        <v>87</v>
      </c>
      <c r="AB41">
        <f t="shared" si="0"/>
        <v>87</v>
      </c>
      <c r="AD41">
        <v>702</v>
      </c>
      <c r="AE41">
        <v>1196</v>
      </c>
      <c r="AF41">
        <f t="shared" si="1"/>
        <v>1898</v>
      </c>
      <c r="AG41">
        <v>863</v>
      </c>
      <c r="AH41">
        <v>1506</v>
      </c>
      <c r="AI41">
        <f t="shared" si="2"/>
        <v>2369</v>
      </c>
    </row>
    <row r="42" spans="5:35" x14ac:dyDescent="0.3">
      <c r="E42">
        <v>112</v>
      </c>
      <c r="R42">
        <v>568</v>
      </c>
      <c r="S42">
        <v>2101</v>
      </c>
      <c r="X42">
        <v>193</v>
      </c>
      <c r="Z42">
        <v>261</v>
      </c>
      <c r="AA42">
        <v>301</v>
      </c>
      <c r="AB42">
        <f t="shared" si="0"/>
        <v>562</v>
      </c>
      <c r="AD42">
        <v>769</v>
      </c>
      <c r="AE42">
        <v>1226</v>
      </c>
      <c r="AF42">
        <f t="shared" si="1"/>
        <v>1995</v>
      </c>
      <c r="AG42">
        <v>799</v>
      </c>
      <c r="AH42">
        <v>1543</v>
      </c>
      <c r="AI42">
        <f t="shared" si="2"/>
        <v>2342</v>
      </c>
    </row>
    <row r="43" spans="5:35" x14ac:dyDescent="0.3">
      <c r="E43">
        <v>124</v>
      </c>
      <c r="R43">
        <v>684</v>
      </c>
      <c r="S43">
        <v>2075</v>
      </c>
      <c r="X43">
        <v>158</v>
      </c>
      <c r="Z43">
        <v>157</v>
      </c>
      <c r="AA43">
        <v>238</v>
      </c>
      <c r="AB43">
        <f t="shared" si="0"/>
        <v>395</v>
      </c>
      <c r="AD43">
        <v>260</v>
      </c>
      <c r="AE43">
        <v>681</v>
      </c>
      <c r="AF43">
        <f t="shared" si="1"/>
        <v>941</v>
      </c>
      <c r="AG43">
        <v>461</v>
      </c>
      <c r="AH43">
        <v>1273</v>
      </c>
      <c r="AI43">
        <f t="shared" si="2"/>
        <v>1734</v>
      </c>
    </row>
    <row r="44" spans="5:35" x14ac:dyDescent="0.3">
      <c r="E44">
        <v>110</v>
      </c>
      <c r="R44">
        <v>692</v>
      </c>
      <c r="S44">
        <v>2087</v>
      </c>
      <c r="X44">
        <v>144</v>
      </c>
      <c r="Z44">
        <v>0</v>
      </c>
      <c r="AA44">
        <v>36</v>
      </c>
      <c r="AB44">
        <f t="shared" si="0"/>
        <v>36</v>
      </c>
      <c r="AD44">
        <v>265</v>
      </c>
      <c r="AE44">
        <v>696</v>
      </c>
      <c r="AF44">
        <f t="shared" si="1"/>
        <v>961</v>
      </c>
      <c r="AG44">
        <v>816</v>
      </c>
      <c r="AH44">
        <v>1525</v>
      </c>
      <c r="AI44">
        <f t="shared" si="2"/>
        <v>2341</v>
      </c>
    </row>
    <row r="45" spans="5:35" x14ac:dyDescent="0.3">
      <c r="E45">
        <v>116</v>
      </c>
      <c r="R45">
        <v>68</v>
      </c>
      <c r="S45">
        <v>2057</v>
      </c>
      <c r="X45">
        <v>130</v>
      </c>
      <c r="Z45">
        <v>1</v>
      </c>
      <c r="AA45">
        <v>84</v>
      </c>
      <c r="AB45">
        <f t="shared" si="0"/>
        <v>85</v>
      </c>
      <c r="AD45">
        <v>785</v>
      </c>
      <c r="AE45">
        <v>1208</v>
      </c>
      <c r="AF45">
        <f t="shared" si="1"/>
        <v>1993</v>
      </c>
      <c r="AG45">
        <v>819</v>
      </c>
      <c r="AH45">
        <v>1549</v>
      </c>
      <c r="AI45">
        <f t="shared" si="2"/>
        <v>2368</v>
      </c>
    </row>
    <row r="46" spans="5:35" x14ac:dyDescent="0.3">
      <c r="E46">
        <v>92</v>
      </c>
      <c r="R46">
        <v>94</v>
      </c>
      <c r="S46">
        <v>2045</v>
      </c>
      <c r="X46">
        <v>175</v>
      </c>
      <c r="Z46">
        <v>1</v>
      </c>
      <c r="AA46">
        <v>88</v>
      </c>
      <c r="AB46">
        <f t="shared" si="0"/>
        <v>89</v>
      </c>
      <c r="AD46">
        <v>777</v>
      </c>
      <c r="AE46">
        <v>1182</v>
      </c>
      <c r="AF46">
        <f t="shared" si="1"/>
        <v>1959</v>
      </c>
      <c r="AG46">
        <v>810</v>
      </c>
      <c r="AH46">
        <v>1544</v>
      </c>
      <c r="AI46">
        <f t="shared" si="2"/>
        <v>2354</v>
      </c>
    </row>
    <row r="47" spans="5:35" x14ac:dyDescent="0.3">
      <c r="E47">
        <v>103</v>
      </c>
      <c r="R47">
        <v>168</v>
      </c>
      <c r="S47">
        <v>2285</v>
      </c>
      <c r="X47">
        <v>155</v>
      </c>
      <c r="Z47">
        <v>0</v>
      </c>
      <c r="AA47">
        <v>36</v>
      </c>
      <c r="AB47">
        <f t="shared" si="0"/>
        <v>36</v>
      </c>
      <c r="AD47">
        <v>804</v>
      </c>
      <c r="AE47">
        <v>1204</v>
      </c>
      <c r="AF47">
        <f t="shared" si="1"/>
        <v>2008</v>
      </c>
      <c r="AG47">
        <v>791</v>
      </c>
      <c r="AH47">
        <v>1531</v>
      </c>
      <c r="AI47">
        <f t="shared" si="2"/>
        <v>2322</v>
      </c>
    </row>
    <row r="48" spans="5:35" x14ac:dyDescent="0.3">
      <c r="E48">
        <v>115</v>
      </c>
      <c r="R48">
        <v>609</v>
      </c>
      <c r="S48">
        <v>2325</v>
      </c>
      <c r="X48">
        <v>183</v>
      </c>
      <c r="Z48">
        <v>136</v>
      </c>
      <c r="AA48">
        <v>219</v>
      </c>
      <c r="AB48">
        <f t="shared" si="0"/>
        <v>355</v>
      </c>
      <c r="AD48">
        <v>770</v>
      </c>
      <c r="AE48">
        <v>1185</v>
      </c>
      <c r="AF48">
        <f t="shared" si="1"/>
        <v>1955</v>
      </c>
      <c r="AG48">
        <v>771</v>
      </c>
      <c r="AH48">
        <v>1517</v>
      </c>
      <c r="AI48">
        <f t="shared" si="2"/>
        <v>2288</v>
      </c>
    </row>
    <row r="49" spans="5:35" x14ac:dyDescent="0.3">
      <c r="E49">
        <v>99</v>
      </c>
      <c r="R49">
        <v>695</v>
      </c>
      <c r="S49">
        <v>2170</v>
      </c>
      <c r="X49">
        <v>150</v>
      </c>
      <c r="Z49">
        <v>285</v>
      </c>
      <c r="AA49">
        <v>321</v>
      </c>
      <c r="AB49">
        <f t="shared" si="0"/>
        <v>606</v>
      </c>
      <c r="AD49">
        <v>768</v>
      </c>
      <c r="AE49">
        <v>1213</v>
      </c>
      <c r="AF49">
        <f t="shared" si="1"/>
        <v>1981</v>
      </c>
      <c r="AG49">
        <v>810</v>
      </c>
      <c r="AH49">
        <v>1571</v>
      </c>
      <c r="AI49">
        <f t="shared" si="2"/>
        <v>2381</v>
      </c>
    </row>
    <row r="50" spans="5:35" x14ac:dyDescent="0.3">
      <c r="E50">
        <v>111</v>
      </c>
      <c r="R50">
        <v>701</v>
      </c>
      <c r="S50">
        <v>2283</v>
      </c>
      <c r="X50">
        <v>134</v>
      </c>
      <c r="Z50">
        <v>10</v>
      </c>
      <c r="AA50">
        <v>94</v>
      </c>
      <c r="AB50">
        <f t="shared" si="0"/>
        <v>104</v>
      </c>
      <c r="AD50">
        <v>782</v>
      </c>
      <c r="AE50">
        <v>1196</v>
      </c>
      <c r="AF50">
        <f t="shared" si="1"/>
        <v>1978</v>
      </c>
      <c r="AG50">
        <v>800</v>
      </c>
      <c r="AH50">
        <v>1542</v>
      </c>
      <c r="AI50">
        <f t="shared" si="2"/>
        <v>2342</v>
      </c>
    </row>
    <row r="51" spans="5:35" x14ac:dyDescent="0.3">
      <c r="E51">
        <v>125</v>
      </c>
      <c r="R51">
        <v>271</v>
      </c>
      <c r="S51">
        <v>2085</v>
      </c>
      <c r="X51">
        <v>134</v>
      </c>
      <c r="Z51">
        <v>1</v>
      </c>
      <c r="AA51">
        <v>88</v>
      </c>
      <c r="AB51">
        <f t="shared" si="0"/>
        <v>89</v>
      </c>
      <c r="AD51">
        <v>820</v>
      </c>
      <c r="AE51">
        <v>1266</v>
      </c>
      <c r="AF51">
        <f t="shared" si="1"/>
        <v>2086</v>
      </c>
      <c r="AG51">
        <v>815</v>
      </c>
      <c r="AH51">
        <v>1522</v>
      </c>
      <c r="AI51">
        <f t="shared" si="2"/>
        <v>2337</v>
      </c>
    </row>
    <row r="52" spans="5:35" x14ac:dyDescent="0.3">
      <c r="E52">
        <v>129</v>
      </c>
      <c r="R52">
        <v>89</v>
      </c>
      <c r="S52">
        <v>2069</v>
      </c>
      <c r="X52">
        <v>170</v>
      </c>
      <c r="Z52">
        <v>0</v>
      </c>
      <c r="AA52">
        <v>36</v>
      </c>
      <c r="AB52">
        <f t="shared" si="0"/>
        <v>36</v>
      </c>
      <c r="AD52">
        <v>813</v>
      </c>
      <c r="AE52">
        <v>1238</v>
      </c>
      <c r="AF52">
        <f t="shared" si="1"/>
        <v>2051</v>
      </c>
      <c r="AG52">
        <v>836</v>
      </c>
      <c r="AH52">
        <v>1514</v>
      </c>
      <c r="AI52">
        <f t="shared" si="2"/>
        <v>2350</v>
      </c>
    </row>
    <row r="53" spans="5:35" x14ac:dyDescent="0.3">
      <c r="R53">
        <v>125</v>
      </c>
      <c r="S53">
        <v>2279</v>
      </c>
      <c r="X53">
        <v>150</v>
      </c>
      <c r="Z53">
        <v>1</v>
      </c>
      <c r="AA53">
        <v>84</v>
      </c>
      <c r="AB53">
        <f t="shared" si="0"/>
        <v>85</v>
      </c>
      <c r="AD53">
        <v>786</v>
      </c>
      <c r="AE53">
        <v>1193</v>
      </c>
      <c r="AF53">
        <f t="shared" si="1"/>
        <v>1979</v>
      </c>
      <c r="AG53">
        <v>813</v>
      </c>
      <c r="AH53">
        <v>1542</v>
      </c>
      <c r="AI53">
        <f t="shared" si="2"/>
        <v>2355</v>
      </c>
    </row>
    <row r="54" spans="5:35" x14ac:dyDescent="0.3">
      <c r="E54">
        <f>SUM(E5:E52)</f>
        <v>5294</v>
      </c>
      <c r="R54">
        <v>618</v>
      </c>
      <c r="S54">
        <v>2379</v>
      </c>
      <c r="X54">
        <v>175</v>
      </c>
      <c r="Z54">
        <v>0</v>
      </c>
      <c r="AA54">
        <v>79</v>
      </c>
      <c r="AB54">
        <f t="shared" si="0"/>
        <v>79</v>
      </c>
      <c r="AD54">
        <v>773</v>
      </c>
      <c r="AE54">
        <v>1180</v>
      </c>
      <c r="AF54">
        <f t="shared" si="1"/>
        <v>1953</v>
      </c>
      <c r="AG54">
        <v>824</v>
      </c>
      <c r="AH54">
        <v>1535</v>
      </c>
      <c r="AI54">
        <f t="shared" si="2"/>
        <v>2359</v>
      </c>
    </row>
    <row r="55" spans="5:35" x14ac:dyDescent="0.3">
      <c r="R55">
        <v>684</v>
      </c>
      <c r="S55">
        <v>2348</v>
      </c>
      <c r="X55">
        <v>166</v>
      </c>
      <c r="Z55">
        <v>258</v>
      </c>
      <c r="AA55">
        <v>304</v>
      </c>
      <c r="AB55">
        <f t="shared" si="0"/>
        <v>562</v>
      </c>
      <c r="AD55">
        <v>750</v>
      </c>
      <c r="AE55">
        <v>1125</v>
      </c>
      <c r="AF55">
        <f t="shared" si="1"/>
        <v>1875</v>
      </c>
      <c r="AG55">
        <v>814</v>
      </c>
      <c r="AH55">
        <v>1548</v>
      </c>
      <c r="AI55">
        <f t="shared" si="2"/>
        <v>2362</v>
      </c>
    </row>
    <row r="56" spans="5:35" x14ac:dyDescent="0.3">
      <c r="R56">
        <v>687</v>
      </c>
      <c r="S56">
        <v>2348</v>
      </c>
      <c r="X56">
        <v>182</v>
      </c>
      <c r="Z56">
        <v>269</v>
      </c>
      <c r="AA56">
        <v>355</v>
      </c>
      <c r="AB56">
        <f t="shared" si="0"/>
        <v>624</v>
      </c>
      <c r="AD56">
        <v>785</v>
      </c>
      <c r="AE56">
        <v>1204</v>
      </c>
      <c r="AF56">
        <f t="shared" si="1"/>
        <v>1989</v>
      </c>
      <c r="AG56">
        <v>834</v>
      </c>
      <c r="AH56">
        <v>1532</v>
      </c>
      <c r="AI56">
        <f t="shared" si="2"/>
        <v>2366</v>
      </c>
    </row>
    <row r="57" spans="5:35" x14ac:dyDescent="0.3">
      <c r="R57">
        <v>492</v>
      </c>
      <c r="S57">
        <v>2359</v>
      </c>
      <c r="X57">
        <v>162</v>
      </c>
      <c r="Z57">
        <v>242</v>
      </c>
      <c r="AA57">
        <v>278</v>
      </c>
      <c r="AB57">
        <f t="shared" si="0"/>
        <v>520</v>
      </c>
      <c r="AD57">
        <v>785</v>
      </c>
      <c r="AE57">
        <v>1174</v>
      </c>
      <c r="AF57">
        <f t="shared" si="1"/>
        <v>1959</v>
      </c>
      <c r="AG57">
        <v>805</v>
      </c>
      <c r="AH57">
        <v>1540</v>
      </c>
      <c r="AI57">
        <f t="shared" si="2"/>
        <v>2345</v>
      </c>
    </row>
    <row r="58" spans="5:35" x14ac:dyDescent="0.3">
      <c r="R58">
        <v>89</v>
      </c>
      <c r="S58">
        <v>2360</v>
      </c>
      <c r="X58">
        <v>173</v>
      </c>
      <c r="Z58">
        <v>1</v>
      </c>
      <c r="AA58">
        <v>88</v>
      </c>
      <c r="AB58">
        <f t="shared" si="0"/>
        <v>89</v>
      </c>
      <c r="AD58">
        <v>766</v>
      </c>
      <c r="AE58">
        <v>1169</v>
      </c>
      <c r="AF58">
        <f t="shared" si="1"/>
        <v>1935</v>
      </c>
      <c r="AG58">
        <v>790</v>
      </c>
      <c r="AH58">
        <v>1532</v>
      </c>
      <c r="AI58">
        <f t="shared" si="2"/>
        <v>2322</v>
      </c>
    </row>
    <row r="59" spans="5:35" x14ac:dyDescent="0.3">
      <c r="R59">
        <v>84</v>
      </c>
      <c r="S59">
        <v>2318</v>
      </c>
      <c r="X59">
        <v>115</v>
      </c>
      <c r="Z59">
        <v>1</v>
      </c>
      <c r="AA59">
        <v>84</v>
      </c>
      <c r="AB59">
        <f t="shared" si="0"/>
        <v>85</v>
      </c>
      <c r="AD59">
        <v>724</v>
      </c>
      <c r="AE59">
        <v>1164</v>
      </c>
      <c r="AF59">
        <f t="shared" si="1"/>
        <v>1888</v>
      </c>
      <c r="AG59">
        <v>790</v>
      </c>
      <c r="AH59">
        <v>1526</v>
      </c>
      <c r="AI59">
        <f t="shared" si="2"/>
        <v>2316</v>
      </c>
    </row>
    <row r="60" spans="5:35" x14ac:dyDescent="0.3">
      <c r="R60">
        <v>583</v>
      </c>
      <c r="S60">
        <v>50</v>
      </c>
      <c r="X60">
        <v>163</v>
      </c>
      <c r="Z60">
        <v>0</v>
      </c>
      <c r="AA60">
        <v>36</v>
      </c>
      <c r="AB60">
        <f t="shared" si="0"/>
        <v>36</v>
      </c>
      <c r="AD60">
        <v>745</v>
      </c>
      <c r="AE60">
        <v>1170</v>
      </c>
      <c r="AF60">
        <f t="shared" si="1"/>
        <v>1915</v>
      </c>
      <c r="AG60">
        <v>818</v>
      </c>
      <c r="AH60">
        <v>1498</v>
      </c>
      <c r="AI60">
        <f t="shared" si="2"/>
        <v>2316</v>
      </c>
    </row>
    <row r="61" spans="5:35" x14ac:dyDescent="0.3">
      <c r="R61">
        <v>679</v>
      </c>
      <c r="S61">
        <v>0</v>
      </c>
      <c r="X61">
        <v>192</v>
      </c>
      <c r="Z61">
        <v>160</v>
      </c>
      <c r="AA61">
        <v>247</v>
      </c>
      <c r="AB61">
        <f t="shared" si="0"/>
        <v>407</v>
      </c>
      <c r="AD61">
        <v>783</v>
      </c>
      <c r="AE61">
        <v>1208</v>
      </c>
      <c r="AF61">
        <f t="shared" si="1"/>
        <v>1991</v>
      </c>
      <c r="AG61">
        <v>841</v>
      </c>
      <c r="AH61">
        <v>1497</v>
      </c>
      <c r="AI61">
        <f t="shared" si="2"/>
        <v>2338</v>
      </c>
    </row>
    <row r="62" spans="5:35" x14ac:dyDescent="0.3">
      <c r="R62">
        <v>670</v>
      </c>
      <c r="X62">
        <v>125</v>
      </c>
      <c r="Z62">
        <v>284</v>
      </c>
      <c r="AA62">
        <v>366</v>
      </c>
      <c r="AB62">
        <f t="shared" si="0"/>
        <v>650</v>
      </c>
      <c r="AD62">
        <v>789</v>
      </c>
      <c r="AE62">
        <v>1161</v>
      </c>
      <c r="AF62">
        <f t="shared" si="1"/>
        <v>1950</v>
      </c>
      <c r="AG62">
        <v>815</v>
      </c>
      <c r="AH62">
        <v>1529</v>
      </c>
      <c r="AI62">
        <f t="shared" si="2"/>
        <v>2344</v>
      </c>
    </row>
    <row r="63" spans="5:35" x14ac:dyDescent="0.3">
      <c r="R63">
        <v>671</v>
      </c>
      <c r="S63">
        <f>SUM(S3:S61)</f>
        <v>105860</v>
      </c>
      <c r="X63">
        <v>143</v>
      </c>
      <c r="Z63">
        <v>291</v>
      </c>
      <c r="AA63">
        <v>331</v>
      </c>
      <c r="AB63">
        <f t="shared" si="0"/>
        <v>622</v>
      </c>
      <c r="AD63">
        <v>790</v>
      </c>
      <c r="AE63">
        <v>1229</v>
      </c>
      <c r="AF63">
        <f t="shared" si="1"/>
        <v>2019</v>
      </c>
      <c r="AG63">
        <v>847</v>
      </c>
      <c r="AH63">
        <v>1504</v>
      </c>
      <c r="AI63">
        <f t="shared" si="2"/>
        <v>2351</v>
      </c>
    </row>
    <row r="64" spans="5:35" x14ac:dyDescent="0.3">
      <c r="R64">
        <v>658</v>
      </c>
      <c r="S64">
        <f>S63/12800</f>
        <v>8.2703124999999993</v>
      </c>
      <c r="X64">
        <v>164</v>
      </c>
      <c r="Z64">
        <v>191</v>
      </c>
      <c r="AA64">
        <v>279</v>
      </c>
      <c r="AB64">
        <f t="shared" si="0"/>
        <v>470</v>
      </c>
      <c r="AD64">
        <v>732</v>
      </c>
      <c r="AE64">
        <v>1175</v>
      </c>
      <c r="AF64">
        <f t="shared" si="1"/>
        <v>1907</v>
      </c>
      <c r="AG64">
        <v>970</v>
      </c>
      <c r="AH64">
        <v>1199</v>
      </c>
      <c r="AI64">
        <f t="shared" si="2"/>
        <v>2169</v>
      </c>
    </row>
    <row r="65" spans="18:35" x14ac:dyDescent="0.3">
      <c r="R65">
        <v>163</v>
      </c>
      <c r="X65">
        <v>156</v>
      </c>
      <c r="Z65">
        <v>0</v>
      </c>
      <c r="AA65">
        <v>54</v>
      </c>
      <c r="AB65">
        <f t="shared" si="0"/>
        <v>54</v>
      </c>
      <c r="AD65">
        <v>742</v>
      </c>
      <c r="AE65">
        <v>1162</v>
      </c>
      <c r="AF65">
        <f t="shared" si="1"/>
        <v>1904</v>
      </c>
    </row>
    <row r="66" spans="18:35" x14ac:dyDescent="0.3">
      <c r="R66">
        <v>440</v>
      </c>
      <c r="X66">
        <v>149</v>
      </c>
      <c r="Z66">
        <v>1</v>
      </c>
      <c r="AA66">
        <v>66</v>
      </c>
      <c r="AB66">
        <f t="shared" si="0"/>
        <v>67</v>
      </c>
      <c r="AD66">
        <v>768</v>
      </c>
      <c r="AE66">
        <v>1180</v>
      </c>
      <c r="AF66">
        <f t="shared" si="1"/>
        <v>1948</v>
      </c>
      <c r="AH66">
        <f>SUM(AH30:AH64)</f>
        <v>46951</v>
      </c>
      <c r="AI66">
        <f>SUM(AI30:AI64)</f>
        <v>69597</v>
      </c>
    </row>
    <row r="67" spans="18:35" x14ac:dyDescent="0.3">
      <c r="R67">
        <v>652</v>
      </c>
      <c r="X67">
        <v>173</v>
      </c>
      <c r="Z67">
        <v>73</v>
      </c>
      <c r="AA67">
        <v>159</v>
      </c>
      <c r="AB67">
        <f t="shared" si="0"/>
        <v>232</v>
      </c>
      <c r="AD67">
        <v>797</v>
      </c>
      <c r="AE67">
        <v>1191</v>
      </c>
      <c r="AF67">
        <f t="shared" si="1"/>
        <v>1988</v>
      </c>
      <c r="AH67">
        <f>AH66/12800</f>
        <v>3.6680468749999999</v>
      </c>
      <c r="AI67">
        <f>AI66/12800</f>
        <v>5.4372656250000002</v>
      </c>
    </row>
    <row r="68" spans="18:35" x14ac:dyDescent="0.3">
      <c r="R68">
        <v>642</v>
      </c>
      <c r="X68">
        <v>145</v>
      </c>
      <c r="Z68">
        <v>264</v>
      </c>
      <c r="AA68">
        <v>304</v>
      </c>
      <c r="AB68">
        <f t="shared" si="0"/>
        <v>568</v>
      </c>
      <c r="AD68">
        <v>808</v>
      </c>
      <c r="AE68">
        <v>1228</v>
      </c>
      <c r="AF68">
        <f t="shared" si="1"/>
        <v>2036</v>
      </c>
    </row>
    <row r="69" spans="18:35" x14ac:dyDescent="0.3">
      <c r="R69">
        <v>656</v>
      </c>
      <c r="X69">
        <v>141</v>
      </c>
      <c r="Z69">
        <v>300</v>
      </c>
      <c r="AA69">
        <v>384</v>
      </c>
      <c r="AB69">
        <f t="shared" si="0"/>
        <v>684</v>
      </c>
      <c r="AD69">
        <v>855</v>
      </c>
      <c r="AE69">
        <v>1268</v>
      </c>
      <c r="AF69">
        <f t="shared" si="1"/>
        <v>2123</v>
      </c>
    </row>
    <row r="70" spans="18:35" x14ac:dyDescent="0.3">
      <c r="R70">
        <v>640</v>
      </c>
      <c r="X70">
        <v>136</v>
      </c>
      <c r="Z70">
        <v>302</v>
      </c>
      <c r="AA70">
        <v>390</v>
      </c>
      <c r="AB70">
        <f t="shared" si="0"/>
        <v>692</v>
      </c>
      <c r="AD70">
        <v>829</v>
      </c>
      <c r="AE70">
        <v>1246</v>
      </c>
      <c r="AF70">
        <f t="shared" si="1"/>
        <v>2075</v>
      </c>
    </row>
    <row r="71" spans="18:35" x14ac:dyDescent="0.3">
      <c r="R71">
        <v>139</v>
      </c>
      <c r="X71">
        <v>141</v>
      </c>
      <c r="Z71">
        <v>14</v>
      </c>
      <c r="AA71">
        <v>54</v>
      </c>
      <c r="AB71">
        <f t="shared" si="0"/>
        <v>68</v>
      </c>
      <c r="AD71">
        <v>798</v>
      </c>
      <c r="AE71">
        <v>1220</v>
      </c>
      <c r="AF71">
        <f t="shared" si="1"/>
        <v>2018</v>
      </c>
    </row>
    <row r="72" spans="18:35" x14ac:dyDescent="0.3">
      <c r="R72">
        <v>136</v>
      </c>
      <c r="X72">
        <v>173</v>
      </c>
      <c r="Z72">
        <v>1</v>
      </c>
      <c r="AA72">
        <v>93</v>
      </c>
      <c r="AB72">
        <f t="shared" si="0"/>
        <v>94</v>
      </c>
      <c r="AD72">
        <v>754</v>
      </c>
      <c r="AE72">
        <v>1191</v>
      </c>
      <c r="AF72">
        <f t="shared" si="1"/>
        <v>1945</v>
      </c>
    </row>
    <row r="73" spans="18:35" x14ac:dyDescent="0.3">
      <c r="R73">
        <v>612</v>
      </c>
      <c r="X73">
        <v>159</v>
      </c>
      <c r="Z73">
        <v>43</v>
      </c>
      <c r="AA73">
        <v>125</v>
      </c>
      <c r="AB73">
        <f t="shared" si="0"/>
        <v>168</v>
      </c>
      <c r="AD73">
        <v>778</v>
      </c>
      <c r="AE73">
        <v>1199</v>
      </c>
      <c r="AF73">
        <f t="shared" si="1"/>
        <v>1977</v>
      </c>
    </row>
    <row r="74" spans="18:35" x14ac:dyDescent="0.3">
      <c r="R74">
        <v>677</v>
      </c>
      <c r="X74">
        <v>200</v>
      </c>
      <c r="Z74">
        <v>282</v>
      </c>
      <c r="AA74">
        <v>327</v>
      </c>
      <c r="AB74">
        <f t="shared" si="0"/>
        <v>609</v>
      </c>
      <c r="AD74">
        <v>889</v>
      </c>
      <c r="AE74">
        <v>1322</v>
      </c>
      <c r="AF74">
        <f t="shared" si="1"/>
        <v>2211</v>
      </c>
    </row>
    <row r="75" spans="18:35" x14ac:dyDescent="0.3">
      <c r="R75">
        <v>648</v>
      </c>
      <c r="X75">
        <v>156</v>
      </c>
      <c r="Z75">
        <v>306</v>
      </c>
      <c r="AA75">
        <v>389</v>
      </c>
      <c r="AB75">
        <f t="shared" si="0"/>
        <v>695</v>
      </c>
      <c r="AD75">
        <v>920</v>
      </c>
      <c r="AE75">
        <v>1340</v>
      </c>
      <c r="AF75">
        <f t="shared" si="1"/>
        <v>2260</v>
      </c>
    </row>
    <row r="76" spans="18:35" x14ac:dyDescent="0.3">
      <c r="R76">
        <v>695</v>
      </c>
      <c r="X76">
        <v>112</v>
      </c>
      <c r="Z76">
        <v>308</v>
      </c>
      <c r="AA76">
        <v>393</v>
      </c>
      <c r="AB76">
        <f t="shared" si="0"/>
        <v>701</v>
      </c>
      <c r="AD76">
        <v>930</v>
      </c>
      <c r="AE76">
        <v>1340</v>
      </c>
      <c r="AF76">
        <f t="shared" si="1"/>
        <v>2270</v>
      </c>
    </row>
    <row r="77" spans="18:35" x14ac:dyDescent="0.3">
      <c r="R77">
        <v>517</v>
      </c>
      <c r="X77">
        <v>152</v>
      </c>
      <c r="Z77">
        <v>116</v>
      </c>
      <c r="AA77">
        <v>155</v>
      </c>
      <c r="AB77">
        <f t="shared" si="0"/>
        <v>271</v>
      </c>
      <c r="AD77">
        <v>810</v>
      </c>
      <c r="AE77">
        <v>1244</v>
      </c>
      <c r="AF77">
        <f t="shared" si="1"/>
        <v>2054</v>
      </c>
    </row>
    <row r="78" spans="18:35" x14ac:dyDescent="0.3">
      <c r="R78">
        <v>36</v>
      </c>
      <c r="X78">
        <v>158</v>
      </c>
      <c r="Z78">
        <v>1</v>
      </c>
      <c r="AA78">
        <v>88</v>
      </c>
      <c r="AB78">
        <f t="shared" si="0"/>
        <v>89</v>
      </c>
      <c r="AD78">
        <v>812</v>
      </c>
      <c r="AE78">
        <v>1254</v>
      </c>
      <c r="AF78">
        <f t="shared" si="1"/>
        <v>2066</v>
      </c>
    </row>
    <row r="79" spans="18:35" x14ac:dyDescent="0.3">
      <c r="R79">
        <v>388</v>
      </c>
      <c r="X79">
        <v>138</v>
      </c>
      <c r="Z79">
        <v>20</v>
      </c>
      <c r="AA79">
        <v>105</v>
      </c>
      <c r="AB79">
        <f t="shared" si="0"/>
        <v>125</v>
      </c>
      <c r="AD79">
        <v>816</v>
      </c>
      <c r="AE79">
        <v>1227</v>
      </c>
      <c r="AF79">
        <f t="shared" si="1"/>
        <v>2043</v>
      </c>
    </row>
    <row r="80" spans="18:35" x14ac:dyDescent="0.3">
      <c r="R80">
        <v>653</v>
      </c>
      <c r="X80">
        <v>136</v>
      </c>
      <c r="Z80">
        <v>287</v>
      </c>
      <c r="AA80">
        <v>331</v>
      </c>
      <c r="AB80">
        <f t="shared" si="0"/>
        <v>618</v>
      </c>
      <c r="AD80">
        <v>796</v>
      </c>
      <c r="AE80">
        <v>1240</v>
      </c>
      <c r="AF80">
        <f t="shared" si="1"/>
        <v>2036</v>
      </c>
    </row>
    <row r="81" spans="18:32" x14ac:dyDescent="0.3">
      <c r="R81">
        <v>591</v>
      </c>
      <c r="X81">
        <v>157</v>
      </c>
      <c r="Z81">
        <v>299</v>
      </c>
      <c r="AA81">
        <v>385</v>
      </c>
      <c r="AB81">
        <f t="shared" si="0"/>
        <v>684</v>
      </c>
      <c r="AD81">
        <v>974</v>
      </c>
      <c r="AE81">
        <v>1378</v>
      </c>
      <c r="AF81">
        <f t="shared" si="1"/>
        <v>2352</v>
      </c>
    </row>
    <row r="82" spans="18:32" x14ac:dyDescent="0.3">
      <c r="R82">
        <v>641</v>
      </c>
      <c r="X82">
        <v>145</v>
      </c>
      <c r="Z82">
        <v>303</v>
      </c>
      <c r="AA82">
        <v>384</v>
      </c>
      <c r="AB82">
        <f t="shared" si="0"/>
        <v>687</v>
      </c>
      <c r="AD82">
        <v>983</v>
      </c>
      <c r="AE82">
        <v>1394</v>
      </c>
      <c r="AF82">
        <f t="shared" si="1"/>
        <v>2377</v>
      </c>
    </row>
    <row r="83" spans="18:32" x14ac:dyDescent="0.3">
      <c r="R83">
        <v>600</v>
      </c>
      <c r="X83">
        <v>144</v>
      </c>
      <c r="Z83">
        <v>225</v>
      </c>
      <c r="AA83">
        <v>267</v>
      </c>
      <c r="AB83">
        <f t="shared" si="0"/>
        <v>492</v>
      </c>
      <c r="AD83">
        <v>734</v>
      </c>
      <c r="AE83">
        <v>1137</v>
      </c>
      <c r="AF83">
        <f t="shared" si="1"/>
        <v>1871</v>
      </c>
    </row>
    <row r="84" spans="18:32" x14ac:dyDescent="0.3">
      <c r="R84">
        <v>263</v>
      </c>
      <c r="X84">
        <v>132</v>
      </c>
      <c r="Z84">
        <v>1</v>
      </c>
      <c r="AA84">
        <v>88</v>
      </c>
      <c r="AB84">
        <f t="shared" si="0"/>
        <v>89</v>
      </c>
      <c r="AD84">
        <v>900</v>
      </c>
      <c r="AE84">
        <v>1312</v>
      </c>
      <c r="AF84">
        <f t="shared" si="1"/>
        <v>2212</v>
      </c>
    </row>
    <row r="85" spans="18:32" x14ac:dyDescent="0.3">
      <c r="R85">
        <v>146</v>
      </c>
      <c r="X85">
        <v>135</v>
      </c>
      <c r="Z85">
        <v>0</v>
      </c>
      <c r="AA85">
        <v>84</v>
      </c>
      <c r="AB85">
        <f t="shared" si="0"/>
        <v>84</v>
      </c>
      <c r="AD85">
        <v>952</v>
      </c>
      <c r="AE85">
        <v>1354</v>
      </c>
      <c r="AF85">
        <f t="shared" si="1"/>
        <v>2306</v>
      </c>
    </row>
    <row r="86" spans="18:32" x14ac:dyDescent="0.3">
      <c r="R86">
        <v>597</v>
      </c>
      <c r="X86">
        <v>164</v>
      </c>
      <c r="Z86">
        <v>269</v>
      </c>
      <c r="AA86">
        <v>314</v>
      </c>
      <c r="AB86">
        <f t="shared" si="0"/>
        <v>583</v>
      </c>
      <c r="AD86">
        <v>831</v>
      </c>
      <c r="AE86">
        <v>1244</v>
      </c>
      <c r="AF86">
        <f t="shared" si="1"/>
        <v>2075</v>
      </c>
    </row>
    <row r="87" spans="18:32" x14ac:dyDescent="0.3">
      <c r="R87">
        <v>641</v>
      </c>
      <c r="X87">
        <v>162</v>
      </c>
      <c r="Z87">
        <v>298</v>
      </c>
      <c r="AA87">
        <v>381</v>
      </c>
      <c r="AB87">
        <f t="shared" si="0"/>
        <v>679</v>
      </c>
      <c r="AD87">
        <v>890</v>
      </c>
      <c r="AE87">
        <v>1266</v>
      </c>
      <c r="AF87">
        <f t="shared" si="1"/>
        <v>2156</v>
      </c>
    </row>
    <row r="88" spans="18:32" x14ac:dyDescent="0.3">
      <c r="R88">
        <v>620</v>
      </c>
      <c r="X88">
        <v>152</v>
      </c>
      <c r="Z88">
        <v>312</v>
      </c>
      <c r="AA88">
        <v>358</v>
      </c>
      <c r="AB88">
        <f t="shared" si="0"/>
        <v>670</v>
      </c>
      <c r="AD88">
        <v>633</v>
      </c>
      <c r="AE88">
        <v>727</v>
      </c>
      <c r="AF88">
        <f t="shared" si="1"/>
        <v>1360</v>
      </c>
    </row>
    <row r="89" spans="18:32" x14ac:dyDescent="0.3">
      <c r="R89">
        <v>659</v>
      </c>
      <c r="X89">
        <v>134</v>
      </c>
      <c r="Z89">
        <v>297</v>
      </c>
      <c r="AA89">
        <v>374</v>
      </c>
      <c r="AB89">
        <f t="shared" si="0"/>
        <v>671</v>
      </c>
    </row>
    <row r="90" spans="18:32" x14ac:dyDescent="0.3">
      <c r="R90">
        <v>659</v>
      </c>
      <c r="X90">
        <v>164</v>
      </c>
      <c r="Z90">
        <v>283</v>
      </c>
      <c r="AA90">
        <v>375</v>
      </c>
      <c r="AB90">
        <f t="shared" si="0"/>
        <v>658</v>
      </c>
      <c r="AE90">
        <f>SUM(AE30:AE88)</f>
        <v>64549</v>
      </c>
      <c r="AF90">
        <f>SUM(AF30:AF88)</f>
        <v>104606</v>
      </c>
    </row>
    <row r="91" spans="18:32" x14ac:dyDescent="0.3">
      <c r="R91">
        <v>557</v>
      </c>
      <c r="X91">
        <v>136</v>
      </c>
      <c r="Z91">
        <v>65</v>
      </c>
      <c r="AA91">
        <v>98</v>
      </c>
      <c r="AB91">
        <f t="shared" si="0"/>
        <v>163</v>
      </c>
      <c r="AE91">
        <f>AE90/12800</f>
        <v>5.0428906250000001</v>
      </c>
      <c r="AF91">
        <f>AF90/12800</f>
        <v>8.1723437499999996</v>
      </c>
    </row>
    <row r="92" spans="18:32" x14ac:dyDescent="0.3">
      <c r="R92">
        <v>352</v>
      </c>
      <c r="X92">
        <v>154</v>
      </c>
      <c r="Z92">
        <v>176</v>
      </c>
      <c r="AA92">
        <v>264</v>
      </c>
      <c r="AB92">
        <f t="shared" si="0"/>
        <v>440</v>
      </c>
    </row>
    <row r="93" spans="18:32" x14ac:dyDescent="0.3">
      <c r="R93">
        <v>606</v>
      </c>
      <c r="X93">
        <v>153</v>
      </c>
      <c r="Z93">
        <v>285</v>
      </c>
      <c r="AA93">
        <v>367</v>
      </c>
      <c r="AB93">
        <f t="shared" si="0"/>
        <v>652</v>
      </c>
    </row>
    <row r="94" spans="18:32" x14ac:dyDescent="0.3">
      <c r="R94">
        <v>676</v>
      </c>
      <c r="X94">
        <v>188</v>
      </c>
      <c r="Z94">
        <v>303</v>
      </c>
      <c r="AA94">
        <v>339</v>
      </c>
      <c r="AB94">
        <f t="shared" si="0"/>
        <v>642</v>
      </c>
    </row>
    <row r="95" spans="18:32" x14ac:dyDescent="0.3">
      <c r="R95">
        <v>694</v>
      </c>
      <c r="X95">
        <v>177</v>
      </c>
      <c r="Z95">
        <v>284</v>
      </c>
      <c r="AA95">
        <v>372</v>
      </c>
      <c r="AB95">
        <f t="shared" ref="AB95:AB158" si="3">Z95+AA95</f>
        <v>656</v>
      </c>
    </row>
    <row r="96" spans="18:32" x14ac:dyDescent="0.3">
      <c r="R96">
        <v>625</v>
      </c>
      <c r="X96">
        <v>141</v>
      </c>
      <c r="Z96">
        <v>302</v>
      </c>
      <c r="AA96">
        <v>338</v>
      </c>
      <c r="AB96">
        <f t="shared" si="3"/>
        <v>640</v>
      </c>
    </row>
    <row r="97" spans="18:28" x14ac:dyDescent="0.3">
      <c r="R97">
        <v>515</v>
      </c>
      <c r="X97">
        <v>181</v>
      </c>
      <c r="Z97">
        <v>29</v>
      </c>
      <c r="AA97">
        <v>110</v>
      </c>
      <c r="AB97">
        <f t="shared" si="3"/>
        <v>139</v>
      </c>
    </row>
    <row r="98" spans="18:28" x14ac:dyDescent="0.3">
      <c r="R98">
        <v>57</v>
      </c>
      <c r="X98">
        <v>154</v>
      </c>
      <c r="Z98">
        <v>27</v>
      </c>
      <c r="AA98">
        <v>109</v>
      </c>
      <c r="AB98">
        <f t="shared" si="3"/>
        <v>136</v>
      </c>
    </row>
    <row r="99" spans="18:28" x14ac:dyDescent="0.3">
      <c r="R99">
        <v>579</v>
      </c>
      <c r="X99">
        <v>132</v>
      </c>
      <c r="Z99">
        <v>286</v>
      </c>
      <c r="AA99">
        <v>326</v>
      </c>
      <c r="AB99">
        <f t="shared" si="3"/>
        <v>612</v>
      </c>
    </row>
    <row r="100" spans="18:28" x14ac:dyDescent="0.3">
      <c r="R100">
        <v>679</v>
      </c>
      <c r="X100">
        <v>131</v>
      </c>
      <c r="Z100">
        <v>297</v>
      </c>
      <c r="AA100">
        <v>380</v>
      </c>
      <c r="AB100">
        <f t="shared" si="3"/>
        <v>677</v>
      </c>
    </row>
    <row r="101" spans="18:28" x14ac:dyDescent="0.3">
      <c r="R101">
        <v>654</v>
      </c>
      <c r="X101">
        <v>138</v>
      </c>
      <c r="Z101">
        <v>305</v>
      </c>
      <c r="AA101">
        <v>343</v>
      </c>
      <c r="AB101">
        <f t="shared" si="3"/>
        <v>648</v>
      </c>
    </row>
    <row r="102" spans="18:28" x14ac:dyDescent="0.3">
      <c r="R102">
        <v>653</v>
      </c>
      <c r="X102">
        <v>157</v>
      </c>
      <c r="Z102">
        <v>307</v>
      </c>
      <c r="AA102">
        <v>388</v>
      </c>
      <c r="AB102">
        <f t="shared" si="3"/>
        <v>695</v>
      </c>
    </row>
    <row r="103" spans="18:28" x14ac:dyDescent="0.3">
      <c r="R103">
        <v>678</v>
      </c>
      <c r="X103">
        <v>142</v>
      </c>
      <c r="Z103">
        <v>215</v>
      </c>
      <c r="AA103">
        <v>302</v>
      </c>
      <c r="AB103">
        <f t="shared" si="3"/>
        <v>517</v>
      </c>
    </row>
    <row r="104" spans="18:28" x14ac:dyDescent="0.3">
      <c r="R104">
        <v>230</v>
      </c>
      <c r="X104">
        <v>170</v>
      </c>
      <c r="Z104">
        <v>0</v>
      </c>
      <c r="AA104">
        <v>36</v>
      </c>
      <c r="AB104">
        <f t="shared" si="3"/>
        <v>36</v>
      </c>
    </row>
    <row r="105" spans="18:28" x14ac:dyDescent="0.3">
      <c r="R105">
        <v>271</v>
      </c>
      <c r="X105">
        <v>164</v>
      </c>
      <c r="Z105">
        <v>152</v>
      </c>
      <c r="AA105">
        <v>236</v>
      </c>
      <c r="AB105">
        <f t="shared" si="3"/>
        <v>388</v>
      </c>
    </row>
    <row r="106" spans="18:28" x14ac:dyDescent="0.3">
      <c r="R106">
        <v>599</v>
      </c>
      <c r="X106">
        <v>146</v>
      </c>
      <c r="Z106">
        <v>283</v>
      </c>
      <c r="AA106">
        <v>370</v>
      </c>
      <c r="AB106">
        <f t="shared" si="3"/>
        <v>653</v>
      </c>
    </row>
    <row r="107" spans="18:28" x14ac:dyDescent="0.3">
      <c r="R107">
        <v>692</v>
      </c>
      <c r="X107">
        <v>114</v>
      </c>
      <c r="Z107">
        <v>278</v>
      </c>
      <c r="AA107">
        <v>313</v>
      </c>
      <c r="AB107">
        <f t="shared" si="3"/>
        <v>591</v>
      </c>
    </row>
    <row r="108" spans="18:28" x14ac:dyDescent="0.3">
      <c r="R108">
        <v>698</v>
      </c>
      <c r="X108">
        <v>120</v>
      </c>
      <c r="Z108">
        <v>277</v>
      </c>
      <c r="AA108">
        <v>364</v>
      </c>
      <c r="AB108">
        <f t="shared" si="3"/>
        <v>641</v>
      </c>
    </row>
    <row r="109" spans="18:28" x14ac:dyDescent="0.3">
      <c r="R109">
        <v>482</v>
      </c>
      <c r="X109">
        <v>133</v>
      </c>
      <c r="Z109">
        <v>282</v>
      </c>
      <c r="AA109">
        <v>318</v>
      </c>
      <c r="AB109">
        <f t="shared" si="3"/>
        <v>600</v>
      </c>
    </row>
    <row r="110" spans="18:28" x14ac:dyDescent="0.3">
      <c r="R110">
        <v>89</v>
      </c>
      <c r="X110">
        <v>171</v>
      </c>
      <c r="Z110">
        <v>89</v>
      </c>
      <c r="AA110">
        <v>174</v>
      </c>
      <c r="AB110">
        <f t="shared" si="3"/>
        <v>263</v>
      </c>
    </row>
    <row r="111" spans="18:28" x14ac:dyDescent="0.3">
      <c r="R111">
        <v>85</v>
      </c>
      <c r="X111">
        <v>160</v>
      </c>
      <c r="Z111">
        <v>32</v>
      </c>
      <c r="AA111">
        <v>114</v>
      </c>
      <c r="AB111">
        <f t="shared" si="3"/>
        <v>146</v>
      </c>
    </row>
    <row r="112" spans="18:28" x14ac:dyDescent="0.3">
      <c r="R112">
        <v>586</v>
      </c>
      <c r="X112">
        <v>162</v>
      </c>
      <c r="Z112">
        <v>279</v>
      </c>
      <c r="AA112">
        <v>318</v>
      </c>
      <c r="AB112">
        <f t="shared" si="3"/>
        <v>597</v>
      </c>
    </row>
    <row r="113" spans="18:28" x14ac:dyDescent="0.3">
      <c r="R113">
        <v>673</v>
      </c>
      <c r="X113">
        <v>175</v>
      </c>
      <c r="Z113">
        <v>278</v>
      </c>
      <c r="AA113">
        <v>363</v>
      </c>
      <c r="AB113">
        <f t="shared" si="3"/>
        <v>641</v>
      </c>
    </row>
    <row r="114" spans="18:28" x14ac:dyDescent="0.3">
      <c r="R114">
        <v>653</v>
      </c>
      <c r="X114">
        <v>154</v>
      </c>
      <c r="Z114">
        <v>291</v>
      </c>
      <c r="AA114">
        <v>329</v>
      </c>
      <c r="AB114">
        <f t="shared" si="3"/>
        <v>620</v>
      </c>
    </row>
    <row r="115" spans="18:28" x14ac:dyDescent="0.3">
      <c r="R115">
        <v>639</v>
      </c>
      <c r="X115">
        <v>184</v>
      </c>
      <c r="Z115">
        <v>288</v>
      </c>
      <c r="AA115">
        <v>371</v>
      </c>
      <c r="AB115">
        <f t="shared" si="3"/>
        <v>659</v>
      </c>
    </row>
    <row r="116" spans="18:28" x14ac:dyDescent="0.3">
      <c r="R116">
        <v>654</v>
      </c>
      <c r="X116">
        <v>169</v>
      </c>
      <c r="Z116">
        <v>288</v>
      </c>
      <c r="AA116">
        <v>371</v>
      </c>
      <c r="AB116">
        <f t="shared" si="3"/>
        <v>659</v>
      </c>
    </row>
    <row r="117" spans="18:28" x14ac:dyDescent="0.3">
      <c r="R117">
        <v>583</v>
      </c>
      <c r="X117">
        <v>123</v>
      </c>
      <c r="Z117">
        <v>261</v>
      </c>
      <c r="AA117">
        <v>296</v>
      </c>
      <c r="AB117">
        <f t="shared" si="3"/>
        <v>557</v>
      </c>
    </row>
    <row r="118" spans="18:28" x14ac:dyDescent="0.3">
      <c r="R118">
        <v>677</v>
      </c>
      <c r="X118">
        <v>122</v>
      </c>
      <c r="Z118">
        <v>136</v>
      </c>
      <c r="AA118">
        <v>216</v>
      </c>
      <c r="AB118">
        <f t="shared" si="3"/>
        <v>352</v>
      </c>
    </row>
    <row r="119" spans="18:28" x14ac:dyDescent="0.3">
      <c r="R119">
        <v>531</v>
      </c>
      <c r="X119">
        <v>189</v>
      </c>
      <c r="Z119">
        <v>285</v>
      </c>
      <c r="AA119">
        <v>321</v>
      </c>
      <c r="AB119">
        <f t="shared" si="3"/>
        <v>606</v>
      </c>
    </row>
    <row r="120" spans="18:28" x14ac:dyDescent="0.3">
      <c r="R120">
        <v>640</v>
      </c>
      <c r="X120">
        <v>153</v>
      </c>
      <c r="Z120">
        <v>295</v>
      </c>
      <c r="AA120">
        <v>381</v>
      </c>
      <c r="AB120">
        <f t="shared" si="3"/>
        <v>676</v>
      </c>
    </row>
    <row r="121" spans="18:28" x14ac:dyDescent="0.3">
      <c r="R121">
        <v>652</v>
      </c>
      <c r="X121">
        <v>165</v>
      </c>
      <c r="Z121">
        <v>305</v>
      </c>
      <c r="AA121">
        <v>389</v>
      </c>
      <c r="AB121">
        <f t="shared" si="3"/>
        <v>694</v>
      </c>
    </row>
    <row r="122" spans="18:28" x14ac:dyDescent="0.3">
      <c r="R122">
        <v>682</v>
      </c>
      <c r="X122">
        <v>135</v>
      </c>
      <c r="Z122">
        <v>295</v>
      </c>
      <c r="AA122">
        <v>330</v>
      </c>
      <c r="AB122">
        <f t="shared" si="3"/>
        <v>625</v>
      </c>
    </row>
    <row r="123" spans="18:28" x14ac:dyDescent="0.3">
      <c r="R123">
        <v>701</v>
      </c>
      <c r="X123">
        <v>144</v>
      </c>
      <c r="Z123">
        <v>216</v>
      </c>
      <c r="AA123">
        <v>299</v>
      </c>
      <c r="AB123">
        <f t="shared" si="3"/>
        <v>515</v>
      </c>
    </row>
    <row r="124" spans="18:28" x14ac:dyDescent="0.3">
      <c r="R124">
        <v>36</v>
      </c>
      <c r="X124">
        <v>117</v>
      </c>
      <c r="Z124">
        <v>0</v>
      </c>
      <c r="AA124">
        <v>57</v>
      </c>
      <c r="AB124">
        <f t="shared" si="3"/>
        <v>57</v>
      </c>
    </row>
    <row r="125" spans="18:28" x14ac:dyDescent="0.3">
      <c r="R125">
        <v>374</v>
      </c>
      <c r="X125">
        <v>101</v>
      </c>
      <c r="Z125">
        <v>255</v>
      </c>
      <c r="AA125">
        <v>324</v>
      </c>
      <c r="AB125">
        <f t="shared" si="3"/>
        <v>579</v>
      </c>
    </row>
    <row r="126" spans="18:28" x14ac:dyDescent="0.3">
      <c r="R126">
        <v>646</v>
      </c>
      <c r="X126">
        <v>141</v>
      </c>
      <c r="Z126">
        <v>297</v>
      </c>
      <c r="AA126">
        <v>382</v>
      </c>
      <c r="AB126">
        <f t="shared" si="3"/>
        <v>679</v>
      </c>
    </row>
    <row r="127" spans="18:28" x14ac:dyDescent="0.3">
      <c r="R127">
        <v>580</v>
      </c>
      <c r="X127">
        <v>106</v>
      </c>
      <c r="Z127">
        <v>309</v>
      </c>
      <c r="AA127">
        <v>345</v>
      </c>
      <c r="AB127">
        <f t="shared" si="3"/>
        <v>654</v>
      </c>
    </row>
    <row r="128" spans="18:28" x14ac:dyDescent="0.3">
      <c r="R128">
        <v>662</v>
      </c>
      <c r="X128">
        <v>130</v>
      </c>
      <c r="Z128">
        <v>283</v>
      </c>
      <c r="AA128">
        <v>370</v>
      </c>
      <c r="AB128">
        <f t="shared" si="3"/>
        <v>653</v>
      </c>
    </row>
    <row r="129" spans="18:28" x14ac:dyDescent="0.3">
      <c r="R129">
        <v>501</v>
      </c>
      <c r="X129">
        <v>160</v>
      </c>
      <c r="Z129">
        <v>299</v>
      </c>
      <c r="AA129">
        <v>379</v>
      </c>
      <c r="AB129">
        <f t="shared" si="3"/>
        <v>678</v>
      </c>
    </row>
    <row r="130" spans="18:28" x14ac:dyDescent="0.3">
      <c r="R130">
        <v>89</v>
      </c>
      <c r="X130">
        <v>138</v>
      </c>
      <c r="Z130">
        <v>97</v>
      </c>
      <c r="AA130">
        <v>133</v>
      </c>
      <c r="AB130">
        <f t="shared" si="3"/>
        <v>230</v>
      </c>
    </row>
    <row r="131" spans="18:28" x14ac:dyDescent="0.3">
      <c r="R131">
        <v>73</v>
      </c>
      <c r="X131">
        <v>116</v>
      </c>
      <c r="Z131">
        <v>92</v>
      </c>
      <c r="AA131">
        <v>179</v>
      </c>
      <c r="AB131">
        <f t="shared" si="3"/>
        <v>271</v>
      </c>
    </row>
    <row r="132" spans="18:28" x14ac:dyDescent="0.3">
      <c r="R132">
        <v>591</v>
      </c>
      <c r="X132">
        <v>161</v>
      </c>
      <c r="Z132">
        <v>282</v>
      </c>
      <c r="AA132">
        <v>317</v>
      </c>
      <c r="AB132">
        <f t="shared" si="3"/>
        <v>599</v>
      </c>
    </row>
    <row r="133" spans="18:28" x14ac:dyDescent="0.3">
      <c r="R133">
        <v>682</v>
      </c>
      <c r="X133">
        <v>163</v>
      </c>
      <c r="Z133">
        <v>304</v>
      </c>
      <c r="AA133">
        <v>388</v>
      </c>
      <c r="AB133">
        <f t="shared" si="3"/>
        <v>692</v>
      </c>
    </row>
    <row r="134" spans="18:28" x14ac:dyDescent="0.3">
      <c r="R134">
        <v>652</v>
      </c>
      <c r="X134">
        <v>157</v>
      </c>
      <c r="Z134">
        <v>305</v>
      </c>
      <c r="AA134">
        <v>393</v>
      </c>
      <c r="AB134">
        <f t="shared" si="3"/>
        <v>698</v>
      </c>
    </row>
    <row r="135" spans="18:28" x14ac:dyDescent="0.3">
      <c r="R135">
        <v>688</v>
      </c>
      <c r="X135">
        <v>150</v>
      </c>
      <c r="Z135">
        <v>225</v>
      </c>
      <c r="AA135">
        <v>257</v>
      </c>
      <c r="AB135">
        <f t="shared" si="3"/>
        <v>482</v>
      </c>
    </row>
    <row r="136" spans="18:28" x14ac:dyDescent="0.3">
      <c r="R136">
        <v>670</v>
      </c>
      <c r="X136">
        <v>131</v>
      </c>
      <c r="Z136">
        <v>1</v>
      </c>
      <c r="AA136">
        <v>88</v>
      </c>
      <c r="AB136">
        <f t="shared" si="3"/>
        <v>89</v>
      </c>
    </row>
    <row r="137" spans="18:28" x14ac:dyDescent="0.3">
      <c r="R137">
        <v>629</v>
      </c>
      <c r="X137">
        <v>144</v>
      </c>
      <c r="Z137">
        <v>0</v>
      </c>
      <c r="AA137">
        <v>85</v>
      </c>
      <c r="AB137">
        <f t="shared" si="3"/>
        <v>85</v>
      </c>
    </row>
    <row r="138" spans="18:28" x14ac:dyDescent="0.3">
      <c r="R138">
        <v>535</v>
      </c>
      <c r="X138">
        <v>156</v>
      </c>
      <c r="Z138">
        <v>272</v>
      </c>
      <c r="AA138">
        <v>314</v>
      </c>
      <c r="AB138">
        <f t="shared" si="3"/>
        <v>586</v>
      </c>
    </row>
    <row r="139" spans="18:28" x14ac:dyDescent="0.3">
      <c r="R139">
        <v>638</v>
      </c>
      <c r="X139">
        <v>150</v>
      </c>
      <c r="Z139">
        <v>295</v>
      </c>
      <c r="AA139">
        <v>378</v>
      </c>
      <c r="AB139">
        <f t="shared" si="3"/>
        <v>673</v>
      </c>
    </row>
    <row r="140" spans="18:28" x14ac:dyDescent="0.3">
      <c r="R140">
        <v>676</v>
      </c>
      <c r="X140">
        <v>135</v>
      </c>
      <c r="Z140">
        <v>308</v>
      </c>
      <c r="AA140">
        <v>345</v>
      </c>
      <c r="AB140">
        <f t="shared" si="3"/>
        <v>653</v>
      </c>
    </row>
    <row r="141" spans="18:28" x14ac:dyDescent="0.3">
      <c r="R141">
        <v>693</v>
      </c>
      <c r="X141">
        <v>127</v>
      </c>
      <c r="Z141">
        <v>277</v>
      </c>
      <c r="AA141">
        <v>362</v>
      </c>
      <c r="AB141">
        <f t="shared" si="3"/>
        <v>639</v>
      </c>
    </row>
    <row r="142" spans="18:28" x14ac:dyDescent="0.3">
      <c r="R142">
        <v>634</v>
      </c>
      <c r="X142">
        <v>111</v>
      </c>
      <c r="Z142">
        <v>283</v>
      </c>
      <c r="AA142">
        <v>371</v>
      </c>
      <c r="AB142">
        <f t="shared" si="3"/>
        <v>654</v>
      </c>
    </row>
    <row r="143" spans="18:28" x14ac:dyDescent="0.3">
      <c r="R143">
        <v>705</v>
      </c>
      <c r="X143">
        <v>149</v>
      </c>
      <c r="Z143">
        <v>274</v>
      </c>
      <c r="AA143">
        <v>309</v>
      </c>
      <c r="AB143">
        <f t="shared" si="3"/>
        <v>583</v>
      </c>
    </row>
    <row r="144" spans="18:28" x14ac:dyDescent="0.3">
      <c r="R144">
        <v>418</v>
      </c>
      <c r="X144">
        <v>117</v>
      </c>
      <c r="Z144">
        <v>298</v>
      </c>
      <c r="AA144">
        <v>379</v>
      </c>
      <c r="AB144">
        <f t="shared" si="3"/>
        <v>677</v>
      </c>
    </row>
    <row r="145" spans="18:28" x14ac:dyDescent="0.3">
      <c r="R145">
        <v>608</v>
      </c>
      <c r="X145">
        <v>158</v>
      </c>
      <c r="Z145">
        <v>248</v>
      </c>
      <c r="AA145">
        <v>283</v>
      </c>
      <c r="AB145">
        <f t="shared" si="3"/>
        <v>531</v>
      </c>
    </row>
    <row r="146" spans="18:28" x14ac:dyDescent="0.3">
      <c r="R146">
        <v>657</v>
      </c>
      <c r="X146">
        <v>162</v>
      </c>
      <c r="Z146">
        <v>281</v>
      </c>
      <c r="AA146">
        <v>359</v>
      </c>
      <c r="AB146">
        <f t="shared" si="3"/>
        <v>640</v>
      </c>
    </row>
    <row r="147" spans="18:28" x14ac:dyDescent="0.3">
      <c r="R147">
        <v>701</v>
      </c>
      <c r="X147">
        <v>172</v>
      </c>
      <c r="Z147">
        <v>308</v>
      </c>
      <c r="AA147">
        <v>344</v>
      </c>
      <c r="AB147">
        <f t="shared" si="3"/>
        <v>652</v>
      </c>
    </row>
    <row r="148" spans="18:28" x14ac:dyDescent="0.3">
      <c r="R148">
        <v>636</v>
      </c>
      <c r="X148">
        <v>126</v>
      </c>
      <c r="Z148">
        <v>303</v>
      </c>
      <c r="AA148">
        <v>379</v>
      </c>
      <c r="AB148">
        <f t="shared" si="3"/>
        <v>682</v>
      </c>
    </row>
    <row r="149" spans="18:28" x14ac:dyDescent="0.3">
      <c r="R149">
        <v>702</v>
      </c>
      <c r="X149">
        <v>161</v>
      </c>
      <c r="Z149">
        <v>307</v>
      </c>
      <c r="AA149">
        <v>394</v>
      </c>
      <c r="AB149">
        <f t="shared" si="3"/>
        <v>701</v>
      </c>
    </row>
    <row r="150" spans="18:28" x14ac:dyDescent="0.3">
      <c r="R150">
        <v>541</v>
      </c>
      <c r="X150">
        <v>195</v>
      </c>
      <c r="Z150">
        <v>0</v>
      </c>
      <c r="AA150">
        <v>36</v>
      </c>
      <c r="AB150">
        <f t="shared" si="3"/>
        <v>36</v>
      </c>
    </row>
    <row r="151" spans="18:28" x14ac:dyDescent="0.3">
      <c r="R151">
        <v>532</v>
      </c>
      <c r="X151">
        <v>145</v>
      </c>
      <c r="Z151">
        <v>143</v>
      </c>
      <c r="AA151">
        <v>231</v>
      </c>
      <c r="AB151">
        <f t="shared" si="3"/>
        <v>374</v>
      </c>
    </row>
    <row r="152" spans="18:28" x14ac:dyDescent="0.3">
      <c r="R152">
        <v>672</v>
      </c>
      <c r="X152">
        <v>165</v>
      </c>
      <c r="Z152">
        <v>282</v>
      </c>
      <c r="AA152">
        <v>364</v>
      </c>
      <c r="AB152">
        <f t="shared" si="3"/>
        <v>646</v>
      </c>
    </row>
    <row r="153" spans="18:28" x14ac:dyDescent="0.3">
      <c r="R153">
        <v>660</v>
      </c>
      <c r="X153">
        <v>123</v>
      </c>
      <c r="Z153">
        <v>270</v>
      </c>
      <c r="AA153">
        <v>310</v>
      </c>
      <c r="AB153">
        <f t="shared" si="3"/>
        <v>580</v>
      </c>
    </row>
    <row r="154" spans="18:28" x14ac:dyDescent="0.3">
      <c r="R154">
        <v>681</v>
      </c>
      <c r="X154">
        <v>129</v>
      </c>
      <c r="Z154">
        <v>288</v>
      </c>
      <c r="AA154">
        <v>374</v>
      </c>
      <c r="AB154">
        <f t="shared" si="3"/>
        <v>662</v>
      </c>
    </row>
    <row r="155" spans="18:28" x14ac:dyDescent="0.3">
      <c r="R155">
        <v>657</v>
      </c>
      <c r="X155">
        <v>146</v>
      </c>
      <c r="Z155">
        <v>235</v>
      </c>
      <c r="AA155">
        <v>266</v>
      </c>
      <c r="AB155">
        <f t="shared" si="3"/>
        <v>501</v>
      </c>
    </row>
    <row r="156" spans="18:28" x14ac:dyDescent="0.3">
      <c r="R156">
        <v>216</v>
      </c>
      <c r="X156">
        <v>164</v>
      </c>
      <c r="Z156">
        <v>1</v>
      </c>
      <c r="AA156">
        <v>88</v>
      </c>
      <c r="AB156">
        <f t="shared" si="3"/>
        <v>89</v>
      </c>
    </row>
    <row r="157" spans="18:28" x14ac:dyDescent="0.3">
      <c r="R157">
        <v>188</v>
      </c>
      <c r="X157">
        <v>159</v>
      </c>
      <c r="Z157">
        <v>0</v>
      </c>
      <c r="AA157">
        <v>73</v>
      </c>
      <c r="AB157">
        <f t="shared" si="3"/>
        <v>73</v>
      </c>
    </row>
    <row r="158" spans="18:28" x14ac:dyDescent="0.3">
      <c r="R158">
        <v>566</v>
      </c>
      <c r="X158">
        <v>150</v>
      </c>
      <c r="Z158">
        <v>273</v>
      </c>
      <c r="AA158">
        <v>318</v>
      </c>
      <c r="AB158">
        <f t="shared" si="3"/>
        <v>591</v>
      </c>
    </row>
    <row r="159" spans="18:28" x14ac:dyDescent="0.3">
      <c r="R159">
        <v>636</v>
      </c>
      <c r="X159">
        <v>163</v>
      </c>
      <c r="Z159">
        <v>299</v>
      </c>
      <c r="AA159">
        <v>383</v>
      </c>
      <c r="AB159">
        <f t="shared" ref="AB159:AB222" si="4">Z159+AA159</f>
        <v>682</v>
      </c>
    </row>
    <row r="160" spans="18:28" x14ac:dyDescent="0.3">
      <c r="R160">
        <v>685</v>
      </c>
      <c r="X160">
        <v>155</v>
      </c>
      <c r="Z160">
        <v>308</v>
      </c>
      <c r="AA160">
        <v>344</v>
      </c>
      <c r="AB160">
        <f t="shared" si="4"/>
        <v>652</v>
      </c>
    </row>
    <row r="161" spans="18:28" x14ac:dyDescent="0.3">
      <c r="R161">
        <v>636</v>
      </c>
      <c r="X161">
        <v>148</v>
      </c>
      <c r="Z161">
        <v>298</v>
      </c>
      <c r="AA161">
        <v>390</v>
      </c>
      <c r="AB161">
        <f t="shared" si="4"/>
        <v>688</v>
      </c>
    </row>
    <row r="162" spans="18:28" x14ac:dyDescent="0.3">
      <c r="R162">
        <v>668</v>
      </c>
      <c r="X162">
        <v>164</v>
      </c>
      <c r="Z162">
        <v>292</v>
      </c>
      <c r="AA162">
        <v>378</v>
      </c>
      <c r="AB162">
        <f t="shared" si="4"/>
        <v>670</v>
      </c>
    </row>
    <row r="163" spans="18:28" x14ac:dyDescent="0.3">
      <c r="R163">
        <v>634</v>
      </c>
      <c r="X163">
        <v>158</v>
      </c>
      <c r="Z163">
        <v>297</v>
      </c>
      <c r="AA163">
        <v>332</v>
      </c>
      <c r="AB163">
        <f t="shared" si="4"/>
        <v>629</v>
      </c>
    </row>
    <row r="164" spans="18:28" x14ac:dyDescent="0.3">
      <c r="R164">
        <v>648</v>
      </c>
      <c r="X164">
        <v>156</v>
      </c>
      <c r="Z164">
        <v>226</v>
      </c>
      <c r="AA164">
        <v>309</v>
      </c>
      <c r="AB164">
        <f t="shared" si="4"/>
        <v>535</v>
      </c>
    </row>
    <row r="165" spans="18:28" x14ac:dyDescent="0.3">
      <c r="R165">
        <v>642</v>
      </c>
      <c r="X165">
        <v>186</v>
      </c>
      <c r="Z165">
        <v>285</v>
      </c>
      <c r="AA165">
        <v>353</v>
      </c>
      <c r="AB165">
        <f t="shared" si="4"/>
        <v>638</v>
      </c>
    </row>
    <row r="166" spans="18:28" x14ac:dyDescent="0.3">
      <c r="R166">
        <v>570</v>
      </c>
      <c r="X166">
        <v>130</v>
      </c>
      <c r="Z166">
        <v>309</v>
      </c>
      <c r="AA166">
        <v>367</v>
      </c>
      <c r="AB166">
        <f t="shared" si="4"/>
        <v>676</v>
      </c>
    </row>
    <row r="167" spans="18:28" x14ac:dyDescent="0.3">
      <c r="R167">
        <v>645</v>
      </c>
      <c r="X167">
        <v>146</v>
      </c>
      <c r="Z167">
        <v>303</v>
      </c>
      <c r="AA167">
        <v>390</v>
      </c>
      <c r="AB167">
        <f t="shared" si="4"/>
        <v>693</v>
      </c>
    </row>
    <row r="168" spans="18:28" x14ac:dyDescent="0.3">
      <c r="R168">
        <v>625</v>
      </c>
      <c r="X168">
        <v>173</v>
      </c>
      <c r="Z168">
        <v>300</v>
      </c>
      <c r="AA168">
        <v>334</v>
      </c>
      <c r="AB168">
        <f t="shared" si="4"/>
        <v>634</v>
      </c>
    </row>
    <row r="169" spans="18:28" x14ac:dyDescent="0.3">
      <c r="R169">
        <v>693</v>
      </c>
      <c r="X169">
        <v>132</v>
      </c>
      <c r="Z169">
        <v>306</v>
      </c>
      <c r="AA169">
        <v>399</v>
      </c>
      <c r="AB169">
        <f t="shared" si="4"/>
        <v>705</v>
      </c>
    </row>
    <row r="170" spans="18:28" x14ac:dyDescent="0.3">
      <c r="R170">
        <v>360</v>
      </c>
      <c r="X170">
        <v>187</v>
      </c>
      <c r="Z170">
        <v>170</v>
      </c>
      <c r="AA170">
        <v>248</v>
      </c>
      <c r="AB170">
        <f t="shared" si="4"/>
        <v>418</v>
      </c>
    </row>
    <row r="171" spans="18:28" x14ac:dyDescent="0.3">
      <c r="R171">
        <v>598</v>
      </c>
      <c r="X171">
        <v>133</v>
      </c>
      <c r="Z171">
        <v>284</v>
      </c>
      <c r="AA171">
        <v>324</v>
      </c>
      <c r="AB171">
        <f t="shared" si="4"/>
        <v>608</v>
      </c>
    </row>
    <row r="172" spans="18:28" x14ac:dyDescent="0.3">
      <c r="R172">
        <v>680</v>
      </c>
      <c r="X172">
        <v>182</v>
      </c>
      <c r="Z172">
        <v>286</v>
      </c>
      <c r="AA172">
        <v>371</v>
      </c>
      <c r="AB172">
        <f t="shared" si="4"/>
        <v>657</v>
      </c>
    </row>
    <row r="173" spans="18:28" x14ac:dyDescent="0.3">
      <c r="R173">
        <v>682</v>
      </c>
      <c r="X173">
        <v>163</v>
      </c>
      <c r="Z173">
        <v>307</v>
      </c>
      <c r="AA173">
        <v>394</v>
      </c>
      <c r="AB173">
        <f t="shared" si="4"/>
        <v>701</v>
      </c>
    </row>
    <row r="174" spans="18:28" x14ac:dyDescent="0.3">
      <c r="R174">
        <v>611</v>
      </c>
      <c r="X174">
        <v>134</v>
      </c>
      <c r="Z174">
        <v>300</v>
      </c>
      <c r="AA174">
        <v>336</v>
      </c>
      <c r="AB174">
        <f t="shared" si="4"/>
        <v>636</v>
      </c>
    </row>
    <row r="175" spans="18:28" x14ac:dyDescent="0.3">
      <c r="R175">
        <v>353</v>
      </c>
      <c r="X175">
        <v>132</v>
      </c>
      <c r="Z175">
        <v>308</v>
      </c>
      <c r="AA175">
        <v>394</v>
      </c>
      <c r="AB175">
        <f t="shared" si="4"/>
        <v>702</v>
      </c>
    </row>
    <row r="176" spans="18:28" x14ac:dyDescent="0.3">
      <c r="R176">
        <v>222</v>
      </c>
      <c r="X176">
        <v>118</v>
      </c>
      <c r="Z176">
        <v>255</v>
      </c>
      <c r="AA176">
        <v>286</v>
      </c>
      <c r="AB176">
        <f t="shared" si="4"/>
        <v>541</v>
      </c>
    </row>
    <row r="177" spans="18:28" x14ac:dyDescent="0.3">
      <c r="R177">
        <v>591</v>
      </c>
      <c r="X177">
        <v>161</v>
      </c>
      <c r="Z177">
        <v>222</v>
      </c>
      <c r="AA177">
        <v>310</v>
      </c>
      <c r="AB177">
        <f t="shared" si="4"/>
        <v>532</v>
      </c>
    </row>
    <row r="178" spans="18:28" x14ac:dyDescent="0.3">
      <c r="R178">
        <v>648</v>
      </c>
      <c r="X178">
        <v>157</v>
      </c>
      <c r="Z178">
        <v>293</v>
      </c>
      <c r="AA178">
        <v>379</v>
      </c>
      <c r="AB178">
        <f t="shared" si="4"/>
        <v>672</v>
      </c>
    </row>
    <row r="179" spans="18:28" x14ac:dyDescent="0.3">
      <c r="R179">
        <v>667</v>
      </c>
      <c r="X179">
        <v>130</v>
      </c>
      <c r="Z179">
        <v>313</v>
      </c>
      <c r="AA179">
        <v>347</v>
      </c>
      <c r="AB179">
        <f t="shared" si="4"/>
        <v>660</v>
      </c>
    </row>
    <row r="180" spans="18:28" x14ac:dyDescent="0.3">
      <c r="R180">
        <v>643</v>
      </c>
      <c r="X180">
        <v>152</v>
      </c>
      <c r="Z180">
        <v>299</v>
      </c>
      <c r="AA180">
        <v>382</v>
      </c>
      <c r="AB180">
        <f t="shared" si="4"/>
        <v>681</v>
      </c>
    </row>
    <row r="181" spans="18:28" x14ac:dyDescent="0.3">
      <c r="R181">
        <v>679</v>
      </c>
      <c r="X181">
        <v>168</v>
      </c>
      <c r="Z181">
        <v>308</v>
      </c>
      <c r="AA181">
        <v>349</v>
      </c>
      <c r="AB181">
        <f t="shared" si="4"/>
        <v>657</v>
      </c>
    </row>
    <row r="182" spans="18:28" x14ac:dyDescent="0.3">
      <c r="R182">
        <v>582</v>
      </c>
      <c r="X182">
        <v>120</v>
      </c>
      <c r="Z182">
        <v>67</v>
      </c>
      <c r="AA182">
        <v>149</v>
      </c>
      <c r="AB182">
        <f t="shared" si="4"/>
        <v>216</v>
      </c>
    </row>
    <row r="183" spans="18:28" x14ac:dyDescent="0.3">
      <c r="R183">
        <v>565</v>
      </c>
      <c r="X183">
        <v>159</v>
      </c>
      <c r="Z183">
        <v>53</v>
      </c>
      <c r="AA183">
        <v>135</v>
      </c>
      <c r="AB183">
        <f t="shared" si="4"/>
        <v>188</v>
      </c>
    </row>
    <row r="184" spans="18:28" x14ac:dyDescent="0.3">
      <c r="R184">
        <v>674</v>
      </c>
      <c r="X184">
        <v>141</v>
      </c>
      <c r="Z184">
        <v>263</v>
      </c>
      <c r="AA184">
        <v>303</v>
      </c>
      <c r="AB184">
        <f t="shared" si="4"/>
        <v>566</v>
      </c>
    </row>
    <row r="185" spans="18:28" x14ac:dyDescent="0.3">
      <c r="R185">
        <v>669</v>
      </c>
      <c r="X185">
        <v>186</v>
      </c>
      <c r="Z185">
        <v>277</v>
      </c>
      <c r="AA185">
        <v>359</v>
      </c>
      <c r="AB185">
        <f t="shared" si="4"/>
        <v>636</v>
      </c>
    </row>
    <row r="186" spans="18:28" x14ac:dyDescent="0.3">
      <c r="R186">
        <v>628</v>
      </c>
      <c r="X186">
        <v>126</v>
      </c>
      <c r="Z186">
        <v>305</v>
      </c>
      <c r="AA186">
        <v>380</v>
      </c>
      <c r="AB186">
        <f t="shared" si="4"/>
        <v>685</v>
      </c>
    </row>
    <row r="187" spans="18:28" x14ac:dyDescent="0.3">
      <c r="R187">
        <v>644</v>
      </c>
      <c r="X187">
        <v>185</v>
      </c>
      <c r="Z187">
        <v>293</v>
      </c>
      <c r="AA187">
        <v>343</v>
      </c>
      <c r="AB187">
        <f t="shared" si="4"/>
        <v>636</v>
      </c>
    </row>
    <row r="188" spans="18:28" x14ac:dyDescent="0.3">
      <c r="R188">
        <v>284</v>
      </c>
      <c r="X188">
        <v>134</v>
      </c>
      <c r="Z188">
        <v>293</v>
      </c>
      <c r="AA188">
        <v>375</v>
      </c>
      <c r="AB188">
        <f t="shared" si="4"/>
        <v>668</v>
      </c>
    </row>
    <row r="189" spans="18:28" x14ac:dyDescent="0.3">
      <c r="R189">
        <v>496</v>
      </c>
      <c r="X189">
        <v>111</v>
      </c>
      <c r="Z189">
        <v>297</v>
      </c>
      <c r="AA189">
        <v>337</v>
      </c>
      <c r="AB189">
        <f t="shared" si="4"/>
        <v>634</v>
      </c>
    </row>
    <row r="190" spans="18:28" x14ac:dyDescent="0.3">
      <c r="R190">
        <v>611</v>
      </c>
      <c r="X190">
        <v>145</v>
      </c>
      <c r="Z190">
        <v>282</v>
      </c>
      <c r="AA190">
        <v>366</v>
      </c>
      <c r="AB190">
        <f t="shared" si="4"/>
        <v>648</v>
      </c>
    </row>
    <row r="191" spans="18:28" x14ac:dyDescent="0.3">
      <c r="R191">
        <v>615</v>
      </c>
      <c r="X191">
        <v>138</v>
      </c>
      <c r="Z191">
        <v>280</v>
      </c>
      <c r="AA191">
        <v>362</v>
      </c>
      <c r="AB191">
        <f t="shared" si="4"/>
        <v>642</v>
      </c>
    </row>
    <row r="192" spans="18:28" x14ac:dyDescent="0.3">
      <c r="R192">
        <v>676</v>
      </c>
      <c r="X192">
        <v>152</v>
      </c>
      <c r="Z192">
        <v>267</v>
      </c>
      <c r="AA192">
        <v>303</v>
      </c>
      <c r="AB192">
        <f t="shared" si="4"/>
        <v>570</v>
      </c>
    </row>
    <row r="193" spans="18:28" x14ac:dyDescent="0.3">
      <c r="R193">
        <v>703</v>
      </c>
      <c r="X193">
        <v>163</v>
      </c>
      <c r="Z193">
        <v>279</v>
      </c>
      <c r="AA193">
        <v>366</v>
      </c>
      <c r="AB193">
        <f t="shared" si="4"/>
        <v>645</v>
      </c>
    </row>
    <row r="194" spans="18:28" x14ac:dyDescent="0.3">
      <c r="R194">
        <v>633</v>
      </c>
      <c r="X194">
        <v>122</v>
      </c>
      <c r="Z194">
        <v>295</v>
      </c>
      <c r="AA194">
        <v>330</v>
      </c>
      <c r="AB194">
        <f t="shared" si="4"/>
        <v>625</v>
      </c>
    </row>
    <row r="195" spans="18:28" x14ac:dyDescent="0.3">
      <c r="R195">
        <v>642</v>
      </c>
      <c r="X195">
        <v>147</v>
      </c>
      <c r="Z195">
        <v>300</v>
      </c>
      <c r="AA195">
        <v>393</v>
      </c>
      <c r="AB195">
        <f t="shared" si="4"/>
        <v>693</v>
      </c>
    </row>
    <row r="196" spans="18:28" x14ac:dyDescent="0.3">
      <c r="R196">
        <v>647</v>
      </c>
      <c r="X196">
        <v>146</v>
      </c>
      <c r="Z196">
        <v>139</v>
      </c>
      <c r="AA196">
        <v>221</v>
      </c>
      <c r="AB196">
        <f t="shared" si="4"/>
        <v>360</v>
      </c>
    </row>
    <row r="197" spans="18:28" x14ac:dyDescent="0.3">
      <c r="R197">
        <v>589</v>
      </c>
      <c r="X197">
        <v>151</v>
      </c>
      <c r="Z197">
        <v>279</v>
      </c>
      <c r="AA197">
        <v>319</v>
      </c>
      <c r="AB197">
        <f t="shared" si="4"/>
        <v>598</v>
      </c>
    </row>
    <row r="198" spans="18:28" x14ac:dyDescent="0.3">
      <c r="R198">
        <v>647</v>
      </c>
      <c r="X198">
        <v>131</v>
      </c>
      <c r="Z198">
        <v>296</v>
      </c>
      <c r="AA198">
        <v>384</v>
      </c>
      <c r="AB198">
        <f t="shared" si="4"/>
        <v>680</v>
      </c>
    </row>
    <row r="199" spans="18:28" x14ac:dyDescent="0.3">
      <c r="R199">
        <v>603</v>
      </c>
      <c r="X199">
        <v>167</v>
      </c>
      <c r="Z199">
        <v>298</v>
      </c>
      <c r="AA199">
        <v>384</v>
      </c>
      <c r="AB199">
        <f t="shared" si="4"/>
        <v>682</v>
      </c>
    </row>
    <row r="200" spans="18:28" x14ac:dyDescent="0.3">
      <c r="R200">
        <v>36</v>
      </c>
      <c r="V200" t="s">
        <v>638</v>
      </c>
      <c r="X200">
        <v>131</v>
      </c>
      <c r="Z200">
        <v>285</v>
      </c>
      <c r="AA200">
        <v>326</v>
      </c>
      <c r="AB200">
        <f t="shared" si="4"/>
        <v>611</v>
      </c>
    </row>
    <row r="201" spans="18:28" x14ac:dyDescent="0.3">
      <c r="R201">
        <v>443</v>
      </c>
      <c r="X201">
        <v>134</v>
      </c>
      <c r="Z201">
        <v>134</v>
      </c>
      <c r="AA201">
        <v>219</v>
      </c>
      <c r="AB201">
        <f t="shared" si="4"/>
        <v>353</v>
      </c>
    </row>
    <row r="202" spans="18:28" x14ac:dyDescent="0.3">
      <c r="R202">
        <v>604</v>
      </c>
      <c r="X202">
        <v>146</v>
      </c>
      <c r="Z202">
        <v>66</v>
      </c>
      <c r="AA202">
        <v>156</v>
      </c>
      <c r="AB202">
        <f t="shared" si="4"/>
        <v>222</v>
      </c>
    </row>
    <row r="203" spans="18:28" x14ac:dyDescent="0.3">
      <c r="R203">
        <v>588</v>
      </c>
      <c r="X203">
        <v>145</v>
      </c>
      <c r="Z203">
        <v>276</v>
      </c>
      <c r="AA203">
        <v>315</v>
      </c>
      <c r="AB203">
        <f t="shared" si="4"/>
        <v>591</v>
      </c>
    </row>
    <row r="204" spans="18:28" x14ac:dyDescent="0.3">
      <c r="R204">
        <v>631</v>
      </c>
      <c r="X204">
        <v>140</v>
      </c>
      <c r="Z204">
        <v>279</v>
      </c>
      <c r="AA204">
        <v>369</v>
      </c>
      <c r="AB204">
        <f t="shared" si="4"/>
        <v>648</v>
      </c>
    </row>
    <row r="205" spans="18:28" x14ac:dyDescent="0.3">
      <c r="R205">
        <v>598</v>
      </c>
      <c r="X205">
        <v>177</v>
      </c>
      <c r="Z205">
        <v>289</v>
      </c>
      <c r="AA205">
        <v>378</v>
      </c>
      <c r="AB205">
        <f t="shared" si="4"/>
        <v>667</v>
      </c>
    </row>
    <row r="206" spans="18:28" x14ac:dyDescent="0.3">
      <c r="R206">
        <v>575</v>
      </c>
      <c r="X206">
        <v>169</v>
      </c>
      <c r="Z206">
        <v>303</v>
      </c>
      <c r="AA206">
        <v>340</v>
      </c>
      <c r="AB206">
        <f t="shared" si="4"/>
        <v>643</v>
      </c>
    </row>
    <row r="207" spans="18:28" x14ac:dyDescent="0.3">
      <c r="R207">
        <v>621</v>
      </c>
      <c r="X207">
        <v>132</v>
      </c>
      <c r="Z207">
        <v>295</v>
      </c>
      <c r="AA207">
        <v>384</v>
      </c>
      <c r="AB207">
        <f t="shared" si="4"/>
        <v>679</v>
      </c>
    </row>
    <row r="208" spans="18:28" x14ac:dyDescent="0.3">
      <c r="R208">
        <v>513</v>
      </c>
      <c r="X208">
        <v>160</v>
      </c>
      <c r="Z208">
        <v>250</v>
      </c>
      <c r="AA208">
        <v>332</v>
      </c>
      <c r="AB208">
        <f t="shared" si="4"/>
        <v>582</v>
      </c>
    </row>
    <row r="209" spans="18:28" x14ac:dyDescent="0.3">
      <c r="R209">
        <v>577</v>
      </c>
      <c r="X209">
        <v>142</v>
      </c>
      <c r="Z209">
        <v>263</v>
      </c>
      <c r="AA209">
        <v>302</v>
      </c>
      <c r="AB209">
        <f t="shared" si="4"/>
        <v>565</v>
      </c>
    </row>
    <row r="210" spans="18:28" x14ac:dyDescent="0.3">
      <c r="R210">
        <v>574</v>
      </c>
      <c r="X210">
        <v>151</v>
      </c>
      <c r="Z210">
        <v>294</v>
      </c>
      <c r="AA210">
        <v>380</v>
      </c>
      <c r="AB210">
        <f t="shared" si="4"/>
        <v>674</v>
      </c>
    </row>
    <row r="211" spans="18:28" x14ac:dyDescent="0.3">
      <c r="R211">
        <v>622</v>
      </c>
      <c r="X211">
        <v>143</v>
      </c>
      <c r="Z211">
        <v>291</v>
      </c>
      <c r="AA211">
        <v>378</v>
      </c>
      <c r="AB211">
        <f t="shared" si="4"/>
        <v>669</v>
      </c>
    </row>
    <row r="212" spans="18:28" x14ac:dyDescent="0.3">
      <c r="R212">
        <v>667</v>
      </c>
      <c r="X212">
        <v>144</v>
      </c>
      <c r="Z212">
        <v>294</v>
      </c>
      <c r="AA212">
        <v>334</v>
      </c>
      <c r="AB212">
        <f t="shared" si="4"/>
        <v>628</v>
      </c>
    </row>
    <row r="213" spans="18:28" x14ac:dyDescent="0.3">
      <c r="R213">
        <v>617</v>
      </c>
      <c r="X213">
        <v>156</v>
      </c>
      <c r="Z213">
        <v>281</v>
      </c>
      <c r="AA213">
        <v>363</v>
      </c>
      <c r="AB213">
        <f t="shared" si="4"/>
        <v>644</v>
      </c>
    </row>
    <row r="214" spans="18:28" x14ac:dyDescent="0.3">
      <c r="R214">
        <v>693</v>
      </c>
      <c r="X214">
        <v>178</v>
      </c>
      <c r="Z214">
        <v>121</v>
      </c>
      <c r="AA214">
        <v>163</v>
      </c>
      <c r="AB214">
        <f t="shared" si="4"/>
        <v>284</v>
      </c>
    </row>
    <row r="215" spans="18:28" x14ac:dyDescent="0.3">
      <c r="R215">
        <v>651</v>
      </c>
      <c r="X215">
        <v>150</v>
      </c>
      <c r="Z215">
        <v>208</v>
      </c>
      <c r="AA215">
        <v>288</v>
      </c>
      <c r="AB215">
        <f t="shared" si="4"/>
        <v>496</v>
      </c>
    </row>
    <row r="216" spans="18:28" x14ac:dyDescent="0.3">
      <c r="R216">
        <v>572</v>
      </c>
      <c r="X216">
        <v>174</v>
      </c>
      <c r="Z216">
        <v>263</v>
      </c>
      <c r="AA216">
        <v>348</v>
      </c>
      <c r="AB216">
        <f t="shared" si="4"/>
        <v>611</v>
      </c>
    </row>
    <row r="217" spans="18:28" x14ac:dyDescent="0.3">
      <c r="R217">
        <v>690</v>
      </c>
      <c r="X217">
        <v>159</v>
      </c>
      <c r="Z217">
        <v>287</v>
      </c>
      <c r="AA217">
        <v>328</v>
      </c>
      <c r="AB217">
        <f t="shared" si="4"/>
        <v>615</v>
      </c>
    </row>
    <row r="218" spans="18:28" x14ac:dyDescent="0.3">
      <c r="R218">
        <v>642</v>
      </c>
      <c r="X218">
        <v>168</v>
      </c>
      <c r="Z218">
        <v>295</v>
      </c>
      <c r="AA218">
        <v>381</v>
      </c>
      <c r="AB218">
        <f t="shared" si="4"/>
        <v>676</v>
      </c>
    </row>
    <row r="219" spans="18:28" x14ac:dyDescent="0.3">
      <c r="R219">
        <v>641</v>
      </c>
      <c r="X219">
        <v>165</v>
      </c>
      <c r="Z219">
        <v>309</v>
      </c>
      <c r="AA219">
        <v>394</v>
      </c>
      <c r="AB219">
        <f t="shared" si="4"/>
        <v>703</v>
      </c>
    </row>
    <row r="220" spans="18:28" x14ac:dyDescent="0.3">
      <c r="R220">
        <v>632</v>
      </c>
      <c r="X220">
        <v>106</v>
      </c>
      <c r="Z220">
        <v>294</v>
      </c>
      <c r="AA220">
        <v>339</v>
      </c>
      <c r="AB220">
        <f t="shared" si="4"/>
        <v>633</v>
      </c>
    </row>
    <row r="221" spans="18:28" x14ac:dyDescent="0.3">
      <c r="R221">
        <v>644</v>
      </c>
      <c r="X221">
        <v>152</v>
      </c>
      <c r="Z221">
        <v>279</v>
      </c>
      <c r="AA221">
        <v>363</v>
      </c>
      <c r="AB221">
        <f t="shared" si="4"/>
        <v>642</v>
      </c>
    </row>
    <row r="222" spans="18:28" x14ac:dyDescent="0.3">
      <c r="R222">
        <v>668</v>
      </c>
      <c r="X222">
        <v>159</v>
      </c>
      <c r="Z222">
        <v>278</v>
      </c>
      <c r="AA222">
        <v>369</v>
      </c>
      <c r="AB222">
        <f t="shared" si="4"/>
        <v>647</v>
      </c>
    </row>
    <row r="223" spans="18:28" x14ac:dyDescent="0.3">
      <c r="R223">
        <v>600</v>
      </c>
      <c r="X223">
        <v>167</v>
      </c>
      <c r="Z223">
        <v>278</v>
      </c>
      <c r="AA223">
        <v>311</v>
      </c>
      <c r="AB223">
        <f t="shared" ref="AB223:AB286" si="5">Z223+AA223</f>
        <v>589</v>
      </c>
    </row>
    <row r="224" spans="18:28" x14ac:dyDescent="0.3">
      <c r="R224">
        <v>642</v>
      </c>
      <c r="X224">
        <v>160</v>
      </c>
      <c r="Z224">
        <v>277</v>
      </c>
      <c r="AA224">
        <v>370</v>
      </c>
      <c r="AB224">
        <f t="shared" si="5"/>
        <v>647</v>
      </c>
    </row>
    <row r="225" spans="18:28" x14ac:dyDescent="0.3">
      <c r="R225">
        <v>690</v>
      </c>
      <c r="X225">
        <v>163</v>
      </c>
      <c r="Z225">
        <v>258</v>
      </c>
      <c r="AA225">
        <v>345</v>
      </c>
      <c r="AB225">
        <f t="shared" si="5"/>
        <v>603</v>
      </c>
    </row>
    <row r="226" spans="18:28" x14ac:dyDescent="0.3">
      <c r="R226">
        <v>630</v>
      </c>
      <c r="X226">
        <v>163</v>
      </c>
      <c r="Z226">
        <v>0</v>
      </c>
      <c r="AA226">
        <v>36</v>
      </c>
      <c r="AB226">
        <f t="shared" si="5"/>
        <v>36</v>
      </c>
    </row>
    <row r="227" spans="18:28" x14ac:dyDescent="0.3">
      <c r="R227">
        <v>697</v>
      </c>
      <c r="X227">
        <v>138</v>
      </c>
      <c r="Z227">
        <v>176</v>
      </c>
      <c r="AA227">
        <v>267</v>
      </c>
      <c r="AB227">
        <f t="shared" si="5"/>
        <v>443</v>
      </c>
    </row>
    <row r="228" spans="18:28" x14ac:dyDescent="0.3">
      <c r="R228">
        <v>684</v>
      </c>
      <c r="X228">
        <v>151</v>
      </c>
      <c r="Z228">
        <v>256</v>
      </c>
      <c r="AA228">
        <v>348</v>
      </c>
      <c r="AB228">
        <f t="shared" si="5"/>
        <v>604</v>
      </c>
    </row>
    <row r="229" spans="18:28" x14ac:dyDescent="0.3">
      <c r="R229">
        <v>644</v>
      </c>
      <c r="X229">
        <v>147</v>
      </c>
      <c r="Z229">
        <v>277</v>
      </c>
      <c r="AA229">
        <v>311</v>
      </c>
      <c r="AB229">
        <f t="shared" si="5"/>
        <v>588</v>
      </c>
    </row>
    <row r="230" spans="18:28" x14ac:dyDescent="0.3">
      <c r="R230">
        <v>659</v>
      </c>
      <c r="X230">
        <v>125</v>
      </c>
      <c r="Z230">
        <v>272</v>
      </c>
      <c r="AA230">
        <v>359</v>
      </c>
      <c r="AB230">
        <f t="shared" si="5"/>
        <v>631</v>
      </c>
    </row>
    <row r="231" spans="18:28" x14ac:dyDescent="0.3">
      <c r="R231">
        <v>636</v>
      </c>
      <c r="X231">
        <v>115</v>
      </c>
      <c r="Z231">
        <v>264</v>
      </c>
      <c r="AA231">
        <v>334</v>
      </c>
      <c r="AB231">
        <f t="shared" si="5"/>
        <v>598</v>
      </c>
    </row>
    <row r="232" spans="18:28" x14ac:dyDescent="0.3">
      <c r="R232">
        <v>602</v>
      </c>
      <c r="X232">
        <v>119</v>
      </c>
      <c r="Z232">
        <v>264</v>
      </c>
      <c r="AA232">
        <v>311</v>
      </c>
      <c r="AB232">
        <f t="shared" si="5"/>
        <v>575</v>
      </c>
    </row>
    <row r="233" spans="18:28" x14ac:dyDescent="0.3">
      <c r="R233">
        <v>680</v>
      </c>
      <c r="V233" t="s">
        <v>638</v>
      </c>
      <c r="X233">
        <v>119</v>
      </c>
      <c r="Z233">
        <v>267</v>
      </c>
      <c r="AA233">
        <v>354</v>
      </c>
      <c r="AB233">
        <f t="shared" si="5"/>
        <v>621</v>
      </c>
    </row>
    <row r="234" spans="18:28" x14ac:dyDescent="0.3">
      <c r="R234">
        <v>643</v>
      </c>
      <c r="X234">
        <v>109</v>
      </c>
      <c r="Z234">
        <v>240</v>
      </c>
      <c r="AA234">
        <v>273</v>
      </c>
      <c r="AB234">
        <f t="shared" si="5"/>
        <v>513</v>
      </c>
    </row>
    <row r="235" spans="18:28" x14ac:dyDescent="0.3">
      <c r="R235">
        <v>657</v>
      </c>
      <c r="X235">
        <v>130</v>
      </c>
      <c r="Z235">
        <v>248</v>
      </c>
      <c r="AA235">
        <v>329</v>
      </c>
      <c r="AB235">
        <f t="shared" si="5"/>
        <v>577</v>
      </c>
    </row>
    <row r="236" spans="18:28" x14ac:dyDescent="0.3">
      <c r="R236">
        <v>672</v>
      </c>
      <c r="X236">
        <v>95</v>
      </c>
      <c r="Z236">
        <v>259</v>
      </c>
      <c r="AA236">
        <v>315</v>
      </c>
      <c r="AB236">
        <f t="shared" si="5"/>
        <v>574</v>
      </c>
    </row>
    <row r="237" spans="18:28" x14ac:dyDescent="0.3">
      <c r="R237">
        <v>649</v>
      </c>
      <c r="X237">
        <v>127</v>
      </c>
      <c r="Z237">
        <v>277</v>
      </c>
      <c r="AA237">
        <v>345</v>
      </c>
      <c r="AB237">
        <f t="shared" si="5"/>
        <v>622</v>
      </c>
    </row>
    <row r="238" spans="18:28" x14ac:dyDescent="0.3">
      <c r="R238">
        <v>670</v>
      </c>
      <c r="X238">
        <v>169</v>
      </c>
      <c r="Z238">
        <v>291</v>
      </c>
      <c r="AA238">
        <v>376</v>
      </c>
      <c r="AB238">
        <f t="shared" si="5"/>
        <v>667</v>
      </c>
    </row>
    <row r="239" spans="18:28" x14ac:dyDescent="0.3">
      <c r="R239">
        <v>623</v>
      </c>
      <c r="X239">
        <v>126</v>
      </c>
      <c r="Z239">
        <v>291</v>
      </c>
      <c r="AA239">
        <v>326</v>
      </c>
      <c r="AB239">
        <f t="shared" si="5"/>
        <v>617</v>
      </c>
    </row>
    <row r="240" spans="18:28" x14ac:dyDescent="0.3">
      <c r="R240">
        <v>607</v>
      </c>
      <c r="X240">
        <v>127</v>
      </c>
      <c r="Z240">
        <v>302</v>
      </c>
      <c r="AA240">
        <v>391</v>
      </c>
      <c r="AB240">
        <f t="shared" si="5"/>
        <v>693</v>
      </c>
    </row>
    <row r="241" spans="18:28" x14ac:dyDescent="0.3">
      <c r="R241">
        <v>680</v>
      </c>
      <c r="X241">
        <v>124</v>
      </c>
      <c r="Z241">
        <v>281</v>
      </c>
      <c r="AA241">
        <v>370</v>
      </c>
      <c r="AB241">
        <f t="shared" si="5"/>
        <v>651</v>
      </c>
    </row>
    <row r="242" spans="18:28" x14ac:dyDescent="0.3">
      <c r="R242">
        <v>687</v>
      </c>
      <c r="X242">
        <v>111</v>
      </c>
      <c r="Z242">
        <v>269</v>
      </c>
      <c r="AA242">
        <v>303</v>
      </c>
      <c r="AB242">
        <f t="shared" si="5"/>
        <v>572</v>
      </c>
    </row>
    <row r="243" spans="18:28" x14ac:dyDescent="0.3">
      <c r="R243">
        <v>644</v>
      </c>
      <c r="X243">
        <v>188</v>
      </c>
      <c r="Z243">
        <v>300</v>
      </c>
      <c r="AA243">
        <v>390</v>
      </c>
      <c r="AB243">
        <f t="shared" si="5"/>
        <v>690</v>
      </c>
    </row>
    <row r="244" spans="18:28" x14ac:dyDescent="0.3">
      <c r="R244">
        <v>679</v>
      </c>
      <c r="X244">
        <v>151</v>
      </c>
      <c r="Z244">
        <v>286</v>
      </c>
      <c r="AA244">
        <v>356</v>
      </c>
      <c r="AB244">
        <f t="shared" si="5"/>
        <v>642</v>
      </c>
    </row>
    <row r="245" spans="18:28" x14ac:dyDescent="0.3">
      <c r="R245">
        <v>647</v>
      </c>
      <c r="X245">
        <v>185</v>
      </c>
      <c r="Z245">
        <v>298</v>
      </c>
      <c r="AA245">
        <v>343</v>
      </c>
      <c r="AB245">
        <f t="shared" si="5"/>
        <v>641</v>
      </c>
    </row>
    <row r="246" spans="18:28" x14ac:dyDescent="0.3">
      <c r="R246">
        <v>659</v>
      </c>
      <c r="X246">
        <v>150</v>
      </c>
      <c r="Z246">
        <v>273</v>
      </c>
      <c r="AA246">
        <v>359</v>
      </c>
      <c r="AB246">
        <f t="shared" si="5"/>
        <v>632</v>
      </c>
    </row>
    <row r="247" spans="18:28" x14ac:dyDescent="0.3">
      <c r="R247">
        <v>647</v>
      </c>
      <c r="X247">
        <v>140</v>
      </c>
      <c r="Z247">
        <v>305</v>
      </c>
      <c r="AA247">
        <v>339</v>
      </c>
      <c r="AB247">
        <f t="shared" si="5"/>
        <v>644</v>
      </c>
    </row>
    <row r="248" spans="18:28" x14ac:dyDescent="0.3">
      <c r="R248">
        <v>614</v>
      </c>
      <c r="X248">
        <v>138</v>
      </c>
      <c r="Z248">
        <v>293</v>
      </c>
      <c r="AA248">
        <v>375</v>
      </c>
      <c r="AB248">
        <f t="shared" si="5"/>
        <v>668</v>
      </c>
    </row>
    <row r="249" spans="18:28" x14ac:dyDescent="0.3">
      <c r="R249">
        <v>688</v>
      </c>
      <c r="X249">
        <v>175</v>
      </c>
      <c r="Z249">
        <v>269</v>
      </c>
      <c r="AA249">
        <v>331</v>
      </c>
      <c r="AB249">
        <f t="shared" si="5"/>
        <v>600</v>
      </c>
    </row>
    <row r="250" spans="18:28" x14ac:dyDescent="0.3">
      <c r="R250">
        <v>689</v>
      </c>
      <c r="X250">
        <v>165</v>
      </c>
      <c r="Z250">
        <v>289</v>
      </c>
      <c r="AA250">
        <v>353</v>
      </c>
      <c r="AB250">
        <f t="shared" si="5"/>
        <v>642</v>
      </c>
    </row>
    <row r="251" spans="18:28" x14ac:dyDescent="0.3">
      <c r="R251">
        <v>604</v>
      </c>
      <c r="X251">
        <v>136</v>
      </c>
      <c r="Z251">
        <v>304</v>
      </c>
      <c r="AA251">
        <v>386</v>
      </c>
      <c r="AB251">
        <f t="shared" si="5"/>
        <v>690</v>
      </c>
    </row>
    <row r="252" spans="18:28" x14ac:dyDescent="0.3">
      <c r="R252">
        <v>612</v>
      </c>
      <c r="X252">
        <v>173</v>
      </c>
      <c r="Z252">
        <v>297</v>
      </c>
      <c r="AA252">
        <v>333</v>
      </c>
      <c r="AB252">
        <f t="shared" si="5"/>
        <v>630</v>
      </c>
    </row>
    <row r="253" spans="18:28" x14ac:dyDescent="0.3">
      <c r="R253">
        <v>671</v>
      </c>
      <c r="X253">
        <v>156</v>
      </c>
      <c r="Z253">
        <v>302</v>
      </c>
      <c r="AA253">
        <v>395</v>
      </c>
      <c r="AB253">
        <f t="shared" si="5"/>
        <v>697</v>
      </c>
    </row>
    <row r="254" spans="18:28" x14ac:dyDescent="0.3">
      <c r="R254">
        <v>632</v>
      </c>
      <c r="X254">
        <v>150</v>
      </c>
      <c r="Z254">
        <v>299</v>
      </c>
      <c r="AA254">
        <v>385</v>
      </c>
      <c r="AB254">
        <f t="shared" si="5"/>
        <v>684</v>
      </c>
    </row>
    <row r="255" spans="18:28" x14ac:dyDescent="0.3">
      <c r="R255">
        <v>646</v>
      </c>
      <c r="X255">
        <v>163</v>
      </c>
      <c r="Z255">
        <v>304</v>
      </c>
      <c r="AA255">
        <v>340</v>
      </c>
      <c r="AB255">
        <f t="shared" si="5"/>
        <v>644</v>
      </c>
    </row>
    <row r="256" spans="18:28" x14ac:dyDescent="0.3">
      <c r="R256">
        <v>617</v>
      </c>
      <c r="X256">
        <v>169</v>
      </c>
      <c r="Z256">
        <v>287</v>
      </c>
      <c r="AA256">
        <v>372</v>
      </c>
      <c r="AB256">
        <f t="shared" si="5"/>
        <v>659</v>
      </c>
    </row>
    <row r="257" spans="18:28" x14ac:dyDescent="0.3">
      <c r="R257">
        <v>685</v>
      </c>
      <c r="X257">
        <v>155</v>
      </c>
      <c r="Z257">
        <v>272</v>
      </c>
      <c r="AA257">
        <v>364</v>
      </c>
      <c r="AB257">
        <f t="shared" si="5"/>
        <v>636</v>
      </c>
    </row>
    <row r="258" spans="18:28" x14ac:dyDescent="0.3">
      <c r="R258">
        <v>704</v>
      </c>
      <c r="X258">
        <v>184</v>
      </c>
      <c r="Z258">
        <v>284</v>
      </c>
      <c r="AA258">
        <v>318</v>
      </c>
      <c r="AB258">
        <f t="shared" si="5"/>
        <v>602</v>
      </c>
    </row>
    <row r="259" spans="18:28" x14ac:dyDescent="0.3">
      <c r="R259">
        <v>635</v>
      </c>
      <c r="X259">
        <v>158</v>
      </c>
      <c r="Z259">
        <v>296</v>
      </c>
      <c r="AA259">
        <v>384</v>
      </c>
      <c r="AB259">
        <f t="shared" si="5"/>
        <v>680</v>
      </c>
    </row>
    <row r="260" spans="18:28" x14ac:dyDescent="0.3">
      <c r="R260">
        <v>692</v>
      </c>
      <c r="X260">
        <v>139</v>
      </c>
      <c r="Z260">
        <v>297</v>
      </c>
      <c r="AA260">
        <v>346</v>
      </c>
      <c r="AB260">
        <f t="shared" si="5"/>
        <v>643</v>
      </c>
    </row>
    <row r="261" spans="18:28" x14ac:dyDescent="0.3">
      <c r="R261">
        <v>669</v>
      </c>
      <c r="X261">
        <v>145</v>
      </c>
      <c r="Z261">
        <v>293</v>
      </c>
      <c r="AA261">
        <v>364</v>
      </c>
      <c r="AB261">
        <f t="shared" si="5"/>
        <v>657</v>
      </c>
    </row>
    <row r="262" spans="18:28" x14ac:dyDescent="0.3">
      <c r="R262">
        <v>563</v>
      </c>
      <c r="X262">
        <v>177</v>
      </c>
      <c r="Z262">
        <v>292</v>
      </c>
      <c r="AA262">
        <v>380</v>
      </c>
      <c r="AB262">
        <f t="shared" si="5"/>
        <v>672</v>
      </c>
    </row>
    <row r="263" spans="18:28" x14ac:dyDescent="0.3">
      <c r="R263">
        <v>630</v>
      </c>
      <c r="X263">
        <v>182</v>
      </c>
      <c r="Z263">
        <v>306</v>
      </c>
      <c r="AA263">
        <v>343</v>
      </c>
      <c r="AB263">
        <f t="shared" si="5"/>
        <v>649</v>
      </c>
    </row>
    <row r="264" spans="18:28" x14ac:dyDescent="0.3">
      <c r="R264">
        <v>674</v>
      </c>
      <c r="X264">
        <v>173</v>
      </c>
      <c r="Z264">
        <v>292</v>
      </c>
      <c r="AA264">
        <v>378</v>
      </c>
      <c r="AB264">
        <f t="shared" si="5"/>
        <v>670</v>
      </c>
    </row>
    <row r="265" spans="18:28" x14ac:dyDescent="0.3">
      <c r="R265">
        <v>681</v>
      </c>
      <c r="X265">
        <v>166</v>
      </c>
      <c r="Z265">
        <v>268</v>
      </c>
      <c r="AA265">
        <v>355</v>
      </c>
      <c r="AB265">
        <f t="shared" si="5"/>
        <v>623</v>
      </c>
    </row>
    <row r="266" spans="18:28" x14ac:dyDescent="0.3">
      <c r="R266">
        <v>683</v>
      </c>
      <c r="V266" t="s">
        <v>638</v>
      </c>
      <c r="X266">
        <v>154</v>
      </c>
      <c r="Z266">
        <v>284</v>
      </c>
      <c r="AA266">
        <v>323</v>
      </c>
      <c r="AB266">
        <f t="shared" si="5"/>
        <v>607</v>
      </c>
    </row>
    <row r="267" spans="18:28" x14ac:dyDescent="0.3">
      <c r="R267">
        <v>652</v>
      </c>
      <c r="X267">
        <v>156</v>
      </c>
      <c r="Z267">
        <v>298</v>
      </c>
      <c r="AA267">
        <v>382</v>
      </c>
      <c r="AB267">
        <f t="shared" si="5"/>
        <v>680</v>
      </c>
    </row>
    <row r="268" spans="18:28" x14ac:dyDescent="0.3">
      <c r="R268">
        <v>652</v>
      </c>
      <c r="X268">
        <v>156</v>
      </c>
      <c r="Z268">
        <v>301</v>
      </c>
      <c r="AA268">
        <v>386</v>
      </c>
      <c r="AB268">
        <f t="shared" si="5"/>
        <v>687</v>
      </c>
    </row>
    <row r="269" spans="18:28" x14ac:dyDescent="0.3">
      <c r="R269">
        <v>654</v>
      </c>
      <c r="X269">
        <v>159</v>
      </c>
      <c r="Z269">
        <v>301</v>
      </c>
      <c r="AA269">
        <v>343</v>
      </c>
      <c r="AB269">
        <f t="shared" si="5"/>
        <v>644</v>
      </c>
    </row>
    <row r="270" spans="18:28" x14ac:dyDescent="0.3">
      <c r="R270">
        <v>562</v>
      </c>
      <c r="X270">
        <v>157</v>
      </c>
      <c r="Z270">
        <v>296</v>
      </c>
      <c r="AA270">
        <v>383</v>
      </c>
      <c r="AB270">
        <f t="shared" si="5"/>
        <v>679</v>
      </c>
    </row>
    <row r="271" spans="18:28" x14ac:dyDescent="0.3">
      <c r="R271">
        <v>606</v>
      </c>
      <c r="X271">
        <v>154</v>
      </c>
      <c r="Z271">
        <v>307</v>
      </c>
      <c r="AA271">
        <v>340</v>
      </c>
      <c r="AB271">
        <f t="shared" si="5"/>
        <v>647</v>
      </c>
    </row>
    <row r="272" spans="18:28" x14ac:dyDescent="0.3">
      <c r="R272">
        <v>674</v>
      </c>
      <c r="X272">
        <v>91</v>
      </c>
      <c r="Z272">
        <v>288</v>
      </c>
      <c r="AA272">
        <v>371</v>
      </c>
      <c r="AB272">
        <f t="shared" si="5"/>
        <v>659</v>
      </c>
    </row>
    <row r="273" spans="18:28" x14ac:dyDescent="0.3">
      <c r="R273">
        <v>629</v>
      </c>
      <c r="X273">
        <v>158</v>
      </c>
      <c r="Z273">
        <v>278</v>
      </c>
      <c r="AA273">
        <v>369</v>
      </c>
      <c r="AB273">
        <f t="shared" si="5"/>
        <v>647</v>
      </c>
    </row>
    <row r="274" spans="18:28" x14ac:dyDescent="0.3">
      <c r="R274">
        <v>656</v>
      </c>
      <c r="X274">
        <v>137</v>
      </c>
      <c r="Z274">
        <v>290</v>
      </c>
      <c r="AA274">
        <v>324</v>
      </c>
      <c r="AB274">
        <f t="shared" si="5"/>
        <v>614</v>
      </c>
    </row>
    <row r="275" spans="18:28" x14ac:dyDescent="0.3">
      <c r="R275">
        <v>689</v>
      </c>
      <c r="X275">
        <v>126</v>
      </c>
      <c r="Z275">
        <v>300</v>
      </c>
      <c r="AA275">
        <v>388</v>
      </c>
      <c r="AB275">
        <f t="shared" si="5"/>
        <v>688</v>
      </c>
    </row>
    <row r="276" spans="18:28" x14ac:dyDescent="0.3">
      <c r="R276">
        <v>664</v>
      </c>
      <c r="X276">
        <v>135</v>
      </c>
      <c r="Z276">
        <v>303</v>
      </c>
      <c r="AA276">
        <v>386</v>
      </c>
      <c r="AB276">
        <f t="shared" si="5"/>
        <v>689</v>
      </c>
    </row>
    <row r="277" spans="18:28" x14ac:dyDescent="0.3">
      <c r="R277">
        <v>637</v>
      </c>
      <c r="X277">
        <v>134</v>
      </c>
      <c r="Z277">
        <v>282</v>
      </c>
      <c r="AA277">
        <v>322</v>
      </c>
      <c r="AB277">
        <f t="shared" si="5"/>
        <v>604</v>
      </c>
    </row>
    <row r="278" spans="18:28" x14ac:dyDescent="0.3">
      <c r="R278">
        <v>614</v>
      </c>
      <c r="X278">
        <v>148</v>
      </c>
      <c r="Z278">
        <v>263</v>
      </c>
      <c r="AA278">
        <v>349</v>
      </c>
      <c r="AB278">
        <f t="shared" si="5"/>
        <v>612</v>
      </c>
    </row>
    <row r="279" spans="18:28" x14ac:dyDescent="0.3">
      <c r="R279">
        <v>567</v>
      </c>
      <c r="X279">
        <v>119</v>
      </c>
      <c r="Z279">
        <v>307</v>
      </c>
      <c r="AA279">
        <v>364</v>
      </c>
      <c r="AB279">
        <f t="shared" si="5"/>
        <v>671</v>
      </c>
    </row>
    <row r="280" spans="18:28" x14ac:dyDescent="0.3">
      <c r="R280">
        <v>637</v>
      </c>
      <c r="X280">
        <v>122</v>
      </c>
      <c r="Z280">
        <v>284</v>
      </c>
      <c r="AA280">
        <v>348</v>
      </c>
      <c r="AB280">
        <f t="shared" si="5"/>
        <v>632</v>
      </c>
    </row>
    <row r="281" spans="18:28" x14ac:dyDescent="0.3">
      <c r="R281">
        <v>646</v>
      </c>
      <c r="X281">
        <v>129</v>
      </c>
      <c r="Z281">
        <v>278</v>
      </c>
      <c r="AA281">
        <v>368</v>
      </c>
      <c r="AB281">
        <f t="shared" si="5"/>
        <v>646</v>
      </c>
    </row>
    <row r="282" spans="18:28" x14ac:dyDescent="0.3">
      <c r="R282">
        <v>599</v>
      </c>
      <c r="X282">
        <v>114</v>
      </c>
      <c r="Z282">
        <v>293</v>
      </c>
      <c r="AA282">
        <v>324</v>
      </c>
      <c r="AB282">
        <f t="shared" si="5"/>
        <v>617</v>
      </c>
    </row>
    <row r="283" spans="18:28" x14ac:dyDescent="0.3">
      <c r="R283">
        <v>638</v>
      </c>
      <c r="X283">
        <v>124</v>
      </c>
      <c r="Z283">
        <v>298</v>
      </c>
      <c r="AA283">
        <v>387</v>
      </c>
      <c r="AB283">
        <f t="shared" si="5"/>
        <v>685</v>
      </c>
    </row>
    <row r="284" spans="18:28" x14ac:dyDescent="0.3">
      <c r="R284">
        <v>638</v>
      </c>
      <c r="X284">
        <v>109</v>
      </c>
      <c r="Z284">
        <v>306</v>
      </c>
      <c r="AA284">
        <v>398</v>
      </c>
      <c r="AB284">
        <f t="shared" si="5"/>
        <v>704</v>
      </c>
    </row>
    <row r="285" spans="18:28" x14ac:dyDescent="0.3">
      <c r="R285">
        <v>590</v>
      </c>
      <c r="X285">
        <v>130</v>
      </c>
      <c r="Z285">
        <v>300</v>
      </c>
      <c r="AA285">
        <v>335</v>
      </c>
      <c r="AB285">
        <f t="shared" si="5"/>
        <v>635</v>
      </c>
    </row>
    <row r="286" spans="18:28" x14ac:dyDescent="0.3">
      <c r="R286">
        <v>556</v>
      </c>
      <c r="X286">
        <v>124</v>
      </c>
      <c r="Z286">
        <v>303</v>
      </c>
      <c r="AA286">
        <v>389</v>
      </c>
      <c r="AB286">
        <f t="shared" si="5"/>
        <v>692</v>
      </c>
    </row>
    <row r="287" spans="18:28" x14ac:dyDescent="0.3">
      <c r="R287">
        <v>581</v>
      </c>
      <c r="X287">
        <v>93</v>
      </c>
      <c r="Z287">
        <v>292</v>
      </c>
      <c r="AA287">
        <v>377</v>
      </c>
      <c r="AB287">
        <f t="shared" ref="AB287:AB350" si="6">Z287+AA287</f>
        <v>669</v>
      </c>
    </row>
    <row r="288" spans="18:28" x14ac:dyDescent="0.3">
      <c r="R288">
        <v>605</v>
      </c>
      <c r="X288">
        <v>121</v>
      </c>
      <c r="Z288">
        <v>263</v>
      </c>
      <c r="AA288">
        <v>300</v>
      </c>
      <c r="AB288">
        <f t="shared" si="6"/>
        <v>563</v>
      </c>
    </row>
    <row r="289" spans="18:28" x14ac:dyDescent="0.3">
      <c r="R289">
        <v>677</v>
      </c>
      <c r="X289">
        <v>112</v>
      </c>
      <c r="Z289">
        <v>273</v>
      </c>
      <c r="AA289">
        <v>357</v>
      </c>
      <c r="AB289">
        <f t="shared" si="6"/>
        <v>630</v>
      </c>
    </row>
    <row r="290" spans="18:28" x14ac:dyDescent="0.3">
      <c r="R290">
        <v>632</v>
      </c>
      <c r="X290">
        <v>123</v>
      </c>
      <c r="Z290">
        <v>304</v>
      </c>
      <c r="AA290">
        <v>370</v>
      </c>
      <c r="AB290">
        <f t="shared" si="6"/>
        <v>674</v>
      </c>
    </row>
    <row r="291" spans="18:28" x14ac:dyDescent="0.3">
      <c r="R291">
        <v>628</v>
      </c>
      <c r="X291">
        <v>143</v>
      </c>
      <c r="Z291">
        <v>307</v>
      </c>
      <c r="AA291">
        <v>374</v>
      </c>
      <c r="AB291">
        <f t="shared" si="6"/>
        <v>681</v>
      </c>
    </row>
    <row r="292" spans="18:28" x14ac:dyDescent="0.3">
      <c r="R292">
        <v>661</v>
      </c>
      <c r="X292">
        <v>146</v>
      </c>
      <c r="Z292">
        <v>297</v>
      </c>
      <c r="AA292">
        <v>386</v>
      </c>
      <c r="AB292">
        <f t="shared" si="6"/>
        <v>683</v>
      </c>
    </row>
    <row r="293" spans="18:28" x14ac:dyDescent="0.3">
      <c r="R293">
        <v>677</v>
      </c>
      <c r="X293">
        <v>123</v>
      </c>
      <c r="Z293">
        <v>299</v>
      </c>
      <c r="AA293">
        <v>353</v>
      </c>
      <c r="AB293">
        <f t="shared" si="6"/>
        <v>652</v>
      </c>
    </row>
    <row r="294" spans="18:28" x14ac:dyDescent="0.3">
      <c r="R294">
        <v>581</v>
      </c>
      <c r="X294">
        <v>138</v>
      </c>
      <c r="Z294">
        <v>290</v>
      </c>
      <c r="AA294">
        <v>362</v>
      </c>
      <c r="AB294">
        <f t="shared" si="6"/>
        <v>652</v>
      </c>
    </row>
    <row r="295" spans="18:28" x14ac:dyDescent="0.3">
      <c r="R295">
        <v>623</v>
      </c>
      <c r="X295">
        <v>166</v>
      </c>
      <c r="Z295">
        <v>284</v>
      </c>
      <c r="AA295">
        <v>370</v>
      </c>
      <c r="AB295">
        <f t="shared" si="6"/>
        <v>654</v>
      </c>
    </row>
    <row r="296" spans="18:28" x14ac:dyDescent="0.3">
      <c r="R296">
        <v>645</v>
      </c>
      <c r="X296">
        <v>148</v>
      </c>
      <c r="Z296">
        <v>257</v>
      </c>
      <c r="AA296">
        <v>305</v>
      </c>
      <c r="AB296">
        <f t="shared" si="6"/>
        <v>562</v>
      </c>
    </row>
    <row r="297" spans="18:28" x14ac:dyDescent="0.3">
      <c r="R297">
        <v>629</v>
      </c>
      <c r="X297">
        <v>137</v>
      </c>
      <c r="Z297">
        <v>263</v>
      </c>
      <c r="AA297">
        <v>343</v>
      </c>
      <c r="AB297">
        <f t="shared" si="6"/>
        <v>606</v>
      </c>
    </row>
    <row r="298" spans="18:28" x14ac:dyDescent="0.3">
      <c r="R298">
        <v>650</v>
      </c>
      <c r="X298">
        <v>122</v>
      </c>
      <c r="Z298">
        <v>293</v>
      </c>
      <c r="AA298">
        <v>381</v>
      </c>
      <c r="AB298">
        <f t="shared" si="6"/>
        <v>674</v>
      </c>
    </row>
    <row r="299" spans="18:28" x14ac:dyDescent="0.3">
      <c r="R299">
        <v>665</v>
      </c>
      <c r="V299" t="s">
        <v>638</v>
      </c>
      <c r="X299">
        <v>111</v>
      </c>
      <c r="Z299">
        <v>290</v>
      </c>
      <c r="AA299">
        <v>339</v>
      </c>
      <c r="AB299">
        <f t="shared" si="6"/>
        <v>629</v>
      </c>
    </row>
    <row r="300" spans="18:28" x14ac:dyDescent="0.3">
      <c r="R300">
        <v>618</v>
      </c>
      <c r="X300">
        <v>146</v>
      </c>
      <c r="Z300">
        <v>288</v>
      </c>
      <c r="AA300">
        <v>368</v>
      </c>
      <c r="AB300">
        <f t="shared" si="6"/>
        <v>656</v>
      </c>
    </row>
    <row r="301" spans="18:28" x14ac:dyDescent="0.3">
      <c r="R301">
        <v>636</v>
      </c>
      <c r="X301">
        <v>161</v>
      </c>
      <c r="Z301">
        <v>299</v>
      </c>
      <c r="AA301">
        <v>390</v>
      </c>
      <c r="AB301">
        <f t="shared" si="6"/>
        <v>689</v>
      </c>
    </row>
    <row r="302" spans="18:28" x14ac:dyDescent="0.3">
      <c r="R302">
        <v>623</v>
      </c>
      <c r="X302">
        <v>145</v>
      </c>
      <c r="Z302">
        <v>305</v>
      </c>
      <c r="AA302">
        <v>359</v>
      </c>
      <c r="AB302">
        <f t="shared" si="6"/>
        <v>664</v>
      </c>
    </row>
    <row r="303" spans="18:28" x14ac:dyDescent="0.3">
      <c r="R303">
        <v>538</v>
      </c>
      <c r="X303">
        <v>151</v>
      </c>
      <c r="Z303">
        <v>283</v>
      </c>
      <c r="AA303">
        <v>354</v>
      </c>
      <c r="AB303">
        <f t="shared" si="6"/>
        <v>637</v>
      </c>
    </row>
    <row r="304" spans="18:28" x14ac:dyDescent="0.3">
      <c r="R304">
        <v>605</v>
      </c>
      <c r="X304">
        <v>144</v>
      </c>
      <c r="Z304">
        <v>261</v>
      </c>
      <c r="AA304">
        <v>353</v>
      </c>
      <c r="AB304">
        <f t="shared" si="6"/>
        <v>614</v>
      </c>
    </row>
    <row r="305" spans="18:28" x14ac:dyDescent="0.3">
      <c r="R305">
        <v>624</v>
      </c>
      <c r="X305">
        <v>168</v>
      </c>
      <c r="Z305">
        <v>264</v>
      </c>
      <c r="AA305">
        <v>303</v>
      </c>
      <c r="AB305">
        <f t="shared" si="6"/>
        <v>567</v>
      </c>
    </row>
    <row r="306" spans="18:28" x14ac:dyDescent="0.3">
      <c r="R306">
        <v>617</v>
      </c>
      <c r="X306">
        <v>151</v>
      </c>
      <c r="Z306">
        <v>275</v>
      </c>
      <c r="AA306">
        <v>362</v>
      </c>
      <c r="AB306">
        <f t="shared" si="6"/>
        <v>637</v>
      </c>
    </row>
    <row r="307" spans="18:28" x14ac:dyDescent="0.3">
      <c r="R307">
        <v>664</v>
      </c>
      <c r="X307">
        <v>151</v>
      </c>
      <c r="Z307">
        <v>280</v>
      </c>
      <c r="AA307">
        <v>366</v>
      </c>
      <c r="AB307">
        <f t="shared" si="6"/>
        <v>646</v>
      </c>
    </row>
    <row r="308" spans="18:28" x14ac:dyDescent="0.3">
      <c r="R308">
        <v>660</v>
      </c>
      <c r="X308">
        <v>123</v>
      </c>
      <c r="Z308">
        <v>279</v>
      </c>
      <c r="AA308">
        <v>320</v>
      </c>
      <c r="AB308">
        <f t="shared" si="6"/>
        <v>599</v>
      </c>
    </row>
    <row r="309" spans="18:28" x14ac:dyDescent="0.3">
      <c r="R309">
        <v>637</v>
      </c>
      <c r="X309">
        <v>141</v>
      </c>
      <c r="Z309">
        <v>278</v>
      </c>
      <c r="AA309">
        <v>360</v>
      </c>
      <c r="AB309">
        <f t="shared" si="6"/>
        <v>638</v>
      </c>
    </row>
    <row r="310" spans="18:28" x14ac:dyDescent="0.3">
      <c r="R310">
        <v>687</v>
      </c>
      <c r="X310">
        <v>144</v>
      </c>
      <c r="Z310">
        <v>272</v>
      </c>
      <c r="AA310">
        <v>366</v>
      </c>
      <c r="AB310">
        <f t="shared" si="6"/>
        <v>638</v>
      </c>
    </row>
    <row r="311" spans="18:28" x14ac:dyDescent="0.3">
      <c r="R311">
        <v>661</v>
      </c>
      <c r="X311">
        <v>158</v>
      </c>
      <c r="Z311">
        <v>277</v>
      </c>
      <c r="AA311">
        <v>313</v>
      </c>
      <c r="AB311">
        <f t="shared" si="6"/>
        <v>590</v>
      </c>
    </row>
    <row r="312" spans="18:28" x14ac:dyDescent="0.3">
      <c r="R312">
        <v>576</v>
      </c>
      <c r="X312">
        <v>140</v>
      </c>
      <c r="Z312">
        <v>235</v>
      </c>
      <c r="AA312">
        <v>321</v>
      </c>
      <c r="AB312">
        <f t="shared" si="6"/>
        <v>556</v>
      </c>
    </row>
    <row r="313" spans="18:28" x14ac:dyDescent="0.3">
      <c r="R313">
        <v>617</v>
      </c>
      <c r="X313">
        <v>141</v>
      </c>
      <c r="Z313">
        <v>248</v>
      </c>
      <c r="AA313">
        <v>333</v>
      </c>
      <c r="AB313">
        <f t="shared" si="6"/>
        <v>581</v>
      </c>
    </row>
    <row r="314" spans="18:28" x14ac:dyDescent="0.3">
      <c r="R314">
        <v>632</v>
      </c>
      <c r="X314">
        <v>164</v>
      </c>
      <c r="Z314">
        <v>281</v>
      </c>
      <c r="AA314">
        <v>324</v>
      </c>
      <c r="AB314">
        <f t="shared" si="6"/>
        <v>605</v>
      </c>
    </row>
    <row r="315" spans="18:28" x14ac:dyDescent="0.3">
      <c r="R315">
        <v>590</v>
      </c>
      <c r="X315">
        <v>154</v>
      </c>
      <c r="Z315">
        <v>295</v>
      </c>
      <c r="AA315">
        <v>382</v>
      </c>
      <c r="AB315">
        <f t="shared" si="6"/>
        <v>677</v>
      </c>
    </row>
    <row r="316" spans="18:28" x14ac:dyDescent="0.3">
      <c r="R316">
        <v>626</v>
      </c>
      <c r="X316">
        <v>160</v>
      </c>
      <c r="Z316">
        <v>273</v>
      </c>
      <c r="AA316">
        <v>359</v>
      </c>
      <c r="AB316">
        <f t="shared" si="6"/>
        <v>632</v>
      </c>
    </row>
    <row r="317" spans="18:28" x14ac:dyDescent="0.3">
      <c r="R317">
        <v>664</v>
      </c>
      <c r="X317">
        <v>134</v>
      </c>
      <c r="Z317">
        <v>294</v>
      </c>
      <c r="AA317">
        <v>334</v>
      </c>
      <c r="AB317">
        <f t="shared" si="6"/>
        <v>628</v>
      </c>
    </row>
    <row r="318" spans="18:28" x14ac:dyDescent="0.3">
      <c r="R318">
        <v>613</v>
      </c>
      <c r="X318">
        <v>131</v>
      </c>
      <c r="Z318">
        <v>287</v>
      </c>
      <c r="AA318">
        <v>374</v>
      </c>
      <c r="AB318">
        <f t="shared" si="6"/>
        <v>661</v>
      </c>
    </row>
    <row r="319" spans="18:28" x14ac:dyDescent="0.3">
      <c r="R319">
        <v>664</v>
      </c>
      <c r="X319">
        <v>127</v>
      </c>
      <c r="Z319">
        <v>293</v>
      </c>
      <c r="AA319">
        <v>384</v>
      </c>
      <c r="AB319">
        <f t="shared" si="6"/>
        <v>677</v>
      </c>
    </row>
    <row r="320" spans="18:28" x14ac:dyDescent="0.3">
      <c r="R320">
        <v>665</v>
      </c>
      <c r="X320">
        <v>134</v>
      </c>
      <c r="Z320">
        <v>272</v>
      </c>
      <c r="AA320">
        <v>309</v>
      </c>
      <c r="AB320">
        <f t="shared" si="6"/>
        <v>581</v>
      </c>
    </row>
    <row r="321" spans="18:28" x14ac:dyDescent="0.3">
      <c r="R321">
        <v>569</v>
      </c>
      <c r="X321">
        <v>147</v>
      </c>
      <c r="Z321">
        <v>266</v>
      </c>
      <c r="AA321">
        <v>357</v>
      </c>
      <c r="AB321">
        <f t="shared" si="6"/>
        <v>623</v>
      </c>
    </row>
    <row r="322" spans="18:28" x14ac:dyDescent="0.3">
      <c r="R322">
        <v>624</v>
      </c>
      <c r="X322">
        <v>128</v>
      </c>
      <c r="Z322">
        <v>280</v>
      </c>
      <c r="AA322">
        <v>365</v>
      </c>
      <c r="AB322">
        <f t="shared" si="6"/>
        <v>645</v>
      </c>
    </row>
    <row r="323" spans="18:28" x14ac:dyDescent="0.3">
      <c r="R323">
        <v>588</v>
      </c>
      <c r="X323">
        <v>135</v>
      </c>
      <c r="Z323">
        <v>292</v>
      </c>
      <c r="AA323">
        <v>337</v>
      </c>
      <c r="AB323">
        <f t="shared" si="6"/>
        <v>629</v>
      </c>
    </row>
    <row r="324" spans="18:28" x14ac:dyDescent="0.3">
      <c r="R324">
        <v>582</v>
      </c>
      <c r="X324">
        <v>123</v>
      </c>
      <c r="Z324">
        <v>283</v>
      </c>
      <c r="AA324">
        <v>367</v>
      </c>
      <c r="AB324">
        <f t="shared" si="6"/>
        <v>650</v>
      </c>
    </row>
    <row r="325" spans="18:28" x14ac:dyDescent="0.3">
      <c r="R325">
        <v>629</v>
      </c>
      <c r="X325">
        <v>127</v>
      </c>
      <c r="Z325">
        <v>287</v>
      </c>
      <c r="AA325">
        <v>378</v>
      </c>
      <c r="AB325">
        <f t="shared" si="6"/>
        <v>665</v>
      </c>
    </row>
    <row r="326" spans="18:28" x14ac:dyDescent="0.3">
      <c r="R326">
        <v>630</v>
      </c>
      <c r="X326">
        <v>133</v>
      </c>
      <c r="Z326">
        <v>287</v>
      </c>
      <c r="AA326">
        <v>331</v>
      </c>
      <c r="AB326">
        <f t="shared" si="6"/>
        <v>618</v>
      </c>
    </row>
    <row r="327" spans="18:28" x14ac:dyDescent="0.3">
      <c r="R327">
        <v>613</v>
      </c>
      <c r="X327">
        <v>119</v>
      </c>
      <c r="Z327">
        <v>278</v>
      </c>
      <c r="AA327">
        <v>358</v>
      </c>
      <c r="AB327">
        <f t="shared" si="6"/>
        <v>636</v>
      </c>
    </row>
    <row r="328" spans="18:28" x14ac:dyDescent="0.3">
      <c r="R328">
        <v>684</v>
      </c>
      <c r="X328">
        <v>143</v>
      </c>
      <c r="Z328">
        <v>268</v>
      </c>
      <c r="AA328">
        <v>355</v>
      </c>
      <c r="AB328">
        <f t="shared" si="6"/>
        <v>623</v>
      </c>
    </row>
    <row r="329" spans="18:28" x14ac:dyDescent="0.3">
      <c r="R329">
        <v>670</v>
      </c>
      <c r="X329">
        <v>133</v>
      </c>
      <c r="Z329">
        <v>249</v>
      </c>
      <c r="AA329">
        <v>289</v>
      </c>
      <c r="AB329">
        <f t="shared" si="6"/>
        <v>538</v>
      </c>
    </row>
    <row r="330" spans="18:28" x14ac:dyDescent="0.3">
      <c r="R330">
        <v>642</v>
      </c>
      <c r="X330">
        <v>119</v>
      </c>
      <c r="Z330">
        <v>256</v>
      </c>
      <c r="AA330">
        <v>349</v>
      </c>
      <c r="AB330">
        <f t="shared" si="6"/>
        <v>605</v>
      </c>
    </row>
    <row r="331" spans="18:28" x14ac:dyDescent="0.3">
      <c r="R331">
        <v>675</v>
      </c>
      <c r="X331">
        <v>104</v>
      </c>
      <c r="Z331">
        <v>270</v>
      </c>
      <c r="AA331">
        <v>354</v>
      </c>
      <c r="AB331">
        <f t="shared" si="6"/>
        <v>624</v>
      </c>
    </row>
    <row r="332" spans="18:28" x14ac:dyDescent="0.3">
      <c r="R332">
        <v>629</v>
      </c>
      <c r="V332" t="s">
        <v>638</v>
      </c>
      <c r="X332">
        <v>175</v>
      </c>
      <c r="Z332">
        <v>291</v>
      </c>
      <c r="AA332">
        <v>326</v>
      </c>
      <c r="AB332">
        <f t="shared" si="6"/>
        <v>617</v>
      </c>
    </row>
    <row r="333" spans="18:28" x14ac:dyDescent="0.3">
      <c r="R333">
        <v>2306</v>
      </c>
      <c r="X333">
        <v>139</v>
      </c>
      <c r="Z333">
        <v>284</v>
      </c>
      <c r="AA333">
        <v>380</v>
      </c>
      <c r="AB333">
        <f t="shared" si="6"/>
        <v>664</v>
      </c>
    </row>
    <row r="334" spans="18:28" x14ac:dyDescent="0.3">
      <c r="R334">
        <v>2382</v>
      </c>
      <c r="X334">
        <v>143</v>
      </c>
      <c r="Z334">
        <v>289</v>
      </c>
      <c r="AA334">
        <v>371</v>
      </c>
      <c r="AB334">
        <f t="shared" si="6"/>
        <v>660</v>
      </c>
    </row>
    <row r="335" spans="18:28" x14ac:dyDescent="0.3">
      <c r="R335">
        <v>2373</v>
      </c>
      <c r="X335">
        <v>160</v>
      </c>
      <c r="Z335">
        <v>299</v>
      </c>
      <c r="AA335">
        <v>338</v>
      </c>
      <c r="AB335">
        <f t="shared" si="6"/>
        <v>637</v>
      </c>
    </row>
    <row r="336" spans="18:28" x14ac:dyDescent="0.3">
      <c r="R336">
        <v>867</v>
      </c>
      <c r="X336">
        <v>151</v>
      </c>
      <c r="Z336">
        <v>297</v>
      </c>
      <c r="AA336">
        <v>390</v>
      </c>
      <c r="AB336">
        <f t="shared" si="6"/>
        <v>687</v>
      </c>
    </row>
    <row r="337" spans="18:28" x14ac:dyDescent="0.3">
      <c r="R337">
        <v>567</v>
      </c>
      <c r="X337">
        <v>106</v>
      </c>
      <c r="Z337">
        <v>290</v>
      </c>
      <c r="AA337">
        <v>371</v>
      </c>
      <c r="AB337">
        <f t="shared" si="6"/>
        <v>661</v>
      </c>
    </row>
    <row r="338" spans="18:28" x14ac:dyDescent="0.3">
      <c r="R338">
        <v>680</v>
      </c>
      <c r="X338">
        <v>173</v>
      </c>
      <c r="Z338">
        <v>266</v>
      </c>
      <c r="AA338">
        <v>310</v>
      </c>
      <c r="AB338">
        <f t="shared" si="6"/>
        <v>576</v>
      </c>
    </row>
    <row r="339" spans="18:28" x14ac:dyDescent="0.3">
      <c r="R339">
        <v>642</v>
      </c>
      <c r="X339">
        <v>146</v>
      </c>
      <c r="Z339">
        <v>263</v>
      </c>
      <c r="AA339">
        <v>354</v>
      </c>
      <c r="AB339">
        <f t="shared" si="6"/>
        <v>617</v>
      </c>
    </row>
    <row r="340" spans="18:28" x14ac:dyDescent="0.3">
      <c r="R340">
        <v>679</v>
      </c>
      <c r="X340">
        <v>129</v>
      </c>
      <c r="Z340">
        <v>274</v>
      </c>
      <c r="AA340">
        <v>358</v>
      </c>
      <c r="AB340">
        <f t="shared" si="6"/>
        <v>632</v>
      </c>
    </row>
    <row r="341" spans="18:28" x14ac:dyDescent="0.3">
      <c r="R341">
        <v>665</v>
      </c>
      <c r="X341">
        <v>138</v>
      </c>
      <c r="Z341">
        <v>277</v>
      </c>
      <c r="AA341">
        <v>313</v>
      </c>
      <c r="AB341">
        <f t="shared" si="6"/>
        <v>590</v>
      </c>
    </row>
    <row r="342" spans="18:28" x14ac:dyDescent="0.3">
      <c r="R342">
        <v>541</v>
      </c>
      <c r="X342">
        <v>186</v>
      </c>
      <c r="Z342">
        <v>270</v>
      </c>
      <c r="AA342">
        <v>356</v>
      </c>
      <c r="AB342">
        <f t="shared" si="6"/>
        <v>626</v>
      </c>
    </row>
    <row r="343" spans="18:28" x14ac:dyDescent="0.3">
      <c r="R343">
        <v>628</v>
      </c>
      <c r="X343">
        <v>180</v>
      </c>
      <c r="Z343">
        <v>289</v>
      </c>
      <c r="AA343">
        <v>375</v>
      </c>
      <c r="AB343">
        <f t="shared" si="6"/>
        <v>664</v>
      </c>
    </row>
    <row r="344" spans="18:28" x14ac:dyDescent="0.3">
      <c r="R344">
        <v>605</v>
      </c>
      <c r="X344">
        <v>153</v>
      </c>
      <c r="Z344">
        <v>286</v>
      </c>
      <c r="AA344">
        <v>327</v>
      </c>
      <c r="AB344">
        <f t="shared" si="6"/>
        <v>613</v>
      </c>
    </row>
    <row r="345" spans="18:28" x14ac:dyDescent="0.3">
      <c r="R345">
        <v>648</v>
      </c>
      <c r="X345">
        <v>167</v>
      </c>
      <c r="Z345">
        <v>286</v>
      </c>
      <c r="AA345">
        <v>378</v>
      </c>
      <c r="AB345">
        <f t="shared" si="6"/>
        <v>664</v>
      </c>
    </row>
    <row r="346" spans="18:28" x14ac:dyDescent="0.3">
      <c r="R346">
        <v>654</v>
      </c>
      <c r="X346">
        <v>162</v>
      </c>
      <c r="Z346">
        <v>291</v>
      </c>
      <c r="AA346">
        <v>374</v>
      </c>
      <c r="AB346">
        <f t="shared" si="6"/>
        <v>665</v>
      </c>
    </row>
    <row r="347" spans="18:28" x14ac:dyDescent="0.3">
      <c r="R347">
        <v>611</v>
      </c>
      <c r="X347">
        <v>148</v>
      </c>
      <c r="Z347">
        <v>264</v>
      </c>
      <c r="AA347">
        <v>305</v>
      </c>
      <c r="AB347">
        <f t="shared" si="6"/>
        <v>569</v>
      </c>
    </row>
    <row r="348" spans="18:28" x14ac:dyDescent="0.3">
      <c r="R348">
        <v>676</v>
      </c>
      <c r="X348">
        <v>170</v>
      </c>
      <c r="Z348">
        <v>266</v>
      </c>
      <c r="AA348">
        <v>358</v>
      </c>
      <c r="AB348">
        <f t="shared" si="6"/>
        <v>624</v>
      </c>
    </row>
    <row r="349" spans="18:28" x14ac:dyDescent="0.3">
      <c r="R349">
        <v>679</v>
      </c>
      <c r="X349">
        <v>136</v>
      </c>
      <c r="Z349">
        <v>253</v>
      </c>
      <c r="AA349">
        <v>335</v>
      </c>
      <c r="AB349">
        <f t="shared" si="6"/>
        <v>588</v>
      </c>
    </row>
    <row r="350" spans="18:28" x14ac:dyDescent="0.3">
      <c r="R350">
        <v>618</v>
      </c>
      <c r="X350">
        <v>157</v>
      </c>
      <c r="Z350">
        <v>273</v>
      </c>
      <c r="AA350">
        <v>309</v>
      </c>
      <c r="AB350">
        <f t="shared" si="6"/>
        <v>582</v>
      </c>
    </row>
    <row r="351" spans="18:28" x14ac:dyDescent="0.3">
      <c r="R351">
        <v>586</v>
      </c>
      <c r="X351">
        <v>151</v>
      </c>
      <c r="Z351">
        <v>269</v>
      </c>
      <c r="AA351">
        <v>360</v>
      </c>
      <c r="AB351">
        <f t="shared" ref="AB351:AB414" si="7">Z351+AA351</f>
        <v>629</v>
      </c>
    </row>
    <row r="352" spans="18:28" x14ac:dyDescent="0.3">
      <c r="R352">
        <v>582</v>
      </c>
      <c r="X352">
        <v>124</v>
      </c>
      <c r="Z352">
        <v>275</v>
      </c>
      <c r="AA352">
        <v>355</v>
      </c>
      <c r="AB352">
        <f t="shared" si="7"/>
        <v>630</v>
      </c>
    </row>
    <row r="353" spans="18:28" x14ac:dyDescent="0.3">
      <c r="R353">
        <v>569</v>
      </c>
      <c r="X353">
        <v>138</v>
      </c>
      <c r="Z353">
        <v>284</v>
      </c>
      <c r="AA353">
        <v>329</v>
      </c>
      <c r="AB353">
        <f t="shared" si="7"/>
        <v>613</v>
      </c>
    </row>
    <row r="354" spans="18:28" x14ac:dyDescent="0.3">
      <c r="R354">
        <v>629</v>
      </c>
      <c r="X354">
        <v>165</v>
      </c>
      <c r="Z354">
        <v>296</v>
      </c>
      <c r="AA354">
        <v>388</v>
      </c>
      <c r="AB354">
        <f t="shared" si="7"/>
        <v>684</v>
      </c>
    </row>
    <row r="355" spans="18:28" x14ac:dyDescent="0.3">
      <c r="R355">
        <v>658</v>
      </c>
      <c r="X355">
        <v>165</v>
      </c>
      <c r="Z355">
        <v>295</v>
      </c>
      <c r="AA355">
        <v>375</v>
      </c>
      <c r="AB355">
        <f t="shared" si="7"/>
        <v>670</v>
      </c>
    </row>
    <row r="356" spans="18:28" x14ac:dyDescent="0.3">
      <c r="R356">
        <v>643</v>
      </c>
      <c r="X356">
        <v>153</v>
      </c>
      <c r="Z356">
        <v>299</v>
      </c>
      <c r="AA356">
        <v>343</v>
      </c>
      <c r="AB356">
        <f t="shared" si="7"/>
        <v>642</v>
      </c>
    </row>
    <row r="357" spans="18:28" x14ac:dyDescent="0.3">
      <c r="R357">
        <v>699</v>
      </c>
      <c r="X357">
        <v>155</v>
      </c>
      <c r="Z357">
        <v>294</v>
      </c>
      <c r="AA357">
        <v>381</v>
      </c>
      <c r="AB357">
        <f t="shared" si="7"/>
        <v>675</v>
      </c>
    </row>
    <row r="358" spans="18:28" x14ac:dyDescent="0.3">
      <c r="R358">
        <v>676</v>
      </c>
      <c r="X358">
        <v>147</v>
      </c>
      <c r="Z358">
        <v>273</v>
      </c>
      <c r="AA358">
        <v>356</v>
      </c>
      <c r="AB358">
        <f t="shared" si="7"/>
        <v>629</v>
      </c>
    </row>
    <row r="359" spans="18:28" x14ac:dyDescent="0.3">
      <c r="R359">
        <v>628</v>
      </c>
      <c r="X359">
        <v>134</v>
      </c>
      <c r="Z359">
        <v>1143</v>
      </c>
      <c r="AA359">
        <v>1163</v>
      </c>
      <c r="AB359">
        <f t="shared" si="7"/>
        <v>2306</v>
      </c>
    </row>
    <row r="360" spans="18:28" x14ac:dyDescent="0.3">
      <c r="R360">
        <v>655</v>
      </c>
      <c r="X360">
        <v>130</v>
      </c>
      <c r="Z360">
        <v>1160</v>
      </c>
      <c r="AA360">
        <v>1222</v>
      </c>
      <c r="AB360">
        <f t="shared" si="7"/>
        <v>2382</v>
      </c>
    </row>
    <row r="361" spans="18:28" x14ac:dyDescent="0.3">
      <c r="R361">
        <v>632</v>
      </c>
      <c r="X361">
        <v>160</v>
      </c>
      <c r="Z361">
        <v>1145</v>
      </c>
      <c r="AA361">
        <v>1228</v>
      </c>
      <c r="AB361">
        <f t="shared" si="7"/>
        <v>2373</v>
      </c>
    </row>
    <row r="362" spans="18:28" x14ac:dyDescent="0.3">
      <c r="R362">
        <v>601</v>
      </c>
      <c r="X362">
        <v>147</v>
      </c>
      <c r="Z362">
        <v>410</v>
      </c>
      <c r="AA362">
        <v>457</v>
      </c>
      <c r="AB362">
        <f t="shared" si="7"/>
        <v>867</v>
      </c>
    </row>
    <row r="363" spans="18:28" x14ac:dyDescent="0.3">
      <c r="R363">
        <v>684</v>
      </c>
      <c r="X363">
        <v>118</v>
      </c>
      <c r="Z363">
        <v>258</v>
      </c>
      <c r="AA363">
        <v>309</v>
      </c>
      <c r="AB363">
        <f t="shared" si="7"/>
        <v>567</v>
      </c>
    </row>
    <row r="364" spans="18:28" x14ac:dyDescent="0.3">
      <c r="R364">
        <v>688</v>
      </c>
      <c r="X364">
        <v>161</v>
      </c>
      <c r="Z364">
        <v>300</v>
      </c>
      <c r="AA364">
        <v>380</v>
      </c>
      <c r="AB364">
        <f t="shared" si="7"/>
        <v>680</v>
      </c>
    </row>
    <row r="365" spans="18:28" x14ac:dyDescent="0.3">
      <c r="R365">
        <v>647</v>
      </c>
      <c r="V365" t="s">
        <v>638</v>
      </c>
      <c r="X365">
        <v>181</v>
      </c>
      <c r="Z365">
        <v>302</v>
      </c>
      <c r="AA365">
        <v>340</v>
      </c>
      <c r="AB365">
        <f t="shared" si="7"/>
        <v>642</v>
      </c>
    </row>
    <row r="366" spans="18:28" x14ac:dyDescent="0.3">
      <c r="R366">
        <v>675</v>
      </c>
      <c r="X366">
        <v>154</v>
      </c>
      <c r="Z366">
        <v>296</v>
      </c>
      <c r="AA366">
        <v>383</v>
      </c>
      <c r="AB366">
        <f t="shared" si="7"/>
        <v>679</v>
      </c>
    </row>
    <row r="367" spans="18:28" x14ac:dyDescent="0.3">
      <c r="R367">
        <v>656</v>
      </c>
      <c r="X367">
        <v>162</v>
      </c>
      <c r="Z367">
        <v>291</v>
      </c>
      <c r="AA367">
        <v>374</v>
      </c>
      <c r="AB367">
        <f t="shared" si="7"/>
        <v>665</v>
      </c>
    </row>
    <row r="368" spans="18:28" x14ac:dyDescent="0.3">
      <c r="R368">
        <v>647</v>
      </c>
      <c r="X368">
        <v>114</v>
      </c>
      <c r="Z368">
        <v>251</v>
      </c>
      <c r="AA368">
        <v>290</v>
      </c>
      <c r="AB368">
        <f t="shared" si="7"/>
        <v>541</v>
      </c>
    </row>
    <row r="369" spans="18:28" x14ac:dyDescent="0.3">
      <c r="R369">
        <v>665</v>
      </c>
      <c r="X369">
        <v>171</v>
      </c>
      <c r="Z369">
        <v>269</v>
      </c>
      <c r="AA369">
        <v>359</v>
      </c>
      <c r="AB369">
        <f t="shared" si="7"/>
        <v>628</v>
      </c>
    </row>
    <row r="370" spans="18:28" x14ac:dyDescent="0.3">
      <c r="R370">
        <v>592</v>
      </c>
      <c r="X370">
        <v>133</v>
      </c>
      <c r="Z370">
        <v>276</v>
      </c>
      <c r="AA370">
        <v>329</v>
      </c>
      <c r="AB370">
        <f t="shared" si="7"/>
        <v>605</v>
      </c>
    </row>
    <row r="371" spans="18:28" x14ac:dyDescent="0.3">
      <c r="R371">
        <v>630</v>
      </c>
      <c r="X371">
        <v>125</v>
      </c>
      <c r="Z371">
        <v>291</v>
      </c>
      <c r="AA371">
        <v>357</v>
      </c>
      <c r="AB371">
        <f t="shared" si="7"/>
        <v>648</v>
      </c>
    </row>
    <row r="372" spans="18:28" x14ac:dyDescent="0.3">
      <c r="R372">
        <v>677</v>
      </c>
      <c r="X372">
        <v>132</v>
      </c>
      <c r="Z372">
        <v>282</v>
      </c>
      <c r="AA372">
        <v>372</v>
      </c>
      <c r="AB372">
        <f t="shared" si="7"/>
        <v>654</v>
      </c>
    </row>
    <row r="373" spans="18:28" x14ac:dyDescent="0.3">
      <c r="R373">
        <v>635</v>
      </c>
      <c r="X373">
        <v>141</v>
      </c>
      <c r="Z373">
        <v>283</v>
      </c>
      <c r="AA373">
        <v>328</v>
      </c>
      <c r="AB373">
        <f t="shared" si="7"/>
        <v>611</v>
      </c>
    </row>
    <row r="374" spans="18:28" x14ac:dyDescent="0.3">
      <c r="R374">
        <v>684</v>
      </c>
      <c r="X374">
        <v>129</v>
      </c>
      <c r="Z374">
        <v>296</v>
      </c>
      <c r="AA374">
        <v>380</v>
      </c>
      <c r="AB374">
        <f t="shared" si="7"/>
        <v>676</v>
      </c>
    </row>
    <row r="375" spans="18:28" x14ac:dyDescent="0.3">
      <c r="R375">
        <v>673</v>
      </c>
      <c r="X375">
        <v>159</v>
      </c>
      <c r="Z375">
        <v>297</v>
      </c>
      <c r="AA375">
        <v>382</v>
      </c>
      <c r="AB375">
        <f t="shared" si="7"/>
        <v>679</v>
      </c>
    </row>
    <row r="376" spans="18:28" x14ac:dyDescent="0.3">
      <c r="R376">
        <v>604</v>
      </c>
      <c r="X376">
        <v>138</v>
      </c>
      <c r="Z376">
        <v>284</v>
      </c>
      <c r="AA376">
        <v>334</v>
      </c>
      <c r="AB376">
        <f t="shared" si="7"/>
        <v>618</v>
      </c>
    </row>
    <row r="377" spans="18:28" x14ac:dyDescent="0.3">
      <c r="R377">
        <v>642</v>
      </c>
      <c r="X377">
        <v>164</v>
      </c>
      <c r="Z377">
        <v>254</v>
      </c>
      <c r="AA377">
        <v>332</v>
      </c>
      <c r="AB377">
        <f t="shared" si="7"/>
        <v>586</v>
      </c>
    </row>
    <row r="378" spans="18:28" x14ac:dyDescent="0.3">
      <c r="R378">
        <v>678</v>
      </c>
      <c r="X378">
        <v>167</v>
      </c>
      <c r="Z378">
        <v>245</v>
      </c>
      <c r="AA378">
        <v>337</v>
      </c>
      <c r="AB378">
        <f t="shared" si="7"/>
        <v>582</v>
      </c>
    </row>
    <row r="379" spans="18:28" x14ac:dyDescent="0.3">
      <c r="R379">
        <v>601</v>
      </c>
      <c r="X379">
        <v>156</v>
      </c>
      <c r="Z379">
        <v>262</v>
      </c>
      <c r="AA379">
        <v>307</v>
      </c>
      <c r="AB379">
        <f t="shared" si="7"/>
        <v>569</v>
      </c>
    </row>
    <row r="380" spans="18:28" x14ac:dyDescent="0.3">
      <c r="R380">
        <v>632</v>
      </c>
      <c r="X380">
        <v>153</v>
      </c>
      <c r="Z380">
        <v>275</v>
      </c>
      <c r="AA380">
        <v>354</v>
      </c>
      <c r="AB380">
        <f t="shared" si="7"/>
        <v>629</v>
      </c>
    </row>
    <row r="381" spans="18:28" x14ac:dyDescent="0.3">
      <c r="R381">
        <v>660</v>
      </c>
      <c r="X381">
        <v>135</v>
      </c>
      <c r="Z381">
        <v>286</v>
      </c>
      <c r="AA381">
        <v>372</v>
      </c>
      <c r="AB381">
        <f t="shared" si="7"/>
        <v>658</v>
      </c>
    </row>
    <row r="382" spans="18:28" x14ac:dyDescent="0.3">
      <c r="R382">
        <v>644</v>
      </c>
      <c r="X382">
        <v>140</v>
      </c>
      <c r="Z382">
        <v>302</v>
      </c>
      <c r="AA382">
        <v>341</v>
      </c>
      <c r="AB382">
        <f t="shared" si="7"/>
        <v>643</v>
      </c>
    </row>
    <row r="383" spans="18:28" x14ac:dyDescent="0.3">
      <c r="R383">
        <v>690</v>
      </c>
      <c r="X383">
        <v>115</v>
      </c>
      <c r="Z383">
        <v>305</v>
      </c>
      <c r="AA383">
        <v>394</v>
      </c>
      <c r="AB383">
        <f t="shared" si="7"/>
        <v>699</v>
      </c>
    </row>
    <row r="384" spans="18:28" x14ac:dyDescent="0.3">
      <c r="R384">
        <v>660</v>
      </c>
      <c r="X384">
        <v>161</v>
      </c>
      <c r="Z384">
        <v>295</v>
      </c>
      <c r="AA384">
        <v>381</v>
      </c>
      <c r="AB384">
        <f t="shared" si="7"/>
        <v>676</v>
      </c>
    </row>
    <row r="385" spans="18:28" x14ac:dyDescent="0.3">
      <c r="R385">
        <v>672</v>
      </c>
      <c r="X385">
        <v>122</v>
      </c>
      <c r="Z385">
        <v>296</v>
      </c>
      <c r="AA385">
        <v>332</v>
      </c>
      <c r="AB385">
        <f t="shared" si="7"/>
        <v>628</v>
      </c>
    </row>
    <row r="386" spans="18:28" x14ac:dyDescent="0.3">
      <c r="R386">
        <v>695</v>
      </c>
      <c r="X386">
        <v>157</v>
      </c>
      <c r="Z386">
        <v>284</v>
      </c>
      <c r="AA386">
        <v>371</v>
      </c>
      <c r="AB386">
        <f t="shared" si="7"/>
        <v>655</v>
      </c>
    </row>
    <row r="387" spans="18:28" x14ac:dyDescent="0.3">
      <c r="R387">
        <v>640</v>
      </c>
      <c r="X387">
        <v>154</v>
      </c>
      <c r="Z387">
        <v>270</v>
      </c>
      <c r="AA387">
        <v>362</v>
      </c>
      <c r="AB387">
        <f t="shared" si="7"/>
        <v>632</v>
      </c>
    </row>
    <row r="388" spans="18:28" x14ac:dyDescent="0.3">
      <c r="R388">
        <v>656</v>
      </c>
      <c r="X388">
        <v>156</v>
      </c>
      <c r="Z388">
        <v>284</v>
      </c>
      <c r="AA388">
        <v>317</v>
      </c>
      <c r="AB388">
        <f t="shared" si="7"/>
        <v>601</v>
      </c>
    </row>
    <row r="389" spans="18:28" x14ac:dyDescent="0.3">
      <c r="R389">
        <v>585</v>
      </c>
      <c r="X389">
        <v>155</v>
      </c>
      <c r="Z389">
        <v>300</v>
      </c>
      <c r="AA389">
        <v>384</v>
      </c>
      <c r="AB389">
        <f t="shared" si="7"/>
        <v>684</v>
      </c>
    </row>
    <row r="390" spans="18:28" x14ac:dyDescent="0.3">
      <c r="R390">
        <v>560</v>
      </c>
      <c r="X390">
        <v>173</v>
      </c>
      <c r="Z390">
        <v>302</v>
      </c>
      <c r="AA390">
        <v>386</v>
      </c>
      <c r="AB390">
        <f t="shared" si="7"/>
        <v>688</v>
      </c>
    </row>
    <row r="391" spans="18:28" x14ac:dyDescent="0.3">
      <c r="R391">
        <v>680</v>
      </c>
      <c r="X391">
        <v>164</v>
      </c>
      <c r="Z391">
        <v>300</v>
      </c>
      <c r="AA391">
        <v>347</v>
      </c>
      <c r="AB391">
        <f t="shared" si="7"/>
        <v>647</v>
      </c>
    </row>
    <row r="392" spans="18:28" x14ac:dyDescent="0.3">
      <c r="R392">
        <v>664</v>
      </c>
      <c r="X392">
        <v>161</v>
      </c>
      <c r="Z392">
        <v>294</v>
      </c>
      <c r="AA392">
        <v>381</v>
      </c>
      <c r="AB392">
        <f t="shared" si="7"/>
        <v>675</v>
      </c>
    </row>
    <row r="393" spans="18:28" x14ac:dyDescent="0.3">
      <c r="R393">
        <v>627</v>
      </c>
      <c r="X393">
        <v>116</v>
      </c>
      <c r="Z393">
        <v>294</v>
      </c>
      <c r="AA393">
        <v>362</v>
      </c>
      <c r="AB393">
        <f t="shared" si="7"/>
        <v>656</v>
      </c>
    </row>
    <row r="394" spans="18:28" x14ac:dyDescent="0.3">
      <c r="R394">
        <v>65</v>
      </c>
      <c r="X394">
        <v>113</v>
      </c>
      <c r="Z394">
        <v>297</v>
      </c>
      <c r="AA394">
        <v>350</v>
      </c>
      <c r="AB394">
        <f t="shared" si="7"/>
        <v>647</v>
      </c>
    </row>
    <row r="395" spans="18:28" x14ac:dyDescent="0.3">
      <c r="X395">
        <v>136</v>
      </c>
      <c r="Z395">
        <v>289</v>
      </c>
      <c r="AA395">
        <v>376</v>
      </c>
      <c r="AB395">
        <f t="shared" si="7"/>
        <v>665</v>
      </c>
    </row>
    <row r="396" spans="18:28" x14ac:dyDescent="0.3">
      <c r="X396">
        <v>135</v>
      </c>
      <c r="Z396">
        <v>272</v>
      </c>
      <c r="AA396">
        <v>320</v>
      </c>
      <c r="AB396">
        <f t="shared" si="7"/>
        <v>592</v>
      </c>
    </row>
    <row r="397" spans="18:28" x14ac:dyDescent="0.3">
      <c r="X397">
        <v>146</v>
      </c>
      <c r="Z397">
        <v>277</v>
      </c>
      <c r="AA397">
        <v>353</v>
      </c>
      <c r="AB397">
        <f t="shared" si="7"/>
        <v>630</v>
      </c>
    </row>
    <row r="398" spans="18:28" x14ac:dyDescent="0.3">
      <c r="V398" t="s">
        <v>638</v>
      </c>
      <c r="X398">
        <v>127</v>
      </c>
      <c r="Z398">
        <v>294</v>
      </c>
      <c r="AA398">
        <v>383</v>
      </c>
      <c r="AB398">
        <f t="shared" si="7"/>
        <v>677</v>
      </c>
    </row>
    <row r="399" spans="18:28" x14ac:dyDescent="0.3">
      <c r="X399">
        <v>127</v>
      </c>
      <c r="Z399">
        <v>300</v>
      </c>
      <c r="AA399">
        <v>335</v>
      </c>
      <c r="AB399">
        <f t="shared" si="7"/>
        <v>635</v>
      </c>
    </row>
    <row r="400" spans="18:28" x14ac:dyDescent="0.3">
      <c r="X400">
        <v>148</v>
      </c>
      <c r="Z400">
        <v>295</v>
      </c>
      <c r="AA400">
        <v>389</v>
      </c>
      <c r="AB400">
        <f t="shared" si="7"/>
        <v>684</v>
      </c>
    </row>
    <row r="401" spans="24:28" x14ac:dyDescent="0.3">
      <c r="X401">
        <v>155</v>
      </c>
      <c r="Z401">
        <v>293</v>
      </c>
      <c r="AA401">
        <v>380</v>
      </c>
      <c r="AB401">
        <f t="shared" si="7"/>
        <v>673</v>
      </c>
    </row>
    <row r="402" spans="24:28" x14ac:dyDescent="0.3">
      <c r="X402">
        <v>155</v>
      </c>
      <c r="Z402">
        <v>282</v>
      </c>
      <c r="AA402">
        <v>322</v>
      </c>
      <c r="AB402">
        <f t="shared" si="7"/>
        <v>604</v>
      </c>
    </row>
    <row r="403" spans="24:28" x14ac:dyDescent="0.3">
      <c r="X403">
        <v>134</v>
      </c>
      <c r="Z403">
        <v>279</v>
      </c>
      <c r="AA403">
        <v>363</v>
      </c>
      <c r="AB403">
        <f t="shared" si="7"/>
        <v>642</v>
      </c>
    </row>
    <row r="404" spans="24:28" x14ac:dyDescent="0.3">
      <c r="X404">
        <v>123</v>
      </c>
      <c r="Z404">
        <v>296</v>
      </c>
      <c r="AA404">
        <v>382</v>
      </c>
      <c r="AB404">
        <f t="shared" si="7"/>
        <v>678</v>
      </c>
    </row>
    <row r="405" spans="24:28" x14ac:dyDescent="0.3">
      <c r="X405">
        <v>157</v>
      </c>
      <c r="Z405">
        <v>281</v>
      </c>
      <c r="AA405">
        <v>320</v>
      </c>
      <c r="AB405">
        <f t="shared" si="7"/>
        <v>601</v>
      </c>
    </row>
    <row r="406" spans="24:28" x14ac:dyDescent="0.3">
      <c r="X406">
        <v>175</v>
      </c>
      <c r="Z406">
        <v>270</v>
      </c>
      <c r="AA406">
        <v>362</v>
      </c>
      <c r="AB406">
        <f t="shared" si="7"/>
        <v>632</v>
      </c>
    </row>
    <row r="407" spans="24:28" x14ac:dyDescent="0.3">
      <c r="X407">
        <v>154</v>
      </c>
      <c r="Z407">
        <v>290</v>
      </c>
      <c r="AA407">
        <v>370</v>
      </c>
      <c r="AB407">
        <f t="shared" si="7"/>
        <v>660</v>
      </c>
    </row>
    <row r="408" spans="24:28" x14ac:dyDescent="0.3">
      <c r="X408">
        <v>148</v>
      </c>
      <c r="Z408">
        <v>302</v>
      </c>
      <c r="AA408">
        <v>342</v>
      </c>
      <c r="AB408">
        <f t="shared" si="7"/>
        <v>644</v>
      </c>
    </row>
    <row r="409" spans="24:28" x14ac:dyDescent="0.3">
      <c r="X409">
        <v>109</v>
      </c>
      <c r="Z409">
        <v>304</v>
      </c>
      <c r="AA409">
        <v>386</v>
      </c>
      <c r="AB409">
        <f t="shared" si="7"/>
        <v>690</v>
      </c>
    </row>
    <row r="410" spans="24:28" x14ac:dyDescent="0.3">
      <c r="X410">
        <v>161</v>
      </c>
      <c r="Z410">
        <v>304</v>
      </c>
      <c r="AA410">
        <v>356</v>
      </c>
      <c r="AB410">
        <f t="shared" si="7"/>
        <v>660</v>
      </c>
    </row>
    <row r="411" spans="24:28" x14ac:dyDescent="0.3">
      <c r="X411">
        <v>155</v>
      </c>
      <c r="Z411">
        <v>298</v>
      </c>
      <c r="AA411">
        <v>374</v>
      </c>
      <c r="AB411">
        <f t="shared" si="7"/>
        <v>672</v>
      </c>
    </row>
    <row r="412" spans="24:28" x14ac:dyDescent="0.3">
      <c r="X412">
        <v>139</v>
      </c>
      <c r="Z412">
        <v>306</v>
      </c>
      <c r="AA412">
        <v>389</v>
      </c>
      <c r="AB412">
        <f t="shared" si="7"/>
        <v>695</v>
      </c>
    </row>
    <row r="413" spans="24:28" x14ac:dyDescent="0.3">
      <c r="X413">
        <v>151</v>
      </c>
      <c r="Z413">
        <v>302</v>
      </c>
      <c r="AA413">
        <v>338</v>
      </c>
      <c r="AB413">
        <f t="shared" si="7"/>
        <v>640</v>
      </c>
    </row>
    <row r="414" spans="24:28" x14ac:dyDescent="0.3">
      <c r="X414">
        <v>164</v>
      </c>
      <c r="Z414">
        <v>284</v>
      </c>
      <c r="AA414">
        <v>372</v>
      </c>
      <c r="AB414">
        <f t="shared" si="7"/>
        <v>656</v>
      </c>
    </row>
    <row r="415" spans="24:28" x14ac:dyDescent="0.3">
      <c r="X415">
        <v>139</v>
      </c>
      <c r="Z415">
        <v>248</v>
      </c>
      <c r="AA415">
        <v>337</v>
      </c>
      <c r="AB415">
        <f t="shared" ref="AB415:AB420" si="8">Z415+AA415</f>
        <v>585</v>
      </c>
    </row>
    <row r="416" spans="24:28" x14ac:dyDescent="0.3">
      <c r="X416">
        <v>161</v>
      </c>
      <c r="Z416">
        <v>265</v>
      </c>
      <c r="AA416">
        <v>295</v>
      </c>
      <c r="AB416">
        <f t="shared" si="8"/>
        <v>560</v>
      </c>
    </row>
    <row r="417" spans="22:28" x14ac:dyDescent="0.3">
      <c r="X417">
        <v>155</v>
      </c>
      <c r="Z417">
        <v>298</v>
      </c>
      <c r="AA417">
        <v>382</v>
      </c>
      <c r="AB417">
        <f t="shared" si="8"/>
        <v>680</v>
      </c>
    </row>
    <row r="418" spans="22:28" x14ac:dyDescent="0.3">
      <c r="X418">
        <v>152</v>
      </c>
      <c r="Z418">
        <v>305</v>
      </c>
      <c r="AA418">
        <v>359</v>
      </c>
      <c r="AB418">
        <f t="shared" si="8"/>
        <v>664</v>
      </c>
    </row>
    <row r="419" spans="22:28" x14ac:dyDescent="0.3">
      <c r="X419">
        <v>174</v>
      </c>
      <c r="Z419">
        <v>277</v>
      </c>
      <c r="AA419">
        <v>350</v>
      </c>
      <c r="AB419">
        <f t="shared" si="8"/>
        <v>627</v>
      </c>
    </row>
    <row r="420" spans="22:28" x14ac:dyDescent="0.3">
      <c r="X420">
        <v>152</v>
      </c>
      <c r="Z420">
        <v>30</v>
      </c>
      <c r="AA420">
        <v>35</v>
      </c>
      <c r="AB420">
        <f t="shared" si="8"/>
        <v>65</v>
      </c>
    </row>
    <row r="421" spans="22:28" x14ac:dyDescent="0.3">
      <c r="X421">
        <v>154</v>
      </c>
    </row>
    <row r="422" spans="22:28" x14ac:dyDescent="0.3">
      <c r="X422">
        <v>157</v>
      </c>
      <c r="AA422">
        <f>SUM(AA30:AA420)</f>
        <v>124557</v>
      </c>
      <c r="AB422">
        <f>SUM(AB30:AB420)</f>
        <v>222472</v>
      </c>
    </row>
    <row r="423" spans="22:28" x14ac:dyDescent="0.3">
      <c r="X423">
        <v>149</v>
      </c>
      <c r="AA423">
        <f>AA422/12800</f>
        <v>9.7310156249999995</v>
      </c>
      <c r="AB423">
        <f>AB422/12800</f>
        <v>17.380624999999998</v>
      </c>
    </row>
    <row r="424" spans="22:28" x14ac:dyDescent="0.3">
      <c r="X424">
        <v>171</v>
      </c>
    </row>
    <row r="425" spans="22:28" x14ac:dyDescent="0.3">
      <c r="X425">
        <v>156</v>
      </c>
    </row>
    <row r="426" spans="22:28" x14ac:dyDescent="0.3">
      <c r="X426">
        <v>155</v>
      </c>
    </row>
    <row r="427" spans="22:28" x14ac:dyDescent="0.3">
      <c r="X427">
        <v>168</v>
      </c>
    </row>
    <row r="428" spans="22:28" x14ac:dyDescent="0.3">
      <c r="X428">
        <v>152</v>
      </c>
    </row>
    <row r="429" spans="22:28" x14ac:dyDescent="0.3">
      <c r="X429">
        <v>153</v>
      </c>
    </row>
    <row r="430" spans="22:28" x14ac:dyDescent="0.3">
      <c r="X430">
        <v>130</v>
      </c>
    </row>
    <row r="431" spans="22:28" x14ac:dyDescent="0.3">
      <c r="V431" t="s">
        <v>638</v>
      </c>
      <c r="X431">
        <v>167</v>
      </c>
    </row>
    <row r="432" spans="22:28" x14ac:dyDescent="0.3">
      <c r="X432">
        <v>152</v>
      </c>
    </row>
    <row r="433" spans="24:24" x14ac:dyDescent="0.3">
      <c r="X433">
        <v>117</v>
      </c>
    </row>
    <row r="434" spans="24:24" x14ac:dyDescent="0.3">
      <c r="X434">
        <v>177</v>
      </c>
    </row>
    <row r="435" spans="24:24" x14ac:dyDescent="0.3">
      <c r="X435">
        <v>131</v>
      </c>
    </row>
    <row r="436" spans="24:24" x14ac:dyDescent="0.3">
      <c r="X436">
        <v>160</v>
      </c>
    </row>
    <row r="437" spans="24:24" x14ac:dyDescent="0.3">
      <c r="X437">
        <v>155</v>
      </c>
    </row>
    <row r="438" spans="24:24" x14ac:dyDescent="0.3">
      <c r="X438">
        <v>161</v>
      </c>
    </row>
    <row r="439" spans="24:24" x14ac:dyDescent="0.3">
      <c r="X439">
        <v>175</v>
      </c>
    </row>
    <row r="440" spans="24:24" x14ac:dyDescent="0.3">
      <c r="X440">
        <v>151</v>
      </c>
    </row>
    <row r="441" spans="24:24" x14ac:dyDescent="0.3">
      <c r="X441">
        <v>129</v>
      </c>
    </row>
    <row r="442" spans="24:24" x14ac:dyDescent="0.3">
      <c r="X442">
        <v>117</v>
      </c>
    </row>
    <row r="443" spans="24:24" x14ac:dyDescent="0.3">
      <c r="X443">
        <v>147</v>
      </c>
    </row>
    <row r="444" spans="24:24" x14ac:dyDescent="0.3">
      <c r="X444">
        <v>133</v>
      </c>
    </row>
    <row r="445" spans="24:24" x14ac:dyDescent="0.3">
      <c r="X445">
        <v>154</v>
      </c>
    </row>
    <row r="446" spans="24:24" x14ac:dyDescent="0.3">
      <c r="X446">
        <v>158</v>
      </c>
    </row>
    <row r="447" spans="24:24" x14ac:dyDescent="0.3">
      <c r="X447">
        <v>155</v>
      </c>
    </row>
    <row r="448" spans="24:24" x14ac:dyDescent="0.3">
      <c r="X448">
        <v>160</v>
      </c>
    </row>
    <row r="449" spans="22:24" x14ac:dyDescent="0.3">
      <c r="X449">
        <v>169</v>
      </c>
    </row>
    <row r="450" spans="22:24" x14ac:dyDescent="0.3">
      <c r="X450">
        <v>148</v>
      </c>
    </row>
    <row r="451" spans="22:24" x14ac:dyDescent="0.3">
      <c r="X451">
        <v>161</v>
      </c>
    </row>
    <row r="452" spans="22:24" x14ac:dyDescent="0.3">
      <c r="X452">
        <v>127</v>
      </c>
    </row>
    <row r="453" spans="22:24" x14ac:dyDescent="0.3">
      <c r="X453">
        <v>153</v>
      </c>
    </row>
    <row r="454" spans="22:24" x14ac:dyDescent="0.3">
      <c r="X454">
        <v>141</v>
      </c>
    </row>
    <row r="455" spans="22:24" x14ac:dyDescent="0.3">
      <c r="X455">
        <v>157</v>
      </c>
    </row>
    <row r="456" spans="22:24" x14ac:dyDescent="0.3">
      <c r="X456">
        <v>153</v>
      </c>
    </row>
    <row r="457" spans="22:24" x14ac:dyDescent="0.3">
      <c r="X457">
        <v>170</v>
      </c>
    </row>
    <row r="458" spans="22:24" x14ac:dyDescent="0.3">
      <c r="X458">
        <v>137</v>
      </c>
    </row>
    <row r="459" spans="22:24" x14ac:dyDescent="0.3">
      <c r="X459">
        <v>172</v>
      </c>
    </row>
    <row r="460" spans="22:24" x14ac:dyDescent="0.3">
      <c r="X460">
        <v>153</v>
      </c>
    </row>
    <row r="461" spans="22:24" x14ac:dyDescent="0.3">
      <c r="X461">
        <v>169</v>
      </c>
    </row>
    <row r="462" spans="22:24" x14ac:dyDescent="0.3">
      <c r="X462">
        <v>124</v>
      </c>
    </row>
    <row r="463" spans="22:24" x14ac:dyDescent="0.3">
      <c r="X463">
        <v>174</v>
      </c>
    </row>
    <row r="464" spans="22:24" x14ac:dyDescent="0.3">
      <c r="V464" t="s">
        <v>638</v>
      </c>
      <c r="X464">
        <v>161</v>
      </c>
    </row>
    <row r="465" spans="24:24" x14ac:dyDescent="0.3">
      <c r="X465">
        <v>137</v>
      </c>
    </row>
    <row r="466" spans="24:24" x14ac:dyDescent="0.3">
      <c r="X466">
        <v>148</v>
      </c>
    </row>
    <row r="467" spans="24:24" x14ac:dyDescent="0.3">
      <c r="X467">
        <v>145</v>
      </c>
    </row>
    <row r="468" spans="24:24" x14ac:dyDescent="0.3">
      <c r="X468">
        <v>164</v>
      </c>
    </row>
    <row r="469" spans="24:24" x14ac:dyDescent="0.3">
      <c r="X469">
        <v>154</v>
      </c>
    </row>
    <row r="470" spans="24:24" x14ac:dyDescent="0.3">
      <c r="X470">
        <v>156</v>
      </c>
    </row>
    <row r="471" spans="24:24" x14ac:dyDescent="0.3">
      <c r="X471">
        <v>157</v>
      </c>
    </row>
    <row r="472" spans="24:24" x14ac:dyDescent="0.3">
      <c r="X472">
        <v>150</v>
      </c>
    </row>
    <row r="473" spans="24:24" x14ac:dyDescent="0.3">
      <c r="X473">
        <v>126</v>
      </c>
    </row>
    <row r="474" spans="24:24" x14ac:dyDescent="0.3">
      <c r="X474">
        <v>121</v>
      </c>
    </row>
    <row r="475" spans="24:24" x14ac:dyDescent="0.3">
      <c r="X475">
        <v>157</v>
      </c>
    </row>
    <row r="476" spans="24:24" x14ac:dyDescent="0.3">
      <c r="X476">
        <v>137</v>
      </c>
    </row>
    <row r="477" spans="24:24" x14ac:dyDescent="0.3">
      <c r="X477">
        <v>142</v>
      </c>
    </row>
    <row r="478" spans="24:24" x14ac:dyDescent="0.3">
      <c r="X478">
        <v>138</v>
      </c>
    </row>
    <row r="479" spans="24:24" x14ac:dyDescent="0.3">
      <c r="X479">
        <v>158</v>
      </c>
    </row>
    <row r="480" spans="24:24" x14ac:dyDescent="0.3">
      <c r="X480">
        <v>135</v>
      </c>
    </row>
    <row r="481" spans="24:24" x14ac:dyDescent="0.3">
      <c r="X481">
        <v>165</v>
      </c>
    </row>
    <row r="482" spans="24:24" x14ac:dyDescent="0.3">
      <c r="X482">
        <v>156</v>
      </c>
    </row>
    <row r="483" spans="24:24" x14ac:dyDescent="0.3">
      <c r="X483">
        <v>144</v>
      </c>
    </row>
    <row r="484" spans="24:24" x14ac:dyDescent="0.3">
      <c r="X484">
        <v>188</v>
      </c>
    </row>
    <row r="485" spans="24:24" x14ac:dyDescent="0.3">
      <c r="X485">
        <v>145</v>
      </c>
    </row>
    <row r="486" spans="24:24" x14ac:dyDescent="0.3">
      <c r="X486">
        <v>134</v>
      </c>
    </row>
    <row r="487" spans="24:24" x14ac:dyDescent="0.3">
      <c r="X487">
        <v>141</v>
      </c>
    </row>
    <row r="488" spans="24:24" x14ac:dyDescent="0.3">
      <c r="X488">
        <v>127</v>
      </c>
    </row>
    <row r="489" spans="24:24" x14ac:dyDescent="0.3">
      <c r="X489">
        <v>136</v>
      </c>
    </row>
    <row r="490" spans="24:24" x14ac:dyDescent="0.3">
      <c r="X490">
        <v>166</v>
      </c>
    </row>
    <row r="491" spans="24:24" x14ac:dyDescent="0.3">
      <c r="X491">
        <v>141</v>
      </c>
    </row>
    <row r="492" spans="24:24" x14ac:dyDescent="0.3">
      <c r="X492">
        <v>157</v>
      </c>
    </row>
    <row r="493" spans="24:24" x14ac:dyDescent="0.3">
      <c r="X493">
        <v>148</v>
      </c>
    </row>
    <row r="494" spans="24:24" x14ac:dyDescent="0.3">
      <c r="X494">
        <v>149</v>
      </c>
    </row>
    <row r="495" spans="24:24" x14ac:dyDescent="0.3">
      <c r="X495">
        <v>146</v>
      </c>
    </row>
    <row r="496" spans="24:24" x14ac:dyDescent="0.3">
      <c r="X496">
        <v>160</v>
      </c>
    </row>
    <row r="497" spans="22:24" x14ac:dyDescent="0.3">
      <c r="V497" t="s">
        <v>638</v>
      </c>
      <c r="X497">
        <v>163</v>
      </c>
    </row>
    <row r="498" spans="22:24" x14ac:dyDescent="0.3">
      <c r="X498">
        <v>130</v>
      </c>
    </row>
    <row r="499" spans="22:24" x14ac:dyDescent="0.3">
      <c r="X499">
        <v>129</v>
      </c>
    </row>
    <row r="500" spans="22:24" x14ac:dyDescent="0.3">
      <c r="X500">
        <v>162</v>
      </c>
    </row>
    <row r="501" spans="22:24" x14ac:dyDescent="0.3">
      <c r="X501">
        <v>126</v>
      </c>
    </row>
    <row r="502" spans="22:24" x14ac:dyDescent="0.3">
      <c r="X502">
        <v>132</v>
      </c>
    </row>
    <row r="503" spans="22:24" x14ac:dyDescent="0.3">
      <c r="X503">
        <v>128</v>
      </c>
    </row>
    <row r="504" spans="22:24" x14ac:dyDescent="0.3">
      <c r="X504">
        <v>133</v>
      </c>
    </row>
    <row r="505" spans="22:24" x14ac:dyDescent="0.3">
      <c r="X505">
        <v>121</v>
      </c>
    </row>
    <row r="506" spans="22:24" x14ac:dyDescent="0.3">
      <c r="X506">
        <v>160</v>
      </c>
    </row>
    <row r="507" spans="22:24" x14ac:dyDescent="0.3">
      <c r="X507">
        <v>154</v>
      </c>
    </row>
    <row r="508" spans="22:24" x14ac:dyDescent="0.3">
      <c r="X508">
        <v>154</v>
      </c>
    </row>
    <row r="509" spans="22:24" x14ac:dyDescent="0.3">
      <c r="X509">
        <v>149</v>
      </c>
    </row>
    <row r="510" spans="22:24" x14ac:dyDescent="0.3">
      <c r="X510">
        <v>145</v>
      </c>
    </row>
    <row r="511" spans="22:24" x14ac:dyDescent="0.3">
      <c r="X511">
        <v>133</v>
      </c>
    </row>
    <row r="512" spans="22:24" x14ac:dyDescent="0.3">
      <c r="X512">
        <v>142</v>
      </c>
    </row>
    <row r="513" spans="24:24" x14ac:dyDescent="0.3">
      <c r="X513">
        <v>157</v>
      </c>
    </row>
    <row r="514" spans="24:24" x14ac:dyDescent="0.3">
      <c r="X514">
        <v>127</v>
      </c>
    </row>
    <row r="515" spans="24:24" x14ac:dyDescent="0.3">
      <c r="X515">
        <v>152</v>
      </c>
    </row>
    <row r="516" spans="24:24" x14ac:dyDescent="0.3">
      <c r="X516">
        <v>125</v>
      </c>
    </row>
    <row r="517" spans="24:24" x14ac:dyDescent="0.3">
      <c r="X517">
        <v>122</v>
      </c>
    </row>
    <row r="518" spans="24:24" x14ac:dyDescent="0.3">
      <c r="X518">
        <v>116</v>
      </c>
    </row>
    <row r="519" spans="24:24" x14ac:dyDescent="0.3">
      <c r="X519">
        <v>152</v>
      </c>
    </row>
    <row r="520" spans="24:24" x14ac:dyDescent="0.3">
      <c r="X520">
        <v>140</v>
      </c>
    </row>
    <row r="521" spans="24:24" x14ac:dyDescent="0.3">
      <c r="X521">
        <v>152</v>
      </c>
    </row>
    <row r="522" spans="24:24" x14ac:dyDescent="0.3">
      <c r="X522">
        <v>172</v>
      </c>
    </row>
    <row r="523" spans="24:24" x14ac:dyDescent="0.3">
      <c r="X523">
        <v>142</v>
      </c>
    </row>
    <row r="524" spans="24:24" x14ac:dyDescent="0.3">
      <c r="X524">
        <v>167</v>
      </c>
    </row>
    <row r="525" spans="24:24" x14ac:dyDescent="0.3">
      <c r="X525">
        <v>147</v>
      </c>
    </row>
    <row r="526" spans="24:24" x14ac:dyDescent="0.3">
      <c r="X526">
        <v>159</v>
      </c>
    </row>
    <row r="527" spans="24:24" x14ac:dyDescent="0.3">
      <c r="X527">
        <v>163</v>
      </c>
    </row>
    <row r="528" spans="24:24" x14ac:dyDescent="0.3">
      <c r="X528">
        <v>167</v>
      </c>
    </row>
    <row r="529" spans="22:24" x14ac:dyDescent="0.3">
      <c r="X529">
        <v>166</v>
      </c>
    </row>
    <row r="530" spans="22:24" x14ac:dyDescent="0.3">
      <c r="V530" t="s">
        <v>638</v>
      </c>
      <c r="X530">
        <v>158</v>
      </c>
    </row>
    <row r="531" spans="22:24" x14ac:dyDescent="0.3">
      <c r="X531">
        <v>160</v>
      </c>
    </row>
    <row r="532" spans="22:24" x14ac:dyDescent="0.3">
      <c r="X532">
        <v>148</v>
      </c>
    </row>
    <row r="533" spans="22:24" x14ac:dyDescent="0.3">
      <c r="X533">
        <v>127</v>
      </c>
    </row>
    <row r="534" spans="22:24" x14ac:dyDescent="0.3">
      <c r="X534">
        <v>149</v>
      </c>
    </row>
    <row r="535" spans="22:24" x14ac:dyDescent="0.3">
      <c r="X535">
        <v>125</v>
      </c>
    </row>
    <row r="536" spans="22:24" x14ac:dyDescent="0.3">
      <c r="X536">
        <v>115</v>
      </c>
    </row>
    <row r="537" spans="22:24" x14ac:dyDescent="0.3">
      <c r="X537">
        <v>134</v>
      </c>
    </row>
    <row r="538" spans="22:24" x14ac:dyDescent="0.3">
      <c r="X538">
        <v>113</v>
      </c>
    </row>
    <row r="539" spans="22:24" x14ac:dyDescent="0.3">
      <c r="X539">
        <v>102</v>
      </c>
    </row>
    <row r="540" spans="22:24" x14ac:dyDescent="0.3">
      <c r="X540">
        <v>144</v>
      </c>
    </row>
    <row r="541" spans="22:24" x14ac:dyDescent="0.3">
      <c r="X541">
        <v>128</v>
      </c>
    </row>
    <row r="542" spans="22:24" x14ac:dyDescent="0.3">
      <c r="X542">
        <v>153</v>
      </c>
    </row>
    <row r="543" spans="22:24" x14ac:dyDescent="0.3">
      <c r="X543">
        <v>148</v>
      </c>
    </row>
    <row r="544" spans="22:24" x14ac:dyDescent="0.3">
      <c r="X544">
        <v>148</v>
      </c>
    </row>
    <row r="545" spans="24:24" x14ac:dyDescent="0.3">
      <c r="X545">
        <v>133</v>
      </c>
    </row>
    <row r="546" spans="24:24" x14ac:dyDescent="0.3">
      <c r="X546">
        <v>151</v>
      </c>
    </row>
    <row r="547" spans="24:24" x14ac:dyDescent="0.3">
      <c r="X547">
        <v>138</v>
      </c>
    </row>
    <row r="548" spans="24:24" x14ac:dyDescent="0.3">
      <c r="X548">
        <v>165</v>
      </c>
    </row>
    <row r="549" spans="24:24" x14ac:dyDescent="0.3">
      <c r="X549">
        <v>130</v>
      </c>
    </row>
    <row r="550" spans="24:24" x14ac:dyDescent="0.3">
      <c r="X550">
        <v>152</v>
      </c>
    </row>
    <row r="551" spans="24:24" x14ac:dyDescent="0.3">
      <c r="X551">
        <v>164</v>
      </c>
    </row>
    <row r="552" spans="24:24" x14ac:dyDescent="0.3">
      <c r="X552">
        <v>148</v>
      </c>
    </row>
    <row r="553" spans="24:24" x14ac:dyDescent="0.3">
      <c r="X553">
        <v>159</v>
      </c>
    </row>
    <row r="554" spans="24:24" x14ac:dyDescent="0.3">
      <c r="X554">
        <v>148</v>
      </c>
    </row>
    <row r="555" spans="24:24" x14ac:dyDescent="0.3">
      <c r="X555">
        <v>142</v>
      </c>
    </row>
    <row r="556" spans="24:24" x14ac:dyDescent="0.3">
      <c r="X556">
        <v>149</v>
      </c>
    </row>
    <row r="557" spans="24:24" x14ac:dyDescent="0.3">
      <c r="X557">
        <v>151</v>
      </c>
    </row>
    <row r="558" spans="24:24" x14ac:dyDescent="0.3">
      <c r="X558">
        <v>159</v>
      </c>
    </row>
    <row r="559" spans="24:24" x14ac:dyDescent="0.3">
      <c r="X559">
        <v>127</v>
      </c>
    </row>
    <row r="560" spans="24:24" x14ac:dyDescent="0.3">
      <c r="X560">
        <v>143</v>
      </c>
    </row>
    <row r="561" spans="22:24" x14ac:dyDescent="0.3">
      <c r="X561">
        <v>142</v>
      </c>
    </row>
    <row r="562" spans="22:24" x14ac:dyDescent="0.3">
      <c r="X562">
        <v>127</v>
      </c>
    </row>
    <row r="563" spans="22:24" x14ac:dyDescent="0.3">
      <c r="V563" t="s">
        <v>638</v>
      </c>
      <c r="X563">
        <v>115</v>
      </c>
    </row>
    <row r="564" spans="22:24" x14ac:dyDescent="0.3">
      <c r="X564">
        <v>149</v>
      </c>
    </row>
    <row r="565" spans="22:24" x14ac:dyDescent="0.3">
      <c r="X565">
        <v>154</v>
      </c>
    </row>
    <row r="566" spans="22:24" x14ac:dyDescent="0.3">
      <c r="X566">
        <v>127</v>
      </c>
    </row>
    <row r="567" spans="22:24" x14ac:dyDescent="0.3">
      <c r="X567">
        <v>174</v>
      </c>
    </row>
    <row r="568" spans="22:24" x14ac:dyDescent="0.3">
      <c r="X568">
        <v>159</v>
      </c>
    </row>
    <row r="569" spans="22:24" x14ac:dyDescent="0.3">
      <c r="X569">
        <v>134</v>
      </c>
    </row>
    <row r="570" spans="22:24" x14ac:dyDescent="0.3">
      <c r="X570">
        <v>145</v>
      </c>
    </row>
    <row r="571" spans="22:24" x14ac:dyDescent="0.3">
      <c r="X571">
        <v>144</v>
      </c>
    </row>
    <row r="572" spans="22:24" x14ac:dyDescent="0.3">
      <c r="X572">
        <v>157</v>
      </c>
    </row>
    <row r="573" spans="22:24" x14ac:dyDescent="0.3">
      <c r="X573">
        <v>155</v>
      </c>
    </row>
    <row r="574" spans="22:24" x14ac:dyDescent="0.3">
      <c r="X574">
        <v>134</v>
      </c>
    </row>
    <row r="575" spans="22:24" x14ac:dyDescent="0.3">
      <c r="X575">
        <v>129</v>
      </c>
    </row>
    <row r="576" spans="22:24" x14ac:dyDescent="0.3">
      <c r="X576">
        <v>166</v>
      </c>
    </row>
    <row r="577" spans="24:24" x14ac:dyDescent="0.3">
      <c r="X577">
        <v>160</v>
      </c>
    </row>
    <row r="578" spans="24:24" x14ac:dyDescent="0.3">
      <c r="X578">
        <v>167</v>
      </c>
    </row>
    <row r="579" spans="24:24" x14ac:dyDescent="0.3">
      <c r="X579">
        <v>163</v>
      </c>
    </row>
    <row r="580" spans="24:24" x14ac:dyDescent="0.3">
      <c r="X580">
        <v>150</v>
      </c>
    </row>
    <row r="581" spans="24:24" x14ac:dyDescent="0.3">
      <c r="X581">
        <v>144</v>
      </c>
    </row>
    <row r="582" spans="24:24" x14ac:dyDescent="0.3">
      <c r="X582">
        <v>168</v>
      </c>
    </row>
    <row r="583" spans="24:24" x14ac:dyDescent="0.3">
      <c r="X583">
        <v>146</v>
      </c>
    </row>
    <row r="584" spans="24:24" x14ac:dyDescent="0.3">
      <c r="X584">
        <v>134</v>
      </c>
    </row>
    <row r="585" spans="24:24" x14ac:dyDescent="0.3">
      <c r="X585">
        <v>134</v>
      </c>
    </row>
    <row r="586" spans="24:24" x14ac:dyDescent="0.3">
      <c r="X586">
        <v>134</v>
      </c>
    </row>
    <row r="587" spans="24:24" x14ac:dyDescent="0.3">
      <c r="X587">
        <v>130</v>
      </c>
    </row>
    <row r="588" spans="24:24" x14ac:dyDescent="0.3">
      <c r="X588">
        <v>144</v>
      </c>
    </row>
    <row r="589" spans="24:24" x14ac:dyDescent="0.3">
      <c r="X589">
        <v>163</v>
      </c>
    </row>
    <row r="590" spans="24:24" x14ac:dyDescent="0.3">
      <c r="X590">
        <v>149</v>
      </c>
    </row>
    <row r="591" spans="24:24" x14ac:dyDescent="0.3">
      <c r="X591">
        <v>150</v>
      </c>
    </row>
    <row r="592" spans="24:24" x14ac:dyDescent="0.3">
      <c r="X592">
        <v>162</v>
      </c>
    </row>
    <row r="593" spans="24:24" x14ac:dyDescent="0.3">
      <c r="X593">
        <v>156</v>
      </c>
    </row>
    <row r="594" spans="24:24" x14ac:dyDescent="0.3">
      <c r="X594">
        <v>34</v>
      </c>
    </row>
    <row r="596" spans="24:24" x14ac:dyDescent="0.3">
      <c r="X596">
        <v>83215</v>
      </c>
    </row>
    <row r="597" spans="24:24" x14ac:dyDescent="0.3">
      <c r="X597">
        <f>X596/12800</f>
        <v>6.5011718749999998</v>
      </c>
    </row>
  </sheetData>
  <phoneticPr fontId="1" type="noConversion"/>
  <pageMargins left="0.7" right="0.7" top="0.75" bottom="0.75" header="0.3" footer="0.3"/>
  <pageSetup paperSize="9"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382C-F5F1-45D4-A35F-EA281C4747FC}">
  <dimension ref="A1:W72"/>
  <sheetViews>
    <sheetView topLeftCell="A40" zoomScale="85" zoomScaleNormal="85" workbookViewId="0">
      <selection activeCell="N72" sqref="N72"/>
    </sheetView>
  </sheetViews>
  <sheetFormatPr defaultRowHeight="14" x14ac:dyDescent="0.3"/>
  <cols>
    <col min="4" max="4" width="9.1640625" bestFit="1" customWidth="1"/>
    <col min="6" max="7" width="9.1640625" bestFit="1" customWidth="1"/>
  </cols>
  <sheetData>
    <row r="1" spans="1:18" x14ac:dyDescent="0.3">
      <c r="A1" t="s">
        <v>579</v>
      </c>
    </row>
    <row r="2" spans="1:18" x14ac:dyDescent="0.3">
      <c r="A2" t="s">
        <v>622</v>
      </c>
      <c r="B2">
        <v>100000</v>
      </c>
      <c r="C2">
        <v>50000</v>
      </c>
      <c r="D2">
        <v>10000</v>
      </c>
      <c r="E2">
        <v>8750</v>
      </c>
      <c r="F2">
        <v>7500</v>
      </c>
      <c r="G2">
        <v>6250</v>
      </c>
      <c r="H2">
        <v>5000</v>
      </c>
      <c r="I2">
        <v>3750</v>
      </c>
      <c r="J2">
        <v>2500</v>
      </c>
      <c r="K2">
        <v>1250</v>
      </c>
      <c r="L2">
        <v>1000</v>
      </c>
      <c r="M2">
        <v>500</v>
      </c>
      <c r="N2">
        <v>50</v>
      </c>
    </row>
    <row r="3" spans="1:18" x14ac:dyDescent="0.3">
      <c r="A3" t="s">
        <v>621</v>
      </c>
      <c r="B3">
        <v>200000</v>
      </c>
      <c r="C3">
        <v>100000</v>
      </c>
      <c r="D3">
        <v>20000</v>
      </c>
      <c r="E3">
        <v>17500</v>
      </c>
      <c r="F3">
        <v>15000</v>
      </c>
      <c r="G3">
        <v>12500</v>
      </c>
      <c r="H3">
        <v>10000</v>
      </c>
      <c r="I3">
        <v>8000</v>
      </c>
      <c r="J3">
        <v>6000</v>
      </c>
      <c r="K3">
        <v>4000</v>
      </c>
      <c r="L3">
        <v>2000</v>
      </c>
      <c r="M3">
        <v>1000</v>
      </c>
      <c r="N3">
        <v>100</v>
      </c>
    </row>
    <row r="4" spans="1:18" x14ac:dyDescent="0.3">
      <c r="A4" t="s">
        <v>627</v>
      </c>
      <c r="B4">
        <f>1000000/B3</f>
        <v>5</v>
      </c>
      <c r="C4">
        <f t="shared" ref="C4:N4" si="0">1000000/C3</f>
        <v>10</v>
      </c>
      <c r="D4">
        <f t="shared" si="0"/>
        <v>50</v>
      </c>
      <c r="E4">
        <f t="shared" si="0"/>
        <v>57.142857142857146</v>
      </c>
      <c r="F4">
        <f t="shared" si="0"/>
        <v>66.666666666666671</v>
      </c>
      <c r="G4">
        <f t="shared" si="0"/>
        <v>80</v>
      </c>
      <c r="H4">
        <f t="shared" si="0"/>
        <v>100</v>
      </c>
      <c r="I4">
        <f t="shared" si="0"/>
        <v>125</v>
      </c>
      <c r="J4">
        <f t="shared" si="0"/>
        <v>166.66666666666666</v>
      </c>
      <c r="K4">
        <f t="shared" si="0"/>
        <v>250</v>
      </c>
      <c r="L4">
        <f t="shared" si="0"/>
        <v>500</v>
      </c>
      <c r="M4">
        <f t="shared" si="0"/>
        <v>1000</v>
      </c>
      <c r="N4">
        <f t="shared" si="0"/>
        <v>10000</v>
      </c>
      <c r="R4" t="s">
        <v>335</v>
      </c>
    </row>
    <row r="5" spans="1:18" x14ac:dyDescent="0.3">
      <c r="A5" t="s">
        <v>632</v>
      </c>
      <c r="B5">
        <v>5.16</v>
      </c>
      <c r="C5">
        <v>4.6429999999999998</v>
      </c>
      <c r="D5">
        <v>5.1260000000000003</v>
      </c>
      <c r="E5">
        <v>5.0750000000000002</v>
      </c>
      <c r="F5">
        <v>5.3550000000000004</v>
      </c>
      <c r="G5">
        <v>5.6289999999999996</v>
      </c>
      <c r="H5">
        <v>5.8280000000000003</v>
      </c>
      <c r="I5">
        <v>6.6459999999999999</v>
      </c>
      <c r="J5">
        <v>8.8559999999999999</v>
      </c>
      <c r="K5">
        <v>17.512</v>
      </c>
      <c r="L5">
        <v>24.704999999999998</v>
      </c>
      <c r="M5">
        <v>101.288</v>
      </c>
      <c r="N5">
        <v>47566.178999999996</v>
      </c>
    </row>
    <row r="6" spans="1:18" x14ac:dyDescent="0.3">
      <c r="B6">
        <f>B5/1000</f>
        <v>5.1600000000000005E-3</v>
      </c>
      <c r="C6">
        <f t="shared" ref="C6:M6" si="1">C5/1000</f>
        <v>4.6429999999999996E-3</v>
      </c>
      <c r="D6">
        <f t="shared" si="1"/>
        <v>5.1260000000000003E-3</v>
      </c>
      <c r="E6">
        <f t="shared" si="1"/>
        <v>5.0750000000000005E-3</v>
      </c>
      <c r="F6">
        <f t="shared" si="1"/>
        <v>5.3550000000000004E-3</v>
      </c>
      <c r="G6">
        <f t="shared" si="1"/>
        <v>5.6289999999999995E-3</v>
      </c>
      <c r="H6">
        <f t="shared" si="1"/>
        <v>5.8280000000000007E-3</v>
      </c>
      <c r="I6">
        <f t="shared" si="1"/>
        <v>6.646E-3</v>
      </c>
      <c r="J6">
        <f t="shared" si="1"/>
        <v>8.8559999999999993E-3</v>
      </c>
      <c r="K6">
        <f t="shared" si="1"/>
        <v>1.7512E-2</v>
      </c>
      <c r="L6">
        <f t="shared" si="1"/>
        <v>2.4704999999999998E-2</v>
      </c>
      <c r="M6">
        <f t="shared" si="1"/>
        <v>0.101288</v>
      </c>
      <c r="N6">
        <f>N5/1000</f>
        <v>47.566178999999998</v>
      </c>
    </row>
    <row r="7" spans="1:18" x14ac:dyDescent="0.3">
      <c r="A7" t="s">
        <v>428</v>
      </c>
    </row>
    <row r="8" spans="1:18" x14ac:dyDescent="0.3">
      <c r="A8" t="s">
        <v>622</v>
      </c>
      <c r="B8">
        <v>100000</v>
      </c>
      <c r="C8">
        <v>55000</v>
      </c>
      <c r="D8">
        <v>10000</v>
      </c>
      <c r="E8">
        <v>8750</v>
      </c>
      <c r="F8">
        <v>7500</v>
      </c>
      <c r="G8">
        <v>6250</v>
      </c>
      <c r="H8">
        <v>5500</v>
      </c>
      <c r="I8">
        <v>3750</v>
      </c>
      <c r="J8">
        <v>2500</v>
      </c>
      <c r="K8">
        <v>1250</v>
      </c>
      <c r="L8">
        <v>1000</v>
      </c>
      <c r="M8">
        <v>500</v>
      </c>
      <c r="N8">
        <v>50</v>
      </c>
    </row>
    <row r="9" spans="1:18" x14ac:dyDescent="0.3">
      <c r="A9" t="s">
        <v>621</v>
      </c>
      <c r="B9">
        <v>200000</v>
      </c>
      <c r="C9">
        <v>100000</v>
      </c>
      <c r="D9">
        <v>20000</v>
      </c>
      <c r="E9">
        <v>17500</v>
      </c>
      <c r="F9">
        <v>15000</v>
      </c>
      <c r="G9">
        <v>12500</v>
      </c>
      <c r="H9">
        <v>10000</v>
      </c>
      <c r="I9">
        <v>8000</v>
      </c>
      <c r="J9">
        <v>6000</v>
      </c>
      <c r="K9">
        <v>4000</v>
      </c>
      <c r="L9">
        <v>2000</v>
      </c>
      <c r="M9">
        <v>1000</v>
      </c>
      <c r="N9">
        <v>100</v>
      </c>
    </row>
    <row r="10" spans="1:18" x14ac:dyDescent="0.3">
      <c r="A10" t="s">
        <v>627</v>
      </c>
      <c r="B10">
        <f>1000000/B9</f>
        <v>5</v>
      </c>
      <c r="C10">
        <f t="shared" ref="C10" si="2">1000000/C9</f>
        <v>10</v>
      </c>
      <c r="D10">
        <f t="shared" ref="D10" si="3">1000000/D9</f>
        <v>50</v>
      </c>
      <c r="E10">
        <f t="shared" ref="E10" si="4">1000000/E9</f>
        <v>57.142857142857146</v>
      </c>
      <c r="F10">
        <f t="shared" ref="F10" si="5">1000000/F9</f>
        <v>66.666666666666671</v>
      </c>
      <c r="G10">
        <f t="shared" ref="G10" si="6">1000000/G9</f>
        <v>80</v>
      </c>
      <c r="H10">
        <f t="shared" ref="H10" si="7">1000000/H9</f>
        <v>100</v>
      </c>
      <c r="I10">
        <f t="shared" ref="I10" si="8">1000000/I9</f>
        <v>125</v>
      </c>
      <c r="J10">
        <f t="shared" ref="J10" si="9">1000000/J9</f>
        <v>166.66666666666666</v>
      </c>
      <c r="K10">
        <f t="shared" ref="K10" si="10">1000000/K9</f>
        <v>250</v>
      </c>
      <c r="L10">
        <f t="shared" ref="L10" si="11">1000000/L9</f>
        <v>500</v>
      </c>
      <c r="M10">
        <f t="shared" ref="M10" si="12">1000000/M9</f>
        <v>1000</v>
      </c>
      <c r="N10">
        <f t="shared" ref="N10" si="13">1000000/N9</f>
        <v>10000</v>
      </c>
    </row>
    <row r="11" spans="1:18" x14ac:dyDescent="0.3">
      <c r="A11" t="s">
        <v>630</v>
      </c>
      <c r="B11">
        <v>4.319</v>
      </c>
      <c r="C11">
        <v>4.87</v>
      </c>
      <c r="D11">
        <v>5.9089999999999998</v>
      </c>
      <c r="E11">
        <v>5.3920000000000003</v>
      </c>
      <c r="F11">
        <v>5.7590000000000003</v>
      </c>
      <c r="G11">
        <v>13.99</v>
      </c>
      <c r="H11">
        <v>15.016999999999999</v>
      </c>
      <c r="I11">
        <v>40.054000000000002</v>
      </c>
      <c r="J11">
        <v>60</v>
      </c>
      <c r="K11">
        <v>81.712999999999994</v>
      </c>
      <c r="L11">
        <v>851928.11499999999</v>
      </c>
      <c r="M11">
        <v>1262327.405</v>
      </c>
      <c r="N11">
        <v>1702438.825</v>
      </c>
    </row>
    <row r="12" spans="1:18" x14ac:dyDescent="0.3">
      <c r="A12" t="s">
        <v>623</v>
      </c>
    </row>
    <row r="13" spans="1:18" x14ac:dyDescent="0.3">
      <c r="A13" t="s">
        <v>622</v>
      </c>
      <c r="B13">
        <v>100000</v>
      </c>
      <c r="C13">
        <v>55000</v>
      </c>
      <c r="D13">
        <v>10000</v>
      </c>
      <c r="E13">
        <v>8750</v>
      </c>
      <c r="F13">
        <v>7500</v>
      </c>
      <c r="G13">
        <v>6250</v>
      </c>
      <c r="H13">
        <v>5000</v>
      </c>
      <c r="I13">
        <v>3750</v>
      </c>
      <c r="J13">
        <v>2500</v>
      </c>
      <c r="K13">
        <v>1250</v>
      </c>
      <c r="L13">
        <v>1000</v>
      </c>
      <c r="M13">
        <v>500</v>
      </c>
      <c r="N13">
        <v>50</v>
      </c>
    </row>
    <row r="14" spans="1:18" x14ac:dyDescent="0.3">
      <c r="A14" t="s">
        <v>621</v>
      </c>
      <c r="B14">
        <v>200000</v>
      </c>
      <c r="C14">
        <v>100000</v>
      </c>
      <c r="D14">
        <v>20000</v>
      </c>
      <c r="E14">
        <v>17500</v>
      </c>
      <c r="F14">
        <v>15000</v>
      </c>
      <c r="G14">
        <v>12500</v>
      </c>
      <c r="H14">
        <v>10000</v>
      </c>
      <c r="I14">
        <v>8000</v>
      </c>
      <c r="J14">
        <v>6000</v>
      </c>
      <c r="K14">
        <v>4000</v>
      </c>
      <c r="L14">
        <v>2000</v>
      </c>
      <c r="M14">
        <v>1000</v>
      </c>
      <c r="N14">
        <v>100</v>
      </c>
    </row>
    <row r="15" spans="1:18" x14ac:dyDescent="0.3">
      <c r="A15" t="s">
        <v>627</v>
      </c>
      <c r="B15">
        <f>1000000/B14</f>
        <v>5</v>
      </c>
      <c r="C15">
        <f t="shared" ref="C15" si="14">1000000/C14</f>
        <v>10</v>
      </c>
      <c r="D15">
        <f t="shared" ref="D15" si="15">1000000/D14</f>
        <v>50</v>
      </c>
      <c r="E15">
        <f t="shared" ref="E15" si="16">1000000/E14</f>
        <v>57.142857142857146</v>
      </c>
      <c r="F15">
        <f t="shared" ref="F15" si="17">1000000/F14</f>
        <v>66.666666666666671</v>
      </c>
      <c r="G15">
        <f t="shared" ref="G15" si="18">1000000/G14</f>
        <v>80</v>
      </c>
      <c r="H15">
        <f t="shared" ref="H15" si="19">1000000/H14</f>
        <v>100</v>
      </c>
      <c r="I15">
        <f t="shared" ref="I15" si="20">1000000/I14</f>
        <v>125</v>
      </c>
      <c r="J15">
        <f t="shared" ref="J15" si="21">1000000/J14</f>
        <v>166.66666666666666</v>
      </c>
      <c r="K15">
        <f t="shared" ref="K15" si="22">1000000/K14</f>
        <v>250</v>
      </c>
      <c r="L15">
        <f t="shared" ref="L15" si="23">1000000/L14</f>
        <v>500</v>
      </c>
      <c r="M15">
        <f t="shared" ref="M15" si="24">1000000/M14</f>
        <v>1000</v>
      </c>
      <c r="N15">
        <f t="shared" ref="N15" si="25">1000000/N14</f>
        <v>10000</v>
      </c>
      <c r="P15" t="s">
        <v>628</v>
      </c>
    </row>
    <row r="16" spans="1:18" x14ac:dyDescent="0.3">
      <c r="A16" t="s">
        <v>631</v>
      </c>
      <c r="B16">
        <v>4.5640000000000001</v>
      </c>
      <c r="C16">
        <v>4.944</v>
      </c>
      <c r="D16">
        <v>4.9690000000000003</v>
      </c>
      <c r="E16">
        <v>4.7130000000000001</v>
      </c>
      <c r="F16">
        <v>4.508</v>
      </c>
      <c r="G16">
        <v>6.327</v>
      </c>
      <c r="H16">
        <v>7.4379999999999997</v>
      </c>
      <c r="I16">
        <v>13.859</v>
      </c>
      <c r="J16">
        <v>35.031999999999996</v>
      </c>
      <c r="K16">
        <v>180.261</v>
      </c>
      <c r="L16">
        <v>544.423</v>
      </c>
      <c r="M16">
        <v>309604.48300000001</v>
      </c>
      <c r="N16">
        <v>695928.56900000002</v>
      </c>
    </row>
    <row r="17" spans="1:13" ht="14" customHeight="1" x14ac:dyDescent="0.3">
      <c r="E17" s="35" t="s">
        <v>629</v>
      </c>
      <c r="F17" s="35"/>
      <c r="G17" s="35"/>
      <c r="H17" s="30" t="s">
        <v>624</v>
      </c>
      <c r="I17" s="24"/>
      <c r="J17" s="24"/>
      <c r="K17" s="24"/>
      <c r="L17" s="30" t="s">
        <v>625</v>
      </c>
      <c r="M17" s="30" t="s">
        <v>626</v>
      </c>
    </row>
    <row r="18" spans="1:13" x14ac:dyDescent="0.3">
      <c r="E18" s="35"/>
      <c r="F18" s="35"/>
      <c r="G18" s="35"/>
      <c r="H18" s="30"/>
      <c r="I18" s="24"/>
      <c r="J18" s="24"/>
      <c r="K18" s="24"/>
      <c r="L18" s="31"/>
      <c r="M18" s="30"/>
    </row>
    <row r="19" spans="1:13" x14ac:dyDescent="0.3">
      <c r="E19" s="35"/>
      <c r="F19" s="35"/>
      <c r="G19" s="35"/>
      <c r="H19" s="30"/>
      <c r="I19" s="24"/>
      <c r="J19" s="24"/>
      <c r="K19" s="24"/>
      <c r="L19" s="31"/>
      <c r="M19" s="30"/>
    </row>
    <row r="20" spans="1:13" x14ac:dyDescent="0.3">
      <c r="H20" s="30"/>
      <c r="I20" s="24"/>
      <c r="J20" s="24"/>
      <c r="K20" s="24"/>
      <c r="L20" s="31"/>
      <c r="M20" s="30"/>
    </row>
    <row r="21" spans="1:13" x14ac:dyDescent="0.3">
      <c r="H21" s="30"/>
      <c r="I21" s="24"/>
      <c r="J21" s="24"/>
      <c r="K21" s="24"/>
      <c r="L21" s="31"/>
      <c r="M21" s="30"/>
    </row>
    <row r="22" spans="1:13" x14ac:dyDescent="0.3">
      <c r="H22" s="30"/>
      <c r="I22" s="24"/>
      <c r="J22" s="24"/>
      <c r="K22" s="24"/>
      <c r="L22" s="31"/>
      <c r="M22" s="30"/>
    </row>
    <row r="23" spans="1:13" x14ac:dyDescent="0.3">
      <c r="H23" s="30"/>
      <c r="I23" s="24"/>
      <c r="J23" s="24"/>
      <c r="K23" s="24"/>
      <c r="L23" s="31"/>
      <c r="M23" s="30"/>
    </row>
    <row r="24" spans="1:13" x14ac:dyDescent="0.3">
      <c r="M24" s="30"/>
    </row>
    <row r="25" spans="1:13" x14ac:dyDescent="0.3">
      <c r="M25" s="30"/>
    </row>
    <row r="28" spans="1:13" x14ac:dyDescent="0.3">
      <c r="A28" t="s">
        <v>622</v>
      </c>
      <c r="B28">
        <v>100000</v>
      </c>
      <c r="C28">
        <v>50000</v>
      </c>
      <c r="D28">
        <v>10000</v>
      </c>
      <c r="E28">
        <v>7500</v>
      </c>
      <c r="F28">
        <v>5000</v>
      </c>
      <c r="G28">
        <v>2500</v>
      </c>
      <c r="H28">
        <v>1000</v>
      </c>
      <c r="I28">
        <v>500</v>
      </c>
      <c r="J28">
        <v>100</v>
      </c>
      <c r="K28">
        <v>50</v>
      </c>
    </row>
    <row r="29" spans="1:13" x14ac:dyDescent="0.3">
      <c r="A29" t="s">
        <v>621</v>
      </c>
      <c r="B29">
        <v>200000</v>
      </c>
      <c r="C29">
        <v>100000</v>
      </c>
      <c r="D29">
        <v>20000</v>
      </c>
      <c r="E29">
        <v>15000</v>
      </c>
      <c r="F29">
        <v>10000</v>
      </c>
      <c r="G29">
        <v>5000</v>
      </c>
      <c r="H29">
        <v>2000</v>
      </c>
      <c r="I29">
        <v>1000</v>
      </c>
      <c r="J29">
        <v>250</v>
      </c>
      <c r="K29">
        <v>100</v>
      </c>
    </row>
    <row r="30" spans="1:13" x14ac:dyDescent="0.3">
      <c r="A30" t="s">
        <v>627</v>
      </c>
      <c r="B30">
        <f>1000000/B29</f>
        <v>5</v>
      </c>
      <c r="C30">
        <f t="shared" ref="C30" si="26">1000000/C29</f>
        <v>10</v>
      </c>
      <c r="D30">
        <f t="shared" ref="D30" si="27">1000000/D29</f>
        <v>50</v>
      </c>
      <c r="E30">
        <f t="shared" ref="E30" si="28">1000000/E29</f>
        <v>66.666666666666671</v>
      </c>
      <c r="F30">
        <f t="shared" ref="F30" si="29">1000000/F29</f>
        <v>100</v>
      </c>
      <c r="G30">
        <f t="shared" ref="G30" si="30">1000000/G29</f>
        <v>200</v>
      </c>
      <c r="H30">
        <f t="shared" ref="H30" si="31">1000000/H29</f>
        <v>500</v>
      </c>
      <c r="I30">
        <f t="shared" ref="I30:J30" si="32">1000000/I29</f>
        <v>1000</v>
      </c>
      <c r="J30">
        <f t="shared" si="32"/>
        <v>4000</v>
      </c>
      <c r="K30">
        <f t="shared" ref="K30" si="33">1000000/K29</f>
        <v>10000</v>
      </c>
    </row>
    <row r="31" spans="1:13" x14ac:dyDescent="0.3">
      <c r="A31" t="s">
        <v>632</v>
      </c>
      <c r="B31">
        <v>4.0199999999999996</v>
      </c>
      <c r="C31">
        <v>3.8380000000000001</v>
      </c>
      <c r="D31">
        <v>13.798</v>
      </c>
      <c r="E31">
        <v>13.811999999999999</v>
      </c>
      <c r="F31">
        <v>25.677</v>
      </c>
      <c r="G31">
        <v>53.134999999999998</v>
      </c>
      <c r="H31">
        <v>116.953</v>
      </c>
      <c r="I31">
        <v>229.93</v>
      </c>
      <c r="J31">
        <v>872.44100000000003</v>
      </c>
      <c r="K31">
        <v>6270.1030000000001</v>
      </c>
    </row>
    <row r="32" spans="1:13" x14ac:dyDescent="0.3">
      <c r="B32">
        <f>B31/1000</f>
        <v>4.0199999999999993E-3</v>
      </c>
      <c r="C32">
        <f t="shared" ref="C32:K32" si="34">C31/1000</f>
        <v>3.8380000000000003E-3</v>
      </c>
      <c r="D32">
        <f t="shared" si="34"/>
        <v>1.3798E-2</v>
      </c>
      <c r="E32">
        <f t="shared" si="34"/>
        <v>1.3812E-2</v>
      </c>
      <c r="F32">
        <f t="shared" si="34"/>
        <v>2.5676999999999998E-2</v>
      </c>
      <c r="G32">
        <f t="shared" si="34"/>
        <v>5.3134999999999995E-2</v>
      </c>
      <c r="H32">
        <f t="shared" si="34"/>
        <v>0.116953</v>
      </c>
      <c r="I32">
        <f t="shared" si="34"/>
        <v>0.22993</v>
      </c>
      <c r="J32">
        <f t="shared" si="34"/>
        <v>0.87244100000000002</v>
      </c>
      <c r="K32">
        <f t="shared" si="34"/>
        <v>6.2701029999999998</v>
      </c>
    </row>
    <row r="34" spans="1:11" x14ac:dyDescent="0.3">
      <c r="A34" t="s">
        <v>622</v>
      </c>
      <c r="B34">
        <v>100000</v>
      </c>
      <c r="C34">
        <v>55000</v>
      </c>
      <c r="D34">
        <v>10000</v>
      </c>
      <c r="E34">
        <v>7500</v>
      </c>
      <c r="F34">
        <v>5500</v>
      </c>
      <c r="G34">
        <v>2500</v>
      </c>
      <c r="H34">
        <v>1000</v>
      </c>
      <c r="I34">
        <v>500</v>
      </c>
      <c r="K34">
        <v>50</v>
      </c>
    </row>
    <row r="35" spans="1:11" x14ac:dyDescent="0.3">
      <c r="A35" t="s">
        <v>621</v>
      </c>
      <c r="B35">
        <v>200000</v>
      </c>
      <c r="C35">
        <v>100000</v>
      </c>
      <c r="D35">
        <v>20000</v>
      </c>
      <c r="E35">
        <v>15000</v>
      </c>
      <c r="F35">
        <v>10000</v>
      </c>
      <c r="G35">
        <v>5000</v>
      </c>
      <c r="H35">
        <v>2000</v>
      </c>
      <c r="I35">
        <v>1000</v>
      </c>
      <c r="J35">
        <v>250</v>
      </c>
      <c r="K35">
        <v>100</v>
      </c>
    </row>
    <row r="36" spans="1:11" x14ac:dyDescent="0.3">
      <c r="A36" t="s">
        <v>627</v>
      </c>
      <c r="B36">
        <f>1000000/B35</f>
        <v>5</v>
      </c>
      <c r="C36">
        <f t="shared" ref="C36" si="35">1000000/C35</f>
        <v>10</v>
      </c>
      <c r="D36">
        <f t="shared" ref="D36" si="36">1000000/D35</f>
        <v>50</v>
      </c>
      <c r="E36">
        <f t="shared" ref="E36" si="37">1000000/E35</f>
        <v>66.666666666666671</v>
      </c>
      <c r="F36">
        <f t="shared" ref="F36" si="38">1000000/F35</f>
        <v>100</v>
      </c>
      <c r="G36">
        <f t="shared" ref="G36" si="39">1000000/G35</f>
        <v>200</v>
      </c>
      <c r="H36">
        <f t="shared" ref="H36" si="40">1000000/H35</f>
        <v>500</v>
      </c>
      <c r="I36">
        <f t="shared" ref="I36:J36" si="41">1000000/I35</f>
        <v>1000</v>
      </c>
      <c r="J36">
        <f t="shared" si="41"/>
        <v>4000</v>
      </c>
      <c r="K36">
        <f t="shared" ref="K36" si="42">1000000/K35</f>
        <v>10000</v>
      </c>
    </row>
    <row r="37" spans="1:11" x14ac:dyDescent="0.3">
      <c r="A37" t="s">
        <v>630</v>
      </c>
      <c r="B37">
        <v>3.5539999999999998</v>
      </c>
      <c r="C37">
        <v>3.54</v>
      </c>
      <c r="D37">
        <v>3.54</v>
      </c>
      <c r="E37">
        <v>3.54</v>
      </c>
      <c r="F37">
        <v>3.802</v>
      </c>
      <c r="G37">
        <v>4.4909999999999997</v>
      </c>
      <c r="H37">
        <v>470346.88500000001</v>
      </c>
      <c r="I37">
        <v>845600.59100000001</v>
      </c>
      <c r="J37">
        <v>1084037.8089999999</v>
      </c>
      <c r="K37">
        <v>1283736.2139999999</v>
      </c>
    </row>
    <row r="39" spans="1:11" x14ac:dyDescent="0.3">
      <c r="A39" t="s">
        <v>622</v>
      </c>
      <c r="B39">
        <v>100000</v>
      </c>
      <c r="C39">
        <v>55000</v>
      </c>
      <c r="D39">
        <v>10000</v>
      </c>
      <c r="E39">
        <v>7500</v>
      </c>
      <c r="F39">
        <v>5000</v>
      </c>
      <c r="G39">
        <v>2500</v>
      </c>
      <c r="H39">
        <v>1000</v>
      </c>
      <c r="I39">
        <v>500</v>
      </c>
      <c r="K39">
        <v>50</v>
      </c>
    </row>
    <row r="40" spans="1:11" x14ac:dyDescent="0.3">
      <c r="A40" t="s">
        <v>621</v>
      </c>
      <c r="B40">
        <v>200000</v>
      </c>
      <c r="C40">
        <v>100000</v>
      </c>
      <c r="D40">
        <v>20000</v>
      </c>
      <c r="E40">
        <v>15000</v>
      </c>
      <c r="F40">
        <v>10000</v>
      </c>
      <c r="G40">
        <v>5000</v>
      </c>
      <c r="H40">
        <v>2000</v>
      </c>
      <c r="I40">
        <v>1000</v>
      </c>
      <c r="J40">
        <v>250</v>
      </c>
      <c r="K40">
        <v>100</v>
      </c>
    </row>
    <row r="41" spans="1:11" x14ac:dyDescent="0.3">
      <c r="A41" t="s">
        <v>627</v>
      </c>
      <c r="B41">
        <f>1000000/B40</f>
        <v>5</v>
      </c>
      <c r="C41">
        <f t="shared" ref="C41" si="43">1000000/C40</f>
        <v>10</v>
      </c>
      <c r="D41">
        <f t="shared" ref="D41" si="44">1000000/D40</f>
        <v>50</v>
      </c>
      <c r="E41">
        <f t="shared" ref="E41" si="45">1000000/E40</f>
        <v>66.666666666666671</v>
      </c>
      <c r="F41">
        <f t="shared" ref="F41" si="46">1000000/F40</f>
        <v>100</v>
      </c>
      <c r="G41">
        <f t="shared" ref="G41" si="47">1000000/G40</f>
        <v>200</v>
      </c>
      <c r="H41">
        <f t="shared" ref="H41" si="48">1000000/H40</f>
        <v>500</v>
      </c>
      <c r="I41">
        <f t="shared" ref="I41:J41" si="49">1000000/I40</f>
        <v>1000</v>
      </c>
      <c r="J41">
        <f t="shared" si="49"/>
        <v>4000</v>
      </c>
      <c r="K41">
        <f t="shared" ref="K41" si="50">1000000/K40</f>
        <v>10000</v>
      </c>
    </row>
    <row r="42" spans="1:11" x14ac:dyDescent="0.3">
      <c r="A42" t="s">
        <v>631</v>
      </c>
      <c r="B42">
        <v>3.335</v>
      </c>
      <c r="C42">
        <v>3.32</v>
      </c>
      <c r="D42">
        <v>3.32</v>
      </c>
      <c r="E42">
        <v>3.423</v>
      </c>
      <c r="F42">
        <v>3.431</v>
      </c>
      <c r="G42">
        <v>4.1970000000000001</v>
      </c>
      <c r="H42">
        <v>11.749000000000001</v>
      </c>
      <c r="I42">
        <v>50.924999999999997</v>
      </c>
      <c r="J42">
        <v>157080.02600000001</v>
      </c>
      <c r="K42">
        <v>235452.46</v>
      </c>
    </row>
    <row r="49" spans="1:23" x14ac:dyDescent="0.3">
      <c r="F49" t="s">
        <v>655</v>
      </c>
    </row>
    <row r="50" spans="1:23" x14ac:dyDescent="0.3">
      <c r="A50" t="s">
        <v>652</v>
      </c>
      <c r="B50">
        <f>1000000/B52</f>
        <v>50</v>
      </c>
      <c r="C50">
        <f>1000000/C52</f>
        <v>100</v>
      </c>
      <c r="D50">
        <v>120</v>
      </c>
      <c r="E50">
        <v>140</v>
      </c>
      <c r="F50">
        <v>160</v>
      </c>
      <c r="G50">
        <v>180</v>
      </c>
      <c r="H50">
        <v>200</v>
      </c>
      <c r="I50">
        <v>250</v>
      </c>
      <c r="J50">
        <v>300</v>
      </c>
      <c r="K50">
        <v>400</v>
      </c>
      <c r="L50">
        <v>500</v>
      </c>
    </row>
    <row r="51" spans="1:23" x14ac:dyDescent="0.3">
      <c r="A51" t="s">
        <v>656</v>
      </c>
      <c r="B51">
        <v>10500</v>
      </c>
      <c r="C51">
        <v>5000</v>
      </c>
      <c r="D51">
        <f>D52/2</f>
        <v>4166.666666666667</v>
      </c>
      <c r="E51">
        <f t="shared" ref="E51:G51" si="51">E52/2</f>
        <v>3571.4285714285716</v>
      </c>
      <c r="F51">
        <f t="shared" si="51"/>
        <v>3125</v>
      </c>
      <c r="G51">
        <f t="shared" si="51"/>
        <v>2777.7777777777778</v>
      </c>
      <c r="H51">
        <f>H52/2</f>
        <v>2500</v>
      </c>
      <c r="I51">
        <f>I52/2</f>
        <v>2000</v>
      </c>
      <c r="J51">
        <f t="shared" ref="J51:L51" si="52">J52/2</f>
        <v>1666.6666666666667</v>
      </c>
      <c r="K51">
        <f t="shared" si="52"/>
        <v>1250</v>
      </c>
      <c r="L51">
        <f t="shared" si="52"/>
        <v>1000</v>
      </c>
    </row>
    <row r="52" spans="1:23" x14ac:dyDescent="0.3">
      <c r="A52" t="s">
        <v>650</v>
      </c>
      <c r="B52">
        <v>20000</v>
      </c>
      <c r="C52">
        <v>10000</v>
      </c>
      <c r="D52">
        <f>1000000/D50</f>
        <v>8333.3333333333339</v>
      </c>
      <c r="E52">
        <f t="shared" ref="E52:I52" si="53">1000000/E50</f>
        <v>7142.8571428571431</v>
      </c>
      <c r="F52">
        <f t="shared" si="53"/>
        <v>6250</v>
      </c>
      <c r="G52">
        <f t="shared" si="53"/>
        <v>5555.5555555555557</v>
      </c>
      <c r="H52">
        <f t="shared" si="53"/>
        <v>5000</v>
      </c>
      <c r="I52">
        <f t="shared" si="53"/>
        <v>4000</v>
      </c>
      <c r="J52">
        <f>1000000/J50</f>
        <v>3333.3333333333335</v>
      </c>
      <c r="K52">
        <f>1000000/K50</f>
        <v>2500</v>
      </c>
      <c r="L52">
        <f>1000000/L50</f>
        <v>2000</v>
      </c>
    </row>
    <row r="53" spans="1:23" x14ac:dyDescent="0.3">
      <c r="A53">
        <v>0</v>
      </c>
      <c r="B53">
        <v>2677</v>
      </c>
      <c r="C53">
        <v>2792</v>
      </c>
      <c r="D53">
        <v>2693</v>
      </c>
      <c r="E53">
        <v>2841</v>
      </c>
      <c r="F53">
        <v>2931</v>
      </c>
      <c r="G53">
        <v>3095</v>
      </c>
      <c r="H53">
        <v>2835</v>
      </c>
      <c r="I53">
        <v>2979</v>
      </c>
    </row>
    <row r="54" spans="1:23" x14ac:dyDescent="0.3">
      <c r="A54">
        <v>50</v>
      </c>
      <c r="B54">
        <v>4218</v>
      </c>
      <c r="C54">
        <v>4034</v>
      </c>
      <c r="D54">
        <v>4008</v>
      </c>
      <c r="E54">
        <v>4239</v>
      </c>
      <c r="F54">
        <v>4040</v>
      </c>
      <c r="G54">
        <v>4410</v>
      </c>
      <c r="H54">
        <v>4353</v>
      </c>
      <c r="I54">
        <v>4872</v>
      </c>
      <c r="J54">
        <v>261338773</v>
      </c>
      <c r="K54">
        <v>261338773</v>
      </c>
      <c r="L54">
        <v>261338773</v>
      </c>
    </row>
    <row r="55" spans="1:23" x14ac:dyDescent="0.3">
      <c r="A55">
        <v>90</v>
      </c>
      <c r="B55">
        <v>5483</v>
      </c>
      <c r="C55">
        <v>5078</v>
      </c>
      <c r="D55">
        <v>5143</v>
      </c>
      <c r="E55">
        <v>6013</v>
      </c>
      <c r="F55">
        <v>5620</v>
      </c>
      <c r="G55">
        <v>6639</v>
      </c>
      <c r="H55">
        <v>7755</v>
      </c>
      <c r="I55">
        <v>8607503</v>
      </c>
      <c r="J55">
        <v>473184434</v>
      </c>
      <c r="K55">
        <v>473184434</v>
      </c>
      <c r="L55">
        <v>473184434</v>
      </c>
    </row>
    <row r="56" spans="1:23" x14ac:dyDescent="0.3">
      <c r="A56">
        <v>99</v>
      </c>
      <c r="B56">
        <v>8788</v>
      </c>
      <c r="C56">
        <v>14081</v>
      </c>
      <c r="D56">
        <v>152023</v>
      </c>
      <c r="E56">
        <v>3687367</v>
      </c>
      <c r="F56">
        <v>4657486</v>
      </c>
      <c r="G56">
        <v>8678071</v>
      </c>
      <c r="H56">
        <v>6099417</v>
      </c>
      <c r="I56">
        <v>17132609</v>
      </c>
      <c r="J56">
        <v>476273611</v>
      </c>
      <c r="K56">
        <v>476273611</v>
      </c>
      <c r="L56">
        <v>476273611</v>
      </c>
    </row>
    <row r="57" spans="1:23" x14ac:dyDescent="0.3">
      <c r="A57">
        <v>999</v>
      </c>
      <c r="B57">
        <v>309715</v>
      </c>
      <c r="C57">
        <v>3853609</v>
      </c>
      <c r="D57">
        <v>5228364</v>
      </c>
      <c r="E57">
        <v>8381203</v>
      </c>
      <c r="F57">
        <v>11396325</v>
      </c>
      <c r="G57">
        <v>12107916</v>
      </c>
      <c r="H57">
        <v>12811316</v>
      </c>
      <c r="I57">
        <v>22669528</v>
      </c>
      <c r="J57">
        <v>476273611</v>
      </c>
      <c r="K57">
        <v>476273611</v>
      </c>
      <c r="L57">
        <v>476273611</v>
      </c>
    </row>
    <row r="58" spans="1:23" x14ac:dyDescent="0.3">
      <c r="A58">
        <v>9999</v>
      </c>
      <c r="B58">
        <v>1254484</v>
      </c>
      <c r="C58">
        <v>4648750</v>
      </c>
      <c r="D58">
        <v>5381274</v>
      </c>
      <c r="E58">
        <v>9119047</v>
      </c>
      <c r="F58">
        <v>11492942</v>
      </c>
      <c r="G58">
        <v>12154710</v>
      </c>
    </row>
    <row r="59" spans="1:23" x14ac:dyDescent="0.3">
      <c r="A59" t="s">
        <v>651</v>
      </c>
      <c r="B59">
        <v>5349</v>
      </c>
      <c r="C59">
        <v>17526</v>
      </c>
      <c r="D59">
        <v>29929</v>
      </c>
      <c r="E59">
        <v>90757</v>
      </c>
      <c r="F59">
        <v>111128</v>
      </c>
      <c r="G59">
        <v>198471</v>
      </c>
      <c r="H59">
        <v>167222</v>
      </c>
    </row>
    <row r="62" spans="1:23" x14ac:dyDescent="0.3">
      <c r="P62" t="s">
        <v>653</v>
      </c>
      <c r="Q62">
        <f>1000000/Q64</f>
        <v>50</v>
      </c>
      <c r="R62">
        <f>1000000/R64</f>
        <v>100</v>
      </c>
      <c r="S62">
        <v>120</v>
      </c>
      <c r="T62">
        <v>140</v>
      </c>
      <c r="U62">
        <v>160</v>
      </c>
      <c r="V62">
        <v>180</v>
      </c>
      <c r="W62">
        <v>200</v>
      </c>
    </row>
    <row r="63" spans="1:23" x14ac:dyDescent="0.3">
      <c r="A63" t="s">
        <v>654</v>
      </c>
      <c r="B63">
        <f>1000000/B65</f>
        <v>50</v>
      </c>
      <c r="C63">
        <f>1000000/C65</f>
        <v>100</v>
      </c>
      <c r="D63">
        <v>120</v>
      </c>
      <c r="E63">
        <v>140</v>
      </c>
      <c r="F63">
        <v>150</v>
      </c>
      <c r="H63">
        <v>200</v>
      </c>
      <c r="I63">
        <v>250</v>
      </c>
      <c r="J63">
        <v>300</v>
      </c>
      <c r="K63">
        <v>400</v>
      </c>
      <c r="L63">
        <v>500</v>
      </c>
      <c r="P63" t="s">
        <v>656</v>
      </c>
      <c r="Q63">
        <v>10500</v>
      </c>
      <c r="R63">
        <f>R64/1.9</f>
        <v>5263.1578947368425</v>
      </c>
      <c r="S63">
        <f t="shared" ref="S63" si="54">S64/1.9</f>
        <v>4385.9649122807023</v>
      </c>
      <c r="T63">
        <f t="shared" ref="T63" si="55">T64/1.9</f>
        <v>3759.3984962406016</v>
      </c>
      <c r="U63">
        <f t="shared" ref="U63" si="56">U64/1.9</f>
        <v>3289.4736842105262</v>
      </c>
      <c r="V63">
        <f t="shared" ref="V63" si="57">V64/1.9</f>
        <v>2923.9766081871348</v>
      </c>
      <c r="W63">
        <f t="shared" ref="W63" si="58">W64/1.9</f>
        <v>2631.5789473684213</v>
      </c>
    </row>
    <row r="64" spans="1:23" x14ac:dyDescent="0.3">
      <c r="A64" t="s">
        <v>656</v>
      </c>
      <c r="B64">
        <v>10500</v>
      </c>
      <c r="C64">
        <f>C65/1.9</f>
        <v>5263.1578947368425</v>
      </c>
      <c r="D64">
        <f t="shared" ref="D64" si="59">D65/1.9</f>
        <v>4385.9649122807023</v>
      </c>
      <c r="E64">
        <f t="shared" ref="E64:F64" si="60">E65/1.9</f>
        <v>3759.3984962406016</v>
      </c>
      <c r="F64">
        <f t="shared" si="60"/>
        <v>3508.7719298245615</v>
      </c>
      <c r="H64">
        <f t="shared" ref="H64:I64" si="61">H65/1.9</f>
        <v>2631.5789473684213</v>
      </c>
      <c r="I64">
        <f t="shared" si="61"/>
        <v>2105.2631578947371</v>
      </c>
      <c r="J64">
        <f>J65/1.9</f>
        <v>1754.3859649122808</v>
      </c>
      <c r="K64">
        <f>K65/1.9</f>
        <v>1315.7894736842106</v>
      </c>
      <c r="L64">
        <f>L65/1.9</f>
        <v>1052.6315789473686</v>
      </c>
      <c r="P64" t="s">
        <v>650</v>
      </c>
      <c r="Q64">
        <v>20000</v>
      </c>
      <c r="R64">
        <v>10000</v>
      </c>
      <c r="S64">
        <f>1000000/S62</f>
        <v>8333.3333333333339</v>
      </c>
      <c r="T64">
        <f t="shared" ref="T64:W64" si="62">1000000/T62</f>
        <v>7142.8571428571431</v>
      </c>
      <c r="U64">
        <f t="shared" si="62"/>
        <v>6250</v>
      </c>
      <c r="V64">
        <f t="shared" si="62"/>
        <v>5555.5555555555557</v>
      </c>
      <c r="W64">
        <f t="shared" si="62"/>
        <v>5000</v>
      </c>
    </row>
    <row r="65" spans="1:20" x14ac:dyDescent="0.3">
      <c r="A65" t="s">
        <v>650</v>
      </c>
      <c r="B65">
        <v>20000</v>
      </c>
      <c r="C65">
        <v>10000</v>
      </c>
      <c r="D65">
        <f>1000000/D63</f>
        <v>8333.3333333333339</v>
      </c>
      <c r="E65">
        <f t="shared" ref="E65:I65" si="63">1000000/E63</f>
        <v>7142.8571428571431</v>
      </c>
      <c r="F65">
        <f t="shared" si="63"/>
        <v>6666.666666666667</v>
      </c>
      <c r="H65">
        <f t="shared" si="63"/>
        <v>5000</v>
      </c>
      <c r="I65">
        <f t="shared" si="63"/>
        <v>4000</v>
      </c>
      <c r="J65">
        <f>1000000/J63</f>
        <v>3333.3333333333335</v>
      </c>
      <c r="K65">
        <f>1000000/K63</f>
        <v>2500</v>
      </c>
      <c r="L65">
        <f>1000000/L63</f>
        <v>2000</v>
      </c>
      <c r="P65">
        <v>0</v>
      </c>
      <c r="Q65">
        <v>2883</v>
      </c>
      <c r="R65">
        <v>2721</v>
      </c>
      <c r="S65">
        <v>2768</v>
      </c>
      <c r="T65">
        <v>2669</v>
      </c>
    </row>
    <row r="66" spans="1:20" x14ac:dyDescent="0.3">
      <c r="A66">
        <v>0</v>
      </c>
      <c r="B66">
        <v>3253</v>
      </c>
      <c r="C66">
        <v>3208</v>
      </c>
      <c r="D66">
        <v>2951</v>
      </c>
      <c r="E66">
        <v>3425</v>
      </c>
      <c r="F66">
        <v>3453</v>
      </c>
      <c r="H66">
        <v>3215</v>
      </c>
      <c r="I66">
        <v>3697</v>
      </c>
      <c r="J66">
        <v>3401</v>
      </c>
      <c r="K66">
        <v>3153</v>
      </c>
      <c r="P66">
        <v>50</v>
      </c>
      <c r="Q66">
        <v>4205</v>
      </c>
      <c r="R66">
        <v>4119</v>
      </c>
      <c r="S66">
        <v>4144</v>
      </c>
      <c r="T66">
        <v>3948</v>
      </c>
    </row>
    <row r="67" spans="1:20" x14ac:dyDescent="0.3">
      <c r="A67">
        <v>50</v>
      </c>
      <c r="B67">
        <v>4604</v>
      </c>
      <c r="C67">
        <v>4553</v>
      </c>
      <c r="D67">
        <v>4352</v>
      </c>
      <c r="E67">
        <v>4776</v>
      </c>
      <c r="F67">
        <v>4585</v>
      </c>
      <c r="H67">
        <v>4633</v>
      </c>
      <c r="I67">
        <v>5107</v>
      </c>
      <c r="J67">
        <v>4798</v>
      </c>
      <c r="K67">
        <v>4471</v>
      </c>
      <c r="P67">
        <v>90</v>
      </c>
      <c r="Q67">
        <v>5254</v>
      </c>
      <c r="R67">
        <v>5152</v>
      </c>
      <c r="S67">
        <v>5314</v>
      </c>
      <c r="T67">
        <v>5066</v>
      </c>
    </row>
    <row r="68" spans="1:20" x14ac:dyDescent="0.3">
      <c r="A68">
        <v>90</v>
      </c>
      <c r="B68">
        <v>6145</v>
      </c>
      <c r="C68">
        <v>5550</v>
      </c>
      <c r="D68">
        <v>5561</v>
      </c>
      <c r="E68">
        <v>5770</v>
      </c>
      <c r="F68">
        <v>5821</v>
      </c>
      <c r="H68">
        <v>5690</v>
      </c>
      <c r="I68">
        <v>6196</v>
      </c>
      <c r="J68">
        <v>6256</v>
      </c>
      <c r="K68">
        <v>6697</v>
      </c>
      <c r="L68">
        <v>7144</v>
      </c>
      <c r="P68">
        <v>99</v>
      </c>
      <c r="Q68">
        <v>8367</v>
      </c>
      <c r="R68">
        <v>22036</v>
      </c>
      <c r="S68">
        <v>2751691</v>
      </c>
      <c r="T68">
        <v>9023</v>
      </c>
    </row>
    <row r="69" spans="1:20" x14ac:dyDescent="0.3">
      <c r="A69">
        <v>99</v>
      </c>
      <c r="B69">
        <v>10959</v>
      </c>
      <c r="C69">
        <v>8545</v>
      </c>
      <c r="D69">
        <v>8585</v>
      </c>
      <c r="E69">
        <v>9009</v>
      </c>
      <c r="F69">
        <v>9185</v>
      </c>
      <c r="H69">
        <v>9301</v>
      </c>
      <c r="I69">
        <v>11071</v>
      </c>
      <c r="J69">
        <v>12595</v>
      </c>
      <c r="K69">
        <v>316553</v>
      </c>
      <c r="L69">
        <v>2906125</v>
      </c>
      <c r="P69">
        <v>999</v>
      </c>
      <c r="Q69">
        <v>211684</v>
      </c>
      <c r="R69">
        <v>6263279</v>
      </c>
      <c r="S69">
        <v>31011280</v>
      </c>
      <c r="T69">
        <v>2546918</v>
      </c>
    </row>
    <row r="70" spans="1:20" x14ac:dyDescent="0.3">
      <c r="A70">
        <v>999</v>
      </c>
      <c r="B70">
        <v>33424</v>
      </c>
      <c r="C70">
        <v>22816</v>
      </c>
      <c r="D70">
        <v>10122949</v>
      </c>
      <c r="E70">
        <v>3131669</v>
      </c>
      <c r="F70">
        <v>735887</v>
      </c>
      <c r="G70">
        <v>1437168</v>
      </c>
      <c r="H70">
        <v>4478771</v>
      </c>
      <c r="I70">
        <v>7075038</v>
      </c>
      <c r="J70">
        <v>9340598</v>
      </c>
      <c r="K70">
        <v>15855290</v>
      </c>
      <c r="L70">
        <v>18366535</v>
      </c>
      <c r="P70">
        <v>9999</v>
      </c>
      <c r="Q70">
        <v>6619417</v>
      </c>
      <c r="R70">
        <v>11608467</v>
      </c>
      <c r="S70">
        <v>31949532</v>
      </c>
      <c r="T70">
        <v>8471185</v>
      </c>
    </row>
    <row r="71" spans="1:20" x14ac:dyDescent="0.3">
      <c r="A71">
        <v>9999</v>
      </c>
      <c r="B71">
        <v>10701632</v>
      </c>
      <c r="C71">
        <v>2285761</v>
      </c>
      <c r="D71">
        <v>16598520</v>
      </c>
      <c r="E71">
        <v>22161674</v>
      </c>
      <c r="H71">
        <v>18758073</v>
      </c>
      <c r="J71">
        <v>6462581</v>
      </c>
      <c r="P71" t="s">
        <v>651</v>
      </c>
      <c r="Q71">
        <v>6784</v>
      </c>
      <c r="R71">
        <v>33594</v>
      </c>
      <c r="S71">
        <v>164277</v>
      </c>
      <c r="T71">
        <v>12013</v>
      </c>
    </row>
    <row r="72" spans="1:20" x14ac:dyDescent="0.3">
      <c r="A72" t="s">
        <v>651</v>
      </c>
      <c r="B72">
        <v>8856</v>
      </c>
      <c r="C72">
        <v>5332</v>
      </c>
      <c r="D72">
        <v>25832</v>
      </c>
      <c r="E72">
        <v>41790</v>
      </c>
      <c r="H72">
        <v>42842</v>
      </c>
      <c r="I72">
        <v>71565</v>
      </c>
      <c r="J72">
        <v>46000</v>
      </c>
      <c r="K72">
        <v>114208</v>
      </c>
    </row>
  </sheetData>
  <mergeCells count="4">
    <mergeCell ref="H17:H23"/>
    <mergeCell ref="L17:L23"/>
    <mergeCell ref="M17:M25"/>
    <mergeCell ref="E17:G19"/>
  </mergeCells>
  <phoneticPr fontId="1" type="noConversion"/>
  <pageMargins left="0.7" right="0.7" top="0.75" bottom="0.75" header="0.3" footer="0.3"/>
  <pageSetup paperSize="9"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74B37-E08C-404E-B295-3764F71A6FEB}">
  <dimension ref="A1:N449"/>
  <sheetViews>
    <sheetView topLeftCell="B4" zoomScaleNormal="100" workbookViewId="0">
      <selection activeCell="M4" sqref="M4:N32"/>
    </sheetView>
  </sheetViews>
  <sheetFormatPr defaultRowHeight="15.5" x14ac:dyDescent="0.35"/>
  <cols>
    <col min="1" max="1" width="8.6640625" style="27"/>
  </cols>
  <sheetData>
    <row r="1" spans="1:14" x14ac:dyDescent="0.35">
      <c r="A1" s="27" t="s">
        <v>649</v>
      </c>
      <c r="B1">
        <f>MEDIAN(B5:B317)</f>
        <v>0.49300000000000033</v>
      </c>
      <c r="C1">
        <f t="shared" ref="C1:E1" si="0">MEDIAN(C5:C317)</f>
        <v>500108</v>
      </c>
      <c r="D1">
        <f t="shared" si="0"/>
        <v>588500</v>
      </c>
      <c r="E1">
        <f t="shared" si="0"/>
        <v>957000</v>
      </c>
      <c r="F1">
        <f>B1/1000000</f>
        <v>4.930000000000003E-7</v>
      </c>
      <c r="G1">
        <f t="shared" ref="G1:I1" si="1">C1/1000000</f>
        <v>0.500108</v>
      </c>
      <c r="H1">
        <f t="shared" si="1"/>
        <v>0.58850000000000002</v>
      </c>
      <c r="I1">
        <f t="shared" si="1"/>
        <v>0.95699999999999996</v>
      </c>
      <c r="J1">
        <f>MEDIAN(J5:J317)</f>
        <v>188.2</v>
      </c>
      <c r="K1">
        <f t="shared" ref="K1:M1" si="2">MEDIAN(K5:K317)</f>
        <v>117.6</v>
      </c>
      <c r="L1">
        <f t="shared" si="2"/>
        <v>780.55</v>
      </c>
      <c r="M1">
        <f t="shared" si="2"/>
        <v>1280.5</v>
      </c>
    </row>
    <row r="2" spans="1:14" x14ac:dyDescent="0.35">
      <c r="A2" s="27" t="s">
        <v>648</v>
      </c>
      <c r="B2">
        <f>AVERAGE(B5:B317)</f>
        <v>0.47788178913738</v>
      </c>
      <c r="C2">
        <f>AVERAGE(C5:C449)</f>
        <v>945093.44719101128</v>
      </c>
      <c r="D2">
        <f>AVERAGE(D5:D54)</f>
        <v>582640</v>
      </c>
      <c r="E2">
        <f>AVERAGE(E5:E32)</f>
        <v>937250</v>
      </c>
      <c r="F2">
        <f t="shared" ref="F2:F3" si="3">B2/1000000</f>
        <v>4.7788178913737998E-7</v>
      </c>
      <c r="G2">
        <f t="shared" ref="G2:G3" si="4">C2/1000000</f>
        <v>0.94509344719101129</v>
      </c>
      <c r="H2">
        <f t="shared" ref="H2:H3" si="5">D2/1000000</f>
        <v>0.58264000000000005</v>
      </c>
      <c r="I2">
        <f t="shared" ref="I2:I3" si="6">E2/1000000</f>
        <v>0.93725000000000003</v>
      </c>
      <c r="J2">
        <f>AVERAGE(J5:J317)</f>
        <v>195.95623003194888</v>
      </c>
      <c r="K2">
        <f>AVERAGE(K5:K449)</f>
        <v>151.19483146067441</v>
      </c>
      <c r="L2">
        <f>AVERAGE(L5:L54)</f>
        <v>762.00799999999992</v>
      </c>
      <c r="M2">
        <f>AVERAGE(M5:M32)</f>
        <v>1239.7214285714285</v>
      </c>
    </row>
    <row r="3" spans="1:14" x14ac:dyDescent="0.35">
      <c r="A3" s="27" t="s">
        <v>647</v>
      </c>
      <c r="B3">
        <f>MAX(B5:B317)</f>
        <v>0.7759999999999998</v>
      </c>
      <c r="C3">
        <f t="shared" ref="C3:E3" si="7">MAX(C5:C317)</f>
        <v>1331000</v>
      </c>
      <c r="D3">
        <f t="shared" si="7"/>
        <v>906000</v>
      </c>
      <c r="E3">
        <f t="shared" si="7"/>
        <v>1197000</v>
      </c>
      <c r="F3">
        <f t="shared" si="3"/>
        <v>7.7599999999999975E-7</v>
      </c>
      <c r="G3">
        <f t="shared" si="4"/>
        <v>1.331</v>
      </c>
      <c r="H3">
        <f t="shared" si="5"/>
        <v>0.90600000000000003</v>
      </c>
      <c r="I3">
        <f t="shared" si="6"/>
        <v>1.1970000000000001</v>
      </c>
      <c r="J3">
        <f>MAX(J5:J317)</f>
        <v>605.29999999999995</v>
      </c>
      <c r="K3">
        <f t="shared" ref="K3:M3" si="8">MAX(K5:K317)</f>
        <v>247.1</v>
      </c>
      <c r="L3">
        <f t="shared" si="8"/>
        <v>982.4</v>
      </c>
      <c r="M3">
        <f t="shared" si="8"/>
        <v>1417</v>
      </c>
    </row>
    <row r="4" spans="1:14" x14ac:dyDescent="0.35">
      <c r="B4" t="s">
        <v>428</v>
      </c>
      <c r="C4" t="s">
        <v>644</v>
      </c>
      <c r="D4" t="s">
        <v>645</v>
      </c>
      <c r="E4" t="s">
        <v>646</v>
      </c>
      <c r="J4" t="s">
        <v>428</v>
      </c>
      <c r="K4" t="s">
        <v>644</v>
      </c>
      <c r="L4" t="s">
        <v>645</v>
      </c>
      <c r="M4" t="s">
        <v>646</v>
      </c>
      <c r="N4" t="s">
        <v>711</v>
      </c>
    </row>
    <row r="5" spans="1:14" x14ac:dyDescent="0.3">
      <c r="A5" s="26">
        <f>B5-4.8</f>
        <v>-4.75</v>
      </c>
      <c r="B5">
        <v>4.9999999999999822E-2</v>
      </c>
      <c r="C5">
        <f>15276</f>
        <v>15276</v>
      </c>
      <c r="D5">
        <v>148000</v>
      </c>
      <c r="E5">
        <v>564000</v>
      </c>
      <c r="J5">
        <f>100</f>
        <v>100</v>
      </c>
      <c r="K5">
        <f>164.7</f>
        <v>164.7</v>
      </c>
      <c r="L5">
        <f>394.4</f>
        <v>394.4</v>
      </c>
      <c r="M5">
        <f>1328</f>
        <v>1328</v>
      </c>
      <c r="N5">
        <f>(M5-100)/24</f>
        <v>51.166666666666664</v>
      </c>
    </row>
    <row r="6" spans="1:14" x14ac:dyDescent="0.3">
      <c r="A6" s="26">
        <f t="shared" ref="A6:A69" si="9">B6-4.8</f>
        <v>-4.75</v>
      </c>
      <c r="B6">
        <v>4.9999999999999822E-2</v>
      </c>
      <c r="C6">
        <f>35808</f>
        <v>35808</v>
      </c>
      <c r="D6">
        <v>279000</v>
      </c>
      <c r="E6">
        <v>554000</v>
      </c>
      <c r="J6">
        <f>105.9</f>
        <v>105.9</v>
      </c>
      <c r="K6">
        <f>235.3</f>
        <v>235.3</v>
      </c>
      <c r="L6">
        <f>461.1</f>
        <v>461.1</v>
      </c>
      <c r="M6">
        <f>794.1</f>
        <v>794.1</v>
      </c>
      <c r="N6">
        <f t="shared" ref="N6:N32" si="10">(M6-100)/24</f>
        <v>28.920833333333334</v>
      </c>
    </row>
    <row r="7" spans="1:14" x14ac:dyDescent="0.3">
      <c r="A7" s="26">
        <f t="shared" si="9"/>
        <v>-4.75</v>
      </c>
      <c r="B7">
        <v>4.9999999999999822E-2</v>
      </c>
      <c r="C7">
        <f>39636</f>
        <v>39636</v>
      </c>
      <c r="D7">
        <v>394000</v>
      </c>
      <c r="E7">
        <v>753000</v>
      </c>
      <c r="J7">
        <f>105.9</f>
        <v>105.9</v>
      </c>
      <c r="K7">
        <f>211.1</f>
        <v>211.1</v>
      </c>
      <c r="L7">
        <f>482.4</f>
        <v>482.4</v>
      </c>
      <c r="M7">
        <f>829.4</f>
        <v>829.4</v>
      </c>
      <c r="N7">
        <f t="shared" si="10"/>
        <v>30.391666666666666</v>
      </c>
    </row>
    <row r="8" spans="1:14" x14ac:dyDescent="0.3">
      <c r="A8" s="26">
        <f t="shared" si="9"/>
        <v>-4.75</v>
      </c>
      <c r="B8">
        <v>4.9999999999999822E-2</v>
      </c>
      <c r="C8">
        <f>55616</f>
        <v>55616</v>
      </c>
      <c r="D8">
        <v>333000</v>
      </c>
      <c r="E8">
        <v>794000</v>
      </c>
      <c r="J8">
        <f>94.4</f>
        <v>94.4</v>
      </c>
      <c r="K8">
        <f>158.8</f>
        <v>158.80000000000001</v>
      </c>
      <c r="L8">
        <f>735.3</f>
        <v>735.3</v>
      </c>
      <c r="M8">
        <f>1339</f>
        <v>1339</v>
      </c>
      <c r="N8">
        <f t="shared" si="10"/>
        <v>51.625</v>
      </c>
    </row>
    <row r="9" spans="1:14" x14ac:dyDescent="0.3">
      <c r="A9" s="26">
        <f t="shared" si="9"/>
        <v>-4.7149999999999999</v>
      </c>
      <c r="B9">
        <v>8.4999999999999964E-2</v>
      </c>
      <c r="C9">
        <f>57988</f>
        <v>57988</v>
      </c>
      <c r="D9">
        <v>442000</v>
      </c>
      <c r="E9">
        <v>952000</v>
      </c>
      <c r="J9">
        <f>100</f>
        <v>100</v>
      </c>
      <c r="K9">
        <f>241.2</f>
        <v>241.2</v>
      </c>
      <c r="L9">
        <f>594.4</f>
        <v>594.4</v>
      </c>
      <c r="M9">
        <f>1237</f>
        <v>1237</v>
      </c>
      <c r="N9">
        <f t="shared" si="10"/>
        <v>47.375</v>
      </c>
    </row>
    <row r="10" spans="1:14" x14ac:dyDescent="0.3">
      <c r="A10" s="26">
        <f t="shared" si="9"/>
        <v>-4.7269999999999994</v>
      </c>
      <c r="B10">
        <v>7.3000000000000398E-2</v>
      </c>
      <c r="C10">
        <f>62240</f>
        <v>62240</v>
      </c>
      <c r="D10">
        <v>344000</v>
      </c>
      <c r="E10">
        <v>823000</v>
      </c>
      <c r="J10">
        <f>100</f>
        <v>100</v>
      </c>
      <c r="K10">
        <f>111.8</f>
        <v>111.8</v>
      </c>
      <c r="L10">
        <f>458.8</f>
        <v>458.8</v>
      </c>
      <c r="M10">
        <f>1239</f>
        <v>1239</v>
      </c>
      <c r="N10">
        <f t="shared" si="10"/>
        <v>47.458333333333336</v>
      </c>
    </row>
    <row r="11" spans="1:14" x14ac:dyDescent="0.3">
      <c r="A11" s="26">
        <f t="shared" si="9"/>
        <v>-4.68</v>
      </c>
      <c r="B11">
        <v>0.12000000000000011</v>
      </c>
      <c r="C11">
        <f>68876</f>
        <v>68876</v>
      </c>
      <c r="D11">
        <v>480000</v>
      </c>
      <c r="E11">
        <v>790000.00000000093</v>
      </c>
      <c r="J11">
        <f>105.9</f>
        <v>105.9</v>
      </c>
      <c r="K11">
        <f>111.8</f>
        <v>111.8</v>
      </c>
      <c r="L11">
        <f>694.4</f>
        <v>694.4</v>
      </c>
      <c r="M11">
        <f>1283</f>
        <v>1283</v>
      </c>
      <c r="N11">
        <f t="shared" si="10"/>
        <v>49.291666666666664</v>
      </c>
    </row>
    <row r="12" spans="1:14" x14ac:dyDescent="0.3">
      <c r="A12" s="26">
        <f t="shared" si="9"/>
        <v>-4.6719999999999997</v>
      </c>
      <c r="B12">
        <v>0.12800000000000011</v>
      </c>
      <c r="C12">
        <f>74296</f>
        <v>74296</v>
      </c>
      <c r="D12">
        <v>409000</v>
      </c>
      <c r="E12">
        <v>985000</v>
      </c>
      <c r="J12">
        <f>100</f>
        <v>100</v>
      </c>
      <c r="K12">
        <f>247.1</f>
        <v>247.1</v>
      </c>
      <c r="L12">
        <f>935.3</f>
        <v>935.3</v>
      </c>
      <c r="M12">
        <f>1278</f>
        <v>1278</v>
      </c>
      <c r="N12">
        <f t="shared" si="10"/>
        <v>49.083333333333336</v>
      </c>
    </row>
    <row r="13" spans="1:14" x14ac:dyDescent="0.3">
      <c r="A13" s="26">
        <f t="shared" si="9"/>
        <v>-4.6579999999999995</v>
      </c>
      <c r="B13">
        <v>0.14200000000000035</v>
      </c>
      <c r="C13">
        <f>72512</f>
        <v>72512</v>
      </c>
      <c r="D13">
        <v>358000</v>
      </c>
      <c r="E13">
        <v>825000.00000000093</v>
      </c>
      <c r="J13">
        <f>100</f>
        <v>100</v>
      </c>
      <c r="K13">
        <f>216.7</f>
        <v>216.7</v>
      </c>
      <c r="L13">
        <f>476.5</f>
        <v>476.5</v>
      </c>
      <c r="M13">
        <f>1394</f>
        <v>1394</v>
      </c>
      <c r="N13">
        <f t="shared" si="10"/>
        <v>53.916666666666664</v>
      </c>
    </row>
    <row r="14" spans="1:14" x14ac:dyDescent="0.3">
      <c r="A14" s="26">
        <f t="shared" si="9"/>
        <v>-4.67</v>
      </c>
      <c r="B14">
        <v>0.12999999999999989</v>
      </c>
      <c r="C14">
        <f>72348</f>
        <v>72348</v>
      </c>
      <c r="D14">
        <v>481000</v>
      </c>
      <c r="E14">
        <v>868999.99999999907</v>
      </c>
      <c r="J14">
        <f>105.9</f>
        <v>105.9</v>
      </c>
      <c r="K14">
        <f>117.6</f>
        <v>117.6</v>
      </c>
      <c r="L14">
        <f>741.2</f>
        <v>741.2</v>
      </c>
      <c r="M14">
        <f>1222</f>
        <v>1222</v>
      </c>
      <c r="N14">
        <f t="shared" si="10"/>
        <v>46.75</v>
      </c>
    </row>
    <row r="15" spans="1:14" x14ac:dyDescent="0.3">
      <c r="A15" s="26">
        <f t="shared" si="9"/>
        <v>-4.6519999999999992</v>
      </c>
      <c r="B15">
        <v>0.14800000000000058</v>
      </c>
      <c r="C15">
        <f>73324</f>
        <v>73324</v>
      </c>
      <c r="D15">
        <v>444000</v>
      </c>
      <c r="E15">
        <v>817000</v>
      </c>
      <c r="J15">
        <f>100</f>
        <v>100</v>
      </c>
      <c r="K15">
        <f>222.2</f>
        <v>222.2</v>
      </c>
      <c r="L15">
        <f>850</f>
        <v>850</v>
      </c>
      <c r="M15">
        <f>1350</f>
        <v>1350</v>
      </c>
      <c r="N15">
        <f t="shared" si="10"/>
        <v>52.083333333333336</v>
      </c>
    </row>
    <row r="16" spans="1:14" x14ac:dyDescent="0.3">
      <c r="A16" s="26">
        <f t="shared" si="9"/>
        <v>-4.6419999999999995</v>
      </c>
      <c r="B16">
        <v>0.15800000000000036</v>
      </c>
      <c r="C16">
        <f>73320</f>
        <v>73320</v>
      </c>
      <c r="D16">
        <v>430000</v>
      </c>
      <c r="E16">
        <v>946000</v>
      </c>
      <c r="J16">
        <f>177.8</f>
        <v>177.8</v>
      </c>
      <c r="K16">
        <f>111.8</f>
        <v>111.8</v>
      </c>
      <c r="L16">
        <f>476.5</f>
        <v>476.5</v>
      </c>
      <c r="M16">
        <f>1294</f>
        <v>1294</v>
      </c>
      <c r="N16">
        <f t="shared" si="10"/>
        <v>49.75</v>
      </c>
    </row>
    <row r="17" spans="1:14" x14ac:dyDescent="0.3">
      <c r="A17" s="26">
        <f t="shared" si="9"/>
        <v>-4.6599999999999993</v>
      </c>
      <c r="B17">
        <v>0.14000000000000057</v>
      </c>
      <c r="C17">
        <f>75472</f>
        <v>75472</v>
      </c>
      <c r="D17">
        <v>483000</v>
      </c>
      <c r="E17">
        <v>962000</v>
      </c>
      <c r="J17">
        <f>188.2</f>
        <v>188.2</v>
      </c>
      <c r="K17">
        <f>233.3</f>
        <v>233.3</v>
      </c>
      <c r="L17">
        <f>777.8</f>
        <v>777.8</v>
      </c>
      <c r="M17">
        <f>1356</f>
        <v>1356</v>
      </c>
      <c r="N17">
        <f t="shared" si="10"/>
        <v>52.333333333333336</v>
      </c>
    </row>
    <row r="18" spans="1:14" x14ac:dyDescent="0.3">
      <c r="A18" s="26">
        <f t="shared" si="9"/>
        <v>-4.6319999999999997</v>
      </c>
      <c r="B18">
        <v>0.16800000000000015</v>
      </c>
      <c r="C18">
        <f>80568</f>
        <v>80568</v>
      </c>
      <c r="D18">
        <v>449000</v>
      </c>
      <c r="E18">
        <v>900999.99999999907</v>
      </c>
      <c r="J18">
        <f>117.6</f>
        <v>117.6</v>
      </c>
      <c r="K18">
        <f>100</f>
        <v>100</v>
      </c>
      <c r="L18">
        <f>876.5</f>
        <v>876.5</v>
      </c>
      <c r="M18">
        <f>1300</f>
        <v>1300</v>
      </c>
      <c r="N18">
        <f t="shared" si="10"/>
        <v>50</v>
      </c>
    </row>
    <row r="19" spans="1:14" x14ac:dyDescent="0.3">
      <c r="A19" s="26">
        <f t="shared" si="9"/>
        <v>-4.6149999999999993</v>
      </c>
      <c r="B19">
        <v>0.1850000000000005</v>
      </c>
      <c r="C19">
        <f>84048</f>
        <v>84048</v>
      </c>
      <c r="D19">
        <v>463000</v>
      </c>
      <c r="E19">
        <v>964000</v>
      </c>
      <c r="J19">
        <f>94.4</f>
        <v>94.4</v>
      </c>
      <c r="K19">
        <f>105.9</f>
        <v>105.9</v>
      </c>
      <c r="L19">
        <f>694.4</f>
        <v>694.4</v>
      </c>
      <c r="M19">
        <f>1333</f>
        <v>1333</v>
      </c>
      <c r="N19">
        <f t="shared" si="10"/>
        <v>51.375</v>
      </c>
    </row>
    <row r="20" spans="1:14" x14ac:dyDescent="0.3">
      <c r="A20" s="26">
        <f t="shared" si="9"/>
        <v>-4.6109999999999998</v>
      </c>
      <c r="B20">
        <v>0.18900000000000006</v>
      </c>
      <c r="C20">
        <f>86768</f>
        <v>86768</v>
      </c>
      <c r="D20">
        <v>499000</v>
      </c>
      <c r="E20">
        <v>931000</v>
      </c>
      <c r="J20">
        <f>94.4</f>
        <v>94.4</v>
      </c>
      <c r="K20">
        <f>158.8</f>
        <v>158.80000000000001</v>
      </c>
      <c r="L20">
        <f>772.2</f>
        <v>772.2</v>
      </c>
      <c r="M20">
        <f>1417</f>
        <v>1417</v>
      </c>
      <c r="N20">
        <f t="shared" si="10"/>
        <v>54.875</v>
      </c>
    </row>
    <row r="21" spans="1:14" x14ac:dyDescent="0.3">
      <c r="A21" s="26">
        <f t="shared" si="9"/>
        <v>-4.6399999999999997</v>
      </c>
      <c r="B21">
        <v>0.16000000000000014</v>
      </c>
      <c r="C21">
        <f>91636</f>
        <v>91636</v>
      </c>
      <c r="D21">
        <v>494000</v>
      </c>
      <c r="E21">
        <v>1002000</v>
      </c>
      <c r="J21">
        <f>194.1</f>
        <v>194.1</v>
      </c>
      <c r="K21">
        <f>233.3</f>
        <v>233.3</v>
      </c>
      <c r="L21">
        <f>929.4</f>
        <v>929.4</v>
      </c>
      <c r="M21">
        <f>1378</f>
        <v>1378</v>
      </c>
      <c r="N21">
        <f t="shared" si="10"/>
        <v>53.25</v>
      </c>
    </row>
    <row r="22" spans="1:14" x14ac:dyDescent="0.3">
      <c r="A22" s="26">
        <f t="shared" si="9"/>
        <v>-4.6119999999999992</v>
      </c>
      <c r="B22">
        <v>0.18800000000000061</v>
      </c>
      <c r="C22">
        <f>93736</f>
        <v>93736</v>
      </c>
      <c r="D22">
        <v>536000</v>
      </c>
      <c r="E22">
        <v>952000</v>
      </c>
      <c r="J22">
        <f>105.9</f>
        <v>105.9</v>
      </c>
      <c r="K22">
        <f>111.8</f>
        <v>111.8</v>
      </c>
      <c r="L22">
        <f>735.3</f>
        <v>735.3</v>
      </c>
      <c r="M22">
        <f>1206</f>
        <v>1206</v>
      </c>
      <c r="N22">
        <f t="shared" si="10"/>
        <v>46.083333333333336</v>
      </c>
    </row>
    <row r="23" spans="1:14" x14ac:dyDescent="0.3">
      <c r="A23" s="26">
        <f t="shared" si="9"/>
        <v>-4.6319999999999997</v>
      </c>
      <c r="B23">
        <v>0.16800000000000015</v>
      </c>
      <c r="C23">
        <f>92744</f>
        <v>92744</v>
      </c>
      <c r="D23">
        <v>514000</v>
      </c>
      <c r="E23">
        <v>1033000</v>
      </c>
      <c r="J23">
        <f>152.9</f>
        <v>152.9</v>
      </c>
      <c r="K23">
        <f>105.9</f>
        <v>105.9</v>
      </c>
      <c r="L23">
        <f>688.9</f>
        <v>688.9</v>
      </c>
      <c r="M23">
        <f>1189</f>
        <v>1189</v>
      </c>
      <c r="N23">
        <f t="shared" si="10"/>
        <v>45.375</v>
      </c>
    </row>
    <row r="24" spans="1:14" x14ac:dyDescent="0.3">
      <c r="A24" s="26">
        <f t="shared" si="9"/>
        <v>-4.609</v>
      </c>
      <c r="B24">
        <v>0.19099999999999984</v>
      </c>
      <c r="C24">
        <f>92564</f>
        <v>92564</v>
      </c>
      <c r="D24">
        <v>596000</v>
      </c>
      <c r="E24">
        <v>1022000</v>
      </c>
      <c r="J24">
        <f>94.4</f>
        <v>94.4</v>
      </c>
      <c r="K24">
        <f>241.2</f>
        <v>241.2</v>
      </c>
      <c r="L24">
        <f>982.4</f>
        <v>982.4</v>
      </c>
      <c r="M24">
        <f>1256</f>
        <v>1256</v>
      </c>
      <c r="N24">
        <f t="shared" si="10"/>
        <v>48.166666666666664</v>
      </c>
    </row>
    <row r="25" spans="1:14" x14ac:dyDescent="0.3">
      <c r="A25" s="26">
        <f t="shared" si="9"/>
        <v>-4.6029999999999998</v>
      </c>
      <c r="B25">
        <v>0.19700000000000006</v>
      </c>
      <c r="C25">
        <f>94128</f>
        <v>94128</v>
      </c>
      <c r="D25">
        <v>589000</v>
      </c>
      <c r="E25">
        <v>1057000</v>
      </c>
      <c r="J25">
        <f>88.9</f>
        <v>88.9</v>
      </c>
      <c r="K25">
        <f>216.7</f>
        <v>216.7</v>
      </c>
      <c r="L25">
        <f>772.2</f>
        <v>772.2</v>
      </c>
      <c r="M25">
        <f>1200</f>
        <v>1200</v>
      </c>
      <c r="N25">
        <f t="shared" si="10"/>
        <v>45.833333333333336</v>
      </c>
    </row>
    <row r="26" spans="1:14" x14ac:dyDescent="0.3">
      <c r="A26" s="26">
        <f t="shared" si="9"/>
        <v>-4.6259999999999994</v>
      </c>
      <c r="B26">
        <v>0.17400000000000038</v>
      </c>
      <c r="C26">
        <f>94240</f>
        <v>94240</v>
      </c>
      <c r="D26">
        <v>523000</v>
      </c>
      <c r="E26">
        <v>1072000</v>
      </c>
      <c r="J26">
        <f>188.2</f>
        <v>188.2</v>
      </c>
      <c r="K26">
        <f>111.8</f>
        <v>111.8</v>
      </c>
      <c r="L26">
        <f>705.6</f>
        <v>705.6</v>
      </c>
      <c r="M26">
        <f>1233</f>
        <v>1233</v>
      </c>
      <c r="N26">
        <f t="shared" si="10"/>
        <v>47.208333333333336</v>
      </c>
    </row>
    <row r="27" spans="1:14" x14ac:dyDescent="0.3">
      <c r="A27" s="26">
        <f t="shared" si="9"/>
        <v>-4.6029999999999998</v>
      </c>
      <c r="B27">
        <v>0.19700000000000006</v>
      </c>
      <c r="C27">
        <f>97220</f>
        <v>97220</v>
      </c>
      <c r="D27">
        <v>605000</v>
      </c>
      <c r="E27">
        <v>1083000</v>
      </c>
      <c r="J27">
        <f>100</f>
        <v>100</v>
      </c>
      <c r="K27">
        <f>216.7</f>
        <v>216.7</v>
      </c>
      <c r="L27">
        <f>755.6</f>
        <v>755.6</v>
      </c>
      <c r="M27">
        <f>1256</f>
        <v>1256</v>
      </c>
      <c r="N27">
        <f t="shared" si="10"/>
        <v>48.166666666666664</v>
      </c>
    </row>
    <row r="28" spans="1:14" x14ac:dyDescent="0.3">
      <c r="A28" s="26">
        <f t="shared" si="9"/>
        <v>-4.6259999999999994</v>
      </c>
      <c r="B28">
        <v>0.17400000000000038</v>
      </c>
      <c r="C28">
        <f>97120</f>
        <v>97120</v>
      </c>
      <c r="D28">
        <v>605000</v>
      </c>
      <c r="E28">
        <v>1114000</v>
      </c>
      <c r="J28">
        <f>161.1</f>
        <v>161.1</v>
      </c>
      <c r="K28">
        <f>105.9</f>
        <v>105.9</v>
      </c>
      <c r="L28">
        <f>900</f>
        <v>900</v>
      </c>
      <c r="M28">
        <f>1311</f>
        <v>1311</v>
      </c>
      <c r="N28">
        <f t="shared" si="10"/>
        <v>50.458333333333336</v>
      </c>
    </row>
    <row r="29" spans="1:14" x14ac:dyDescent="0.3">
      <c r="A29" s="26">
        <f t="shared" si="9"/>
        <v>-4.6139999999999999</v>
      </c>
      <c r="B29">
        <v>0.18599999999999994</v>
      </c>
      <c r="C29">
        <f>98292</f>
        <v>98292</v>
      </c>
      <c r="D29">
        <v>568000</v>
      </c>
      <c r="E29">
        <v>1197000</v>
      </c>
      <c r="J29">
        <f>105.9</f>
        <v>105.9</v>
      </c>
      <c r="K29">
        <f>141.2</f>
        <v>141.19999999999999</v>
      </c>
      <c r="L29">
        <f>788.2</f>
        <v>788.2</v>
      </c>
      <c r="M29">
        <f>1335</f>
        <v>1335</v>
      </c>
      <c r="N29">
        <f t="shared" si="10"/>
        <v>51.458333333333336</v>
      </c>
    </row>
    <row r="30" spans="1:14" x14ac:dyDescent="0.3">
      <c r="A30" s="26">
        <f t="shared" si="9"/>
        <v>-4.5969999999999995</v>
      </c>
      <c r="B30">
        <v>0.20300000000000029</v>
      </c>
      <c r="C30">
        <f>103708</f>
        <v>103708</v>
      </c>
      <c r="D30">
        <v>639000</v>
      </c>
      <c r="E30">
        <v>1057000</v>
      </c>
      <c r="J30">
        <f>105.9</f>
        <v>105.9</v>
      </c>
      <c r="K30">
        <f>105.6</f>
        <v>105.6</v>
      </c>
      <c r="L30">
        <f>747.1</f>
        <v>747.1</v>
      </c>
      <c r="M30">
        <f>1412</f>
        <v>1412</v>
      </c>
      <c r="N30">
        <f t="shared" si="10"/>
        <v>54.666666666666664</v>
      </c>
    </row>
    <row r="31" spans="1:14" x14ac:dyDescent="0.3">
      <c r="A31" s="26">
        <f t="shared" si="9"/>
        <v>-4.6139999999999999</v>
      </c>
      <c r="B31">
        <v>0.18599999999999994</v>
      </c>
      <c r="C31">
        <f>107300</f>
        <v>107300</v>
      </c>
      <c r="D31">
        <v>604000</v>
      </c>
      <c r="E31">
        <v>1134000</v>
      </c>
      <c r="J31">
        <f>183.3</f>
        <v>183.3</v>
      </c>
      <c r="K31">
        <f>223.5</f>
        <v>223.5</v>
      </c>
      <c r="L31">
        <f>794.4</f>
        <v>794.4</v>
      </c>
      <c r="M31">
        <f>1276</f>
        <v>1276</v>
      </c>
      <c r="N31">
        <f t="shared" si="10"/>
        <v>49</v>
      </c>
    </row>
    <row r="32" spans="1:14" x14ac:dyDescent="0.3">
      <c r="A32" s="26">
        <f t="shared" si="9"/>
        <v>-4.5889999999999995</v>
      </c>
      <c r="B32">
        <v>0.2110000000000003</v>
      </c>
      <c r="C32">
        <f>104392</f>
        <v>104392</v>
      </c>
      <c r="D32">
        <v>588000</v>
      </c>
      <c r="E32">
        <v>1090000</v>
      </c>
      <c r="J32">
        <f>188.2</f>
        <v>188.2</v>
      </c>
      <c r="K32">
        <f>111.8</f>
        <v>111.8</v>
      </c>
      <c r="L32">
        <f>850</f>
        <v>850</v>
      </c>
      <c r="M32">
        <f>666.7</f>
        <v>666.7</v>
      </c>
      <c r="N32">
        <f t="shared" si="10"/>
        <v>23.612500000000001</v>
      </c>
    </row>
    <row r="33" spans="1:12" x14ac:dyDescent="0.3">
      <c r="A33" s="26">
        <f t="shared" si="9"/>
        <v>-4.6129999999999995</v>
      </c>
      <c r="B33">
        <v>0.18700000000000028</v>
      </c>
      <c r="C33">
        <f>107624</f>
        <v>107624</v>
      </c>
      <c r="D33">
        <v>637000</v>
      </c>
      <c r="J33">
        <f>127.8</f>
        <v>127.8</v>
      </c>
      <c r="K33">
        <f>194.1</f>
        <v>194.1</v>
      </c>
      <c r="L33">
        <f>766.7</f>
        <v>766.7</v>
      </c>
    </row>
    <row r="34" spans="1:12" x14ac:dyDescent="0.3">
      <c r="A34" s="26">
        <f t="shared" si="9"/>
        <v>-4.6049999999999995</v>
      </c>
      <c r="B34">
        <v>0.19500000000000028</v>
      </c>
      <c r="C34">
        <f>111020</f>
        <v>111020</v>
      </c>
      <c r="D34">
        <v>585000</v>
      </c>
      <c r="J34">
        <f>100</f>
        <v>100</v>
      </c>
      <c r="K34">
        <f>100</f>
        <v>100</v>
      </c>
      <c r="L34">
        <f>727.8</f>
        <v>727.8</v>
      </c>
    </row>
    <row r="35" spans="1:12" x14ac:dyDescent="0.3">
      <c r="A35" s="26">
        <f t="shared" si="9"/>
        <v>-4.5829999999999993</v>
      </c>
      <c r="B35">
        <v>0.21700000000000053</v>
      </c>
      <c r="C35">
        <f>111548</f>
        <v>111548</v>
      </c>
      <c r="D35">
        <v>631000</v>
      </c>
      <c r="J35">
        <f>105.9</f>
        <v>105.9</v>
      </c>
      <c r="K35">
        <f>105.9</f>
        <v>105.9</v>
      </c>
      <c r="L35">
        <f>976.5</f>
        <v>976.5</v>
      </c>
    </row>
    <row r="36" spans="1:12" x14ac:dyDescent="0.3">
      <c r="A36" s="26">
        <f t="shared" si="9"/>
        <v>-4.5699999999999994</v>
      </c>
      <c r="B36">
        <v>0.23000000000000043</v>
      </c>
      <c r="C36">
        <f>110784</f>
        <v>110784</v>
      </c>
      <c r="D36">
        <v>627000</v>
      </c>
      <c r="J36">
        <f>188.2</f>
        <v>188.2</v>
      </c>
      <c r="K36">
        <f>138.9</f>
        <v>138.9</v>
      </c>
      <c r="L36">
        <f>911.1</f>
        <v>911.1</v>
      </c>
    </row>
    <row r="37" spans="1:12" x14ac:dyDescent="0.3">
      <c r="A37" s="26">
        <f t="shared" si="9"/>
        <v>-4.59</v>
      </c>
      <c r="B37">
        <v>0.20999999999999996</v>
      </c>
      <c r="C37">
        <f>116552</f>
        <v>116552</v>
      </c>
      <c r="D37">
        <v>586000</v>
      </c>
      <c r="J37">
        <f>177.8</f>
        <v>177.8</v>
      </c>
      <c r="K37">
        <f>100</f>
        <v>100</v>
      </c>
      <c r="L37">
        <f>729.4</f>
        <v>729.4</v>
      </c>
    </row>
    <row r="38" spans="1:12" x14ac:dyDescent="0.3">
      <c r="A38" s="26">
        <f t="shared" si="9"/>
        <v>-4.59</v>
      </c>
      <c r="B38">
        <v>0.20999999999999996</v>
      </c>
      <c r="C38">
        <f>122452</f>
        <v>122452</v>
      </c>
      <c r="D38">
        <v>664000</v>
      </c>
      <c r="J38">
        <f>264.7</f>
        <v>264.7</v>
      </c>
      <c r="K38">
        <f>105.9</f>
        <v>105.9</v>
      </c>
      <c r="L38">
        <f>783.3</f>
        <v>783.3</v>
      </c>
    </row>
    <row r="39" spans="1:12" x14ac:dyDescent="0.3">
      <c r="A39" s="26">
        <f t="shared" si="9"/>
        <v>-4.5749999999999993</v>
      </c>
      <c r="B39">
        <v>0.22500000000000053</v>
      </c>
      <c r="C39">
        <f>124620</f>
        <v>124620</v>
      </c>
      <c r="D39">
        <v>675000</v>
      </c>
      <c r="J39">
        <f>105.9</f>
        <v>105.9</v>
      </c>
      <c r="K39">
        <f>247.1</f>
        <v>247.1</v>
      </c>
      <c r="L39">
        <f>950</f>
        <v>950</v>
      </c>
    </row>
    <row r="40" spans="1:12" x14ac:dyDescent="0.3">
      <c r="A40" s="26">
        <f t="shared" si="9"/>
        <v>-4.585</v>
      </c>
      <c r="B40">
        <v>0.21499999999999986</v>
      </c>
      <c r="C40">
        <f>126260</f>
        <v>126260</v>
      </c>
      <c r="D40">
        <v>616000</v>
      </c>
      <c r="J40">
        <f>100</f>
        <v>100</v>
      </c>
      <c r="K40">
        <f>241.2</f>
        <v>241.2</v>
      </c>
      <c r="L40">
        <f>911.8</f>
        <v>911.8</v>
      </c>
    </row>
    <row r="41" spans="1:12" x14ac:dyDescent="0.3">
      <c r="A41" s="26">
        <f t="shared" si="9"/>
        <v>-4.5669999999999993</v>
      </c>
      <c r="B41">
        <v>0.23300000000000054</v>
      </c>
      <c r="C41">
        <f>126036</f>
        <v>126036</v>
      </c>
      <c r="D41">
        <v>697000</v>
      </c>
      <c r="J41">
        <f>172.2</f>
        <v>172.2</v>
      </c>
      <c r="K41">
        <f>182.4</f>
        <v>182.4</v>
      </c>
      <c r="L41">
        <f>900</f>
        <v>900</v>
      </c>
    </row>
    <row r="42" spans="1:12" x14ac:dyDescent="0.3">
      <c r="A42" s="26">
        <f t="shared" si="9"/>
        <v>-4.5619999999999994</v>
      </c>
      <c r="B42">
        <v>0.23800000000000043</v>
      </c>
      <c r="C42">
        <f>125504</f>
        <v>125504</v>
      </c>
      <c r="D42">
        <v>679000</v>
      </c>
      <c r="J42">
        <f>188.2</f>
        <v>188.2</v>
      </c>
      <c r="K42">
        <f>227.8</f>
        <v>227.8</v>
      </c>
      <c r="L42">
        <f>829.4</f>
        <v>829.4</v>
      </c>
    </row>
    <row r="43" spans="1:12" x14ac:dyDescent="0.3">
      <c r="A43" s="26">
        <f t="shared" si="9"/>
        <v>-4.5749999999999993</v>
      </c>
      <c r="B43">
        <v>0.22500000000000053</v>
      </c>
      <c r="C43">
        <f>127712</f>
        <v>127712</v>
      </c>
      <c r="D43">
        <v>743000</v>
      </c>
      <c r="J43">
        <f>200</f>
        <v>200</v>
      </c>
      <c r="K43">
        <f>216.7</f>
        <v>216.7</v>
      </c>
      <c r="L43">
        <f>888.9</f>
        <v>888.9</v>
      </c>
    </row>
    <row r="44" spans="1:12" x14ac:dyDescent="0.3">
      <c r="A44" s="26">
        <f t="shared" si="9"/>
        <v>-4.5599999999999996</v>
      </c>
      <c r="B44">
        <v>0.24000000000000021</v>
      </c>
      <c r="C44">
        <f>128152</f>
        <v>128152</v>
      </c>
      <c r="D44">
        <v>756000</v>
      </c>
      <c r="J44">
        <f>158.8</f>
        <v>158.80000000000001</v>
      </c>
      <c r="K44">
        <f>100</f>
        <v>100</v>
      </c>
      <c r="L44">
        <f>783.3</f>
        <v>783.3</v>
      </c>
    </row>
    <row r="45" spans="1:12" x14ac:dyDescent="0.3">
      <c r="A45" s="26">
        <f t="shared" si="9"/>
        <v>-4.5699999999999994</v>
      </c>
      <c r="B45">
        <v>0.23000000000000043</v>
      </c>
      <c r="C45">
        <f>129192</f>
        <v>129192</v>
      </c>
      <c r="D45">
        <v>737000</v>
      </c>
      <c r="J45">
        <f>94.1</f>
        <v>94.1</v>
      </c>
      <c r="K45">
        <f>227.8</f>
        <v>227.8</v>
      </c>
      <c r="L45">
        <f>805.9</f>
        <v>805.9</v>
      </c>
    </row>
    <row r="46" spans="1:12" x14ac:dyDescent="0.3">
      <c r="A46" s="26">
        <f t="shared" si="9"/>
        <v>-4.5640000000000001</v>
      </c>
      <c r="B46">
        <v>0.23599999999999977</v>
      </c>
      <c r="C46">
        <f>131196</f>
        <v>131196</v>
      </c>
      <c r="D46">
        <v>789000</v>
      </c>
      <c r="J46">
        <f>172.2</f>
        <v>172.2</v>
      </c>
      <c r="K46">
        <f>100</f>
        <v>100</v>
      </c>
      <c r="L46">
        <f>777.8</f>
        <v>777.8</v>
      </c>
    </row>
    <row r="47" spans="1:12" x14ac:dyDescent="0.3">
      <c r="A47" s="26">
        <f t="shared" si="9"/>
        <v>-4.5469999999999997</v>
      </c>
      <c r="B47">
        <v>0.25300000000000011</v>
      </c>
      <c r="C47">
        <f>133576</f>
        <v>133576</v>
      </c>
      <c r="D47">
        <v>798000</v>
      </c>
      <c r="J47">
        <f>188.2</f>
        <v>188.2</v>
      </c>
      <c r="K47">
        <f>105.9</f>
        <v>105.9</v>
      </c>
      <c r="L47">
        <f>923.5</f>
        <v>923.5</v>
      </c>
    </row>
    <row r="48" spans="1:12" x14ac:dyDescent="0.3">
      <c r="A48" s="26">
        <f t="shared" si="9"/>
        <v>-4.5619999999999994</v>
      </c>
      <c r="B48">
        <v>0.23800000000000043</v>
      </c>
      <c r="C48">
        <f>138528</f>
        <v>138528</v>
      </c>
      <c r="D48">
        <v>741000</v>
      </c>
      <c r="J48">
        <f>188.2</f>
        <v>188.2</v>
      </c>
      <c r="K48">
        <f>105.9</f>
        <v>105.9</v>
      </c>
      <c r="L48">
        <f>877.8</f>
        <v>877.8</v>
      </c>
    </row>
    <row r="49" spans="1:12" x14ac:dyDescent="0.3">
      <c r="A49" s="26">
        <f t="shared" si="9"/>
        <v>-4.5459999999999994</v>
      </c>
      <c r="B49">
        <v>0.25400000000000045</v>
      </c>
      <c r="C49">
        <f>142504</f>
        <v>142504</v>
      </c>
      <c r="D49">
        <v>897000</v>
      </c>
      <c r="J49">
        <f>111.8</f>
        <v>111.8</v>
      </c>
      <c r="K49">
        <f>111.8</f>
        <v>111.8</v>
      </c>
      <c r="L49">
        <f>861.1</f>
        <v>861.1</v>
      </c>
    </row>
    <row r="50" spans="1:12" x14ac:dyDescent="0.3">
      <c r="A50" s="26">
        <f t="shared" si="9"/>
        <v>-4.5459999999999994</v>
      </c>
      <c r="B50">
        <v>0.25400000000000045</v>
      </c>
      <c r="C50">
        <f>145968</f>
        <v>145968</v>
      </c>
      <c r="D50">
        <v>786000</v>
      </c>
      <c r="J50">
        <f>158.8</f>
        <v>158.80000000000001</v>
      </c>
      <c r="K50">
        <f>229.4</f>
        <v>229.4</v>
      </c>
      <c r="L50">
        <f>861.1</f>
        <v>861.1</v>
      </c>
    </row>
    <row r="51" spans="1:12" x14ac:dyDescent="0.3">
      <c r="A51" s="26">
        <f t="shared" si="9"/>
        <v>-4.5549999999999997</v>
      </c>
      <c r="B51">
        <v>0.24500000000000011</v>
      </c>
      <c r="C51">
        <f>142456</f>
        <v>142456</v>
      </c>
      <c r="D51">
        <v>882000</v>
      </c>
      <c r="J51">
        <f>188.2</f>
        <v>188.2</v>
      </c>
      <c r="K51">
        <f>111.8</f>
        <v>111.8</v>
      </c>
      <c r="L51">
        <f>866.7</f>
        <v>866.7</v>
      </c>
    </row>
    <row r="52" spans="1:12" x14ac:dyDescent="0.3">
      <c r="A52" s="26">
        <f t="shared" si="9"/>
        <v>-4.5339999999999998</v>
      </c>
      <c r="B52">
        <v>0.26600000000000001</v>
      </c>
      <c r="C52">
        <f>146324</f>
        <v>146324</v>
      </c>
      <c r="D52">
        <v>852000</v>
      </c>
      <c r="J52">
        <f>188.2</f>
        <v>188.2</v>
      </c>
      <c r="K52">
        <f>205.6</f>
        <v>205.6</v>
      </c>
      <c r="L52">
        <f>923.5</f>
        <v>923.5</v>
      </c>
    </row>
    <row r="53" spans="1:12" x14ac:dyDescent="0.3">
      <c r="A53" s="26">
        <f t="shared" si="9"/>
        <v>-4.5469999999999997</v>
      </c>
      <c r="B53">
        <v>0.25300000000000011</v>
      </c>
      <c r="C53">
        <f>146576</f>
        <v>146576</v>
      </c>
      <c r="D53">
        <v>906000</v>
      </c>
      <c r="J53">
        <f>183.3</f>
        <v>183.3</v>
      </c>
      <c r="K53">
        <f>217.6</f>
        <v>217.6</v>
      </c>
      <c r="L53">
        <f>733.3</f>
        <v>733.3</v>
      </c>
    </row>
    <row r="54" spans="1:12" x14ac:dyDescent="0.3">
      <c r="A54" s="26">
        <f t="shared" si="9"/>
        <v>-4.5309999999999997</v>
      </c>
      <c r="B54">
        <v>0.26900000000000013</v>
      </c>
      <c r="C54">
        <f>149420</f>
        <v>149420</v>
      </c>
      <c r="D54">
        <v>551000</v>
      </c>
      <c r="J54">
        <f>105.9</f>
        <v>105.9</v>
      </c>
      <c r="K54">
        <f>123.5</f>
        <v>123.5</v>
      </c>
      <c r="L54">
        <f>241.2</f>
        <v>241.2</v>
      </c>
    </row>
    <row r="55" spans="1:12" x14ac:dyDescent="0.3">
      <c r="A55" s="26">
        <f t="shared" si="9"/>
        <v>-4.5299999999999994</v>
      </c>
      <c r="B55">
        <v>0.27000000000000046</v>
      </c>
      <c r="C55">
        <f>144716</f>
        <v>144716</v>
      </c>
      <c r="J55">
        <f>194.1</f>
        <v>194.1</v>
      </c>
      <c r="K55">
        <f>135.3</f>
        <v>135.30000000000001</v>
      </c>
    </row>
    <row r="56" spans="1:12" x14ac:dyDescent="0.3">
      <c r="A56" s="26">
        <f t="shared" si="9"/>
        <v>-4.5389999999999997</v>
      </c>
      <c r="B56">
        <v>0.26100000000000012</v>
      </c>
      <c r="C56">
        <f>148064</f>
        <v>148064</v>
      </c>
      <c r="J56">
        <f>177.8</f>
        <v>177.8</v>
      </c>
      <c r="K56">
        <f>111.1</f>
        <v>111.1</v>
      </c>
    </row>
    <row r="57" spans="1:12" x14ac:dyDescent="0.3">
      <c r="A57" s="26">
        <f t="shared" si="9"/>
        <v>-4.5179999999999998</v>
      </c>
      <c r="B57">
        <v>0.28200000000000003</v>
      </c>
      <c r="C57">
        <f>147820</f>
        <v>147820</v>
      </c>
      <c r="J57">
        <f>194.1</f>
        <v>194.1</v>
      </c>
      <c r="K57">
        <f>129.4</f>
        <v>129.4</v>
      </c>
    </row>
    <row r="58" spans="1:12" x14ac:dyDescent="0.3">
      <c r="A58" s="26">
        <f t="shared" si="9"/>
        <v>-4.516</v>
      </c>
      <c r="B58">
        <v>0.28399999999999981</v>
      </c>
      <c r="C58">
        <f>146788</f>
        <v>146788</v>
      </c>
      <c r="J58">
        <f>188.2</f>
        <v>188.2</v>
      </c>
      <c r="K58">
        <f>117.6</f>
        <v>117.6</v>
      </c>
    </row>
    <row r="59" spans="1:12" x14ac:dyDescent="0.3">
      <c r="A59" s="26">
        <f t="shared" si="9"/>
        <v>-4.5279999999999996</v>
      </c>
      <c r="B59">
        <v>0.27200000000000024</v>
      </c>
      <c r="C59">
        <f>148956</f>
        <v>148956</v>
      </c>
      <c r="J59">
        <f>182.4</f>
        <v>182.4</v>
      </c>
      <c r="K59">
        <f>133.3</f>
        <v>133.30000000000001</v>
      </c>
    </row>
    <row r="60" spans="1:12" x14ac:dyDescent="0.3">
      <c r="A60" s="26">
        <f t="shared" si="9"/>
        <v>-4.5199999999999996</v>
      </c>
      <c r="B60">
        <v>0.28000000000000025</v>
      </c>
      <c r="C60">
        <f>150284</f>
        <v>150284</v>
      </c>
      <c r="J60">
        <f>183.3</f>
        <v>183.3</v>
      </c>
      <c r="K60">
        <f>222.2</f>
        <v>222.2</v>
      </c>
    </row>
    <row r="61" spans="1:12" x14ac:dyDescent="0.3">
      <c r="A61" s="26">
        <f t="shared" si="9"/>
        <v>-4.5059999999999993</v>
      </c>
      <c r="B61">
        <v>0.29400000000000048</v>
      </c>
      <c r="C61">
        <f>153200</f>
        <v>153200</v>
      </c>
      <c r="J61">
        <f>264.7</f>
        <v>264.7</v>
      </c>
      <c r="K61">
        <f>100</f>
        <v>100</v>
      </c>
    </row>
    <row r="62" spans="1:12" x14ac:dyDescent="0.3">
      <c r="A62" s="26">
        <f t="shared" si="9"/>
        <v>-4.5039999999999996</v>
      </c>
      <c r="B62">
        <v>0.29600000000000026</v>
      </c>
      <c r="C62">
        <f>154464</f>
        <v>154464</v>
      </c>
      <c r="J62">
        <f>182.4</f>
        <v>182.4</v>
      </c>
      <c r="K62">
        <f>229.4</f>
        <v>229.4</v>
      </c>
    </row>
    <row r="63" spans="1:12" x14ac:dyDescent="0.3">
      <c r="A63" s="26">
        <f t="shared" si="9"/>
        <v>-4.492</v>
      </c>
      <c r="B63">
        <v>0.30799999999999983</v>
      </c>
      <c r="C63">
        <f>151896</f>
        <v>151896</v>
      </c>
      <c r="J63">
        <f>182.4</f>
        <v>182.4</v>
      </c>
      <c r="K63">
        <f>100</f>
        <v>100</v>
      </c>
    </row>
    <row r="64" spans="1:12" x14ac:dyDescent="0.3">
      <c r="A64" s="26">
        <f t="shared" si="9"/>
        <v>-4.5049999999999999</v>
      </c>
      <c r="B64">
        <v>0.29499999999999993</v>
      </c>
      <c r="C64">
        <f>157032</f>
        <v>157032</v>
      </c>
      <c r="J64">
        <f>100</f>
        <v>100</v>
      </c>
      <c r="K64">
        <f>129.4</f>
        <v>129.4</v>
      </c>
    </row>
    <row r="65" spans="1:11" x14ac:dyDescent="0.3">
      <c r="A65" s="26">
        <f t="shared" si="9"/>
        <v>-4.4869999999999992</v>
      </c>
      <c r="B65">
        <v>0.31300000000000061</v>
      </c>
      <c r="C65">
        <f>168840</f>
        <v>168840</v>
      </c>
      <c r="J65">
        <f>177.8</f>
        <v>177.8</v>
      </c>
      <c r="K65">
        <f>111.8</f>
        <v>111.8</v>
      </c>
    </row>
    <row r="66" spans="1:11" x14ac:dyDescent="0.3">
      <c r="A66" s="26">
        <f t="shared" si="9"/>
        <v>-4.4869999999999992</v>
      </c>
      <c r="B66">
        <v>0.31300000000000061</v>
      </c>
      <c r="C66">
        <f>167636</f>
        <v>167636</v>
      </c>
      <c r="J66">
        <f>183.3</f>
        <v>183.3</v>
      </c>
      <c r="K66">
        <f>152.9</f>
        <v>152.9</v>
      </c>
    </row>
    <row r="67" spans="1:11" x14ac:dyDescent="0.3">
      <c r="A67" s="26">
        <f t="shared" si="9"/>
        <v>-4.5039999999999996</v>
      </c>
      <c r="B67">
        <v>0.29600000000000026</v>
      </c>
      <c r="C67">
        <f>166744</f>
        <v>166744</v>
      </c>
      <c r="J67">
        <f>223.5</f>
        <v>223.5</v>
      </c>
      <c r="K67">
        <f>100</f>
        <v>100</v>
      </c>
    </row>
    <row r="68" spans="1:11" x14ac:dyDescent="0.3">
      <c r="A68" s="26">
        <f t="shared" si="9"/>
        <v>-4.4769999999999994</v>
      </c>
      <c r="B68">
        <v>0.3230000000000004</v>
      </c>
      <c r="C68">
        <f>172000</f>
        <v>172000</v>
      </c>
      <c r="J68">
        <f>182.4</f>
        <v>182.4</v>
      </c>
      <c r="K68">
        <f>129.4</f>
        <v>129.4</v>
      </c>
    </row>
    <row r="69" spans="1:11" x14ac:dyDescent="0.3">
      <c r="A69" s="26">
        <f t="shared" si="9"/>
        <v>-4.4949999999999992</v>
      </c>
      <c r="B69">
        <v>0.3050000000000006</v>
      </c>
      <c r="C69">
        <f>170504</f>
        <v>170504</v>
      </c>
      <c r="J69">
        <f>105.9</f>
        <v>105.9</v>
      </c>
      <c r="K69">
        <f>105.9</f>
        <v>105.9</v>
      </c>
    </row>
    <row r="70" spans="1:11" x14ac:dyDescent="0.3">
      <c r="A70" s="26">
        <f t="shared" ref="A70:A133" si="11">B70-4.8</f>
        <v>-4.484</v>
      </c>
      <c r="B70">
        <v>0.31599999999999984</v>
      </c>
      <c r="C70">
        <f>171556</f>
        <v>171556</v>
      </c>
      <c r="J70">
        <f>183.3</f>
        <v>183.3</v>
      </c>
      <c r="K70">
        <f>105.6</f>
        <v>105.6</v>
      </c>
    </row>
    <row r="71" spans="1:11" x14ac:dyDescent="0.3">
      <c r="A71" s="26">
        <f t="shared" si="11"/>
        <v>-4.468</v>
      </c>
      <c r="B71">
        <v>0.33199999999999985</v>
      </c>
      <c r="C71">
        <f>172484</f>
        <v>172484</v>
      </c>
      <c r="J71">
        <f>217.6</f>
        <v>217.6</v>
      </c>
      <c r="K71">
        <f>222.2</f>
        <v>222.2</v>
      </c>
    </row>
    <row r="72" spans="1:11" x14ac:dyDescent="0.3">
      <c r="A72" s="26">
        <f t="shared" si="11"/>
        <v>-4.4849999999999994</v>
      </c>
      <c r="B72">
        <v>0.31500000000000039</v>
      </c>
      <c r="C72">
        <f>174836</f>
        <v>174836</v>
      </c>
      <c r="J72">
        <f>211.8</f>
        <v>211.8</v>
      </c>
      <c r="K72">
        <f>229.4</f>
        <v>229.4</v>
      </c>
    </row>
    <row r="73" spans="1:11" x14ac:dyDescent="0.3">
      <c r="A73" s="26">
        <f t="shared" si="11"/>
        <v>-4.4630000000000001</v>
      </c>
      <c r="B73">
        <v>0.33699999999999974</v>
      </c>
      <c r="C73">
        <f>173932</f>
        <v>173932</v>
      </c>
      <c r="J73">
        <f>177.8</f>
        <v>177.8</v>
      </c>
      <c r="K73">
        <f>247.1</f>
        <v>247.1</v>
      </c>
    </row>
    <row r="74" spans="1:11" x14ac:dyDescent="0.3">
      <c r="A74" s="26">
        <f t="shared" si="11"/>
        <v>-4.4550000000000001</v>
      </c>
      <c r="B74">
        <v>0.34499999999999975</v>
      </c>
      <c r="C74">
        <f>172536</f>
        <v>172536</v>
      </c>
      <c r="J74">
        <f>177.8</f>
        <v>177.8</v>
      </c>
      <c r="K74">
        <f>100</f>
        <v>100</v>
      </c>
    </row>
    <row r="75" spans="1:11" x14ac:dyDescent="0.3">
      <c r="A75" s="26">
        <f t="shared" si="11"/>
        <v>-4.4739999999999993</v>
      </c>
      <c r="B75">
        <v>0.32600000000000051</v>
      </c>
      <c r="C75">
        <f>178120</f>
        <v>178120</v>
      </c>
      <c r="J75">
        <f>200</f>
        <v>200</v>
      </c>
      <c r="K75">
        <f>217.6</f>
        <v>217.6</v>
      </c>
    </row>
    <row r="76" spans="1:11" x14ac:dyDescent="0.3">
      <c r="A76" s="26">
        <f t="shared" si="11"/>
        <v>-4.4470000000000001</v>
      </c>
      <c r="B76">
        <v>0.35299999999999976</v>
      </c>
      <c r="C76">
        <f>180268</f>
        <v>180268</v>
      </c>
      <c r="J76">
        <f>270.6</f>
        <v>270.60000000000002</v>
      </c>
      <c r="K76">
        <f>223.5</f>
        <v>223.5</v>
      </c>
    </row>
    <row r="77" spans="1:11" x14ac:dyDescent="0.3">
      <c r="A77" s="26">
        <f t="shared" si="11"/>
        <v>-4.4649999999999999</v>
      </c>
      <c r="B77">
        <v>0.33499999999999996</v>
      </c>
      <c r="C77">
        <f>184928</f>
        <v>184928</v>
      </c>
      <c r="J77">
        <f>172.2</f>
        <v>172.2</v>
      </c>
      <c r="K77">
        <f>105.9</f>
        <v>105.9</v>
      </c>
    </row>
    <row r="78" spans="1:11" x14ac:dyDescent="0.3">
      <c r="A78" s="26">
        <f t="shared" si="11"/>
        <v>-4.4619999999999997</v>
      </c>
      <c r="B78">
        <v>0.33800000000000008</v>
      </c>
      <c r="C78">
        <f>186124</f>
        <v>186124</v>
      </c>
      <c r="J78">
        <f>188.2</f>
        <v>188.2</v>
      </c>
      <c r="K78">
        <f>227.8</f>
        <v>227.8</v>
      </c>
    </row>
    <row r="79" spans="1:11" x14ac:dyDescent="0.3">
      <c r="A79" s="26">
        <f t="shared" si="11"/>
        <v>-4.4329999999999998</v>
      </c>
      <c r="B79">
        <v>0.36699999999999999</v>
      </c>
      <c r="C79">
        <f>187632</f>
        <v>187632</v>
      </c>
      <c r="J79">
        <f>105.9</f>
        <v>105.9</v>
      </c>
      <c r="K79">
        <f>111.8</f>
        <v>111.8</v>
      </c>
    </row>
    <row r="80" spans="1:11" x14ac:dyDescent="0.3">
      <c r="A80" s="26">
        <f t="shared" si="11"/>
        <v>-4.4509999999999996</v>
      </c>
      <c r="B80">
        <v>0.3490000000000002</v>
      </c>
      <c r="C80">
        <f>201596</f>
        <v>201596</v>
      </c>
      <c r="J80">
        <f>172.2</f>
        <v>172.2</v>
      </c>
      <c r="K80">
        <f>105.9</f>
        <v>105.9</v>
      </c>
    </row>
    <row r="81" spans="1:11" x14ac:dyDescent="0.3">
      <c r="A81" s="26">
        <f t="shared" si="11"/>
        <v>-4.4329999999999998</v>
      </c>
      <c r="B81">
        <v>0.36699999999999999</v>
      </c>
      <c r="C81">
        <f>197700</f>
        <v>197700</v>
      </c>
      <c r="J81">
        <f>264.7</f>
        <v>264.7</v>
      </c>
      <c r="K81">
        <f>217.6</f>
        <v>217.6</v>
      </c>
    </row>
    <row r="82" spans="1:11" x14ac:dyDescent="0.3">
      <c r="A82" s="26">
        <f t="shared" si="11"/>
        <v>-4.4239999999999995</v>
      </c>
      <c r="B82">
        <v>0.37600000000000033</v>
      </c>
      <c r="C82">
        <f>200280</f>
        <v>200280</v>
      </c>
      <c r="J82">
        <f>188.2</f>
        <v>188.2</v>
      </c>
      <c r="K82">
        <f>116.7</f>
        <v>116.7</v>
      </c>
    </row>
    <row r="83" spans="1:11" x14ac:dyDescent="0.3">
      <c r="A83" s="26">
        <f t="shared" si="11"/>
        <v>-4.4409999999999998</v>
      </c>
      <c r="B83">
        <v>0.35899999999999999</v>
      </c>
      <c r="C83">
        <f>200040</f>
        <v>200040</v>
      </c>
      <c r="J83">
        <f>176.5</f>
        <v>176.5</v>
      </c>
      <c r="K83">
        <f>223.5</f>
        <v>223.5</v>
      </c>
    </row>
    <row r="84" spans="1:11" x14ac:dyDescent="0.3">
      <c r="A84" s="26">
        <f t="shared" si="11"/>
        <v>-4.4159999999999995</v>
      </c>
      <c r="B84">
        <v>0.38400000000000034</v>
      </c>
      <c r="C84">
        <f>199460</f>
        <v>199460</v>
      </c>
      <c r="J84">
        <f>194.1</f>
        <v>194.1</v>
      </c>
      <c r="K84">
        <f>88.2</f>
        <v>88.2</v>
      </c>
    </row>
    <row r="85" spans="1:11" x14ac:dyDescent="0.3">
      <c r="A85" s="26">
        <f t="shared" si="11"/>
        <v>-4.4089999999999998</v>
      </c>
      <c r="B85">
        <v>0.39100000000000001</v>
      </c>
      <c r="C85">
        <f>205680</f>
        <v>205680</v>
      </c>
      <c r="J85">
        <f>172.2</f>
        <v>172.2</v>
      </c>
      <c r="K85">
        <f>100</f>
        <v>100</v>
      </c>
    </row>
    <row r="86" spans="1:11" x14ac:dyDescent="0.3">
      <c r="A86" s="26">
        <f t="shared" si="11"/>
        <v>-4.4459999999999997</v>
      </c>
      <c r="B86">
        <v>0.35400000000000009</v>
      </c>
      <c r="C86">
        <f>216584</f>
        <v>216584</v>
      </c>
      <c r="J86">
        <f>264.7</f>
        <v>264.7</v>
      </c>
      <c r="K86">
        <f>111.8</f>
        <v>111.8</v>
      </c>
    </row>
    <row r="87" spans="1:11" x14ac:dyDescent="0.3">
      <c r="A87" s="26">
        <f t="shared" si="11"/>
        <v>-4.423</v>
      </c>
      <c r="B87">
        <v>0.37699999999999978</v>
      </c>
      <c r="C87">
        <f>225360</f>
        <v>225360</v>
      </c>
      <c r="J87">
        <f>177.8</f>
        <v>177.8</v>
      </c>
      <c r="K87">
        <f>111.8</f>
        <v>111.8</v>
      </c>
    </row>
    <row r="88" spans="1:11" x14ac:dyDescent="0.3">
      <c r="A88" s="26">
        <f t="shared" si="11"/>
        <v>-4.42</v>
      </c>
      <c r="B88">
        <v>0.37999999999999989</v>
      </c>
      <c r="C88">
        <f>225996</f>
        <v>225996</v>
      </c>
      <c r="J88">
        <f>172.2</f>
        <v>172.2</v>
      </c>
      <c r="K88">
        <f>216.7</f>
        <v>216.7</v>
      </c>
    </row>
    <row r="89" spans="1:11" x14ac:dyDescent="0.3">
      <c r="A89" s="26">
        <f t="shared" si="11"/>
        <v>-4.444</v>
      </c>
      <c r="B89">
        <v>0.35599999999999987</v>
      </c>
      <c r="C89">
        <f>229412</f>
        <v>229412</v>
      </c>
      <c r="J89">
        <f>182.4</f>
        <v>182.4</v>
      </c>
      <c r="K89">
        <f>100</f>
        <v>100</v>
      </c>
    </row>
    <row r="90" spans="1:11" x14ac:dyDescent="0.3">
      <c r="A90" s="26">
        <f t="shared" si="11"/>
        <v>-4.4159999999999995</v>
      </c>
      <c r="B90">
        <v>0.38400000000000034</v>
      </c>
      <c r="C90">
        <f>231428</f>
        <v>231428</v>
      </c>
      <c r="J90">
        <f>182.4</f>
        <v>182.4</v>
      </c>
      <c r="K90">
        <f>129.4</f>
        <v>129.4</v>
      </c>
    </row>
    <row r="91" spans="1:11" x14ac:dyDescent="0.3">
      <c r="A91" s="26">
        <f t="shared" si="11"/>
        <v>-4.4119999999999999</v>
      </c>
      <c r="B91">
        <v>0.3879999999999999</v>
      </c>
      <c r="C91">
        <f>236488</f>
        <v>236488</v>
      </c>
      <c r="J91">
        <f>266.7</f>
        <v>266.7</v>
      </c>
      <c r="K91">
        <f>235.3</f>
        <v>235.3</v>
      </c>
    </row>
    <row r="92" spans="1:11" x14ac:dyDescent="0.3">
      <c r="A92" s="26">
        <f t="shared" si="11"/>
        <v>-4.431</v>
      </c>
      <c r="B92">
        <v>0.36899999999999977</v>
      </c>
      <c r="C92">
        <f>238872</f>
        <v>238872</v>
      </c>
      <c r="J92">
        <f>188.2</f>
        <v>188.2</v>
      </c>
      <c r="K92">
        <f>152.9</f>
        <v>152.9</v>
      </c>
    </row>
    <row r="93" spans="1:11" x14ac:dyDescent="0.3">
      <c r="A93" s="26">
        <f t="shared" si="11"/>
        <v>-4.407</v>
      </c>
      <c r="B93">
        <v>0.39299999999999979</v>
      </c>
      <c r="C93">
        <f>240104</f>
        <v>240104</v>
      </c>
      <c r="J93">
        <f>172.2</f>
        <v>172.2</v>
      </c>
      <c r="K93">
        <f>200</f>
        <v>200</v>
      </c>
    </row>
    <row r="94" spans="1:11" x14ac:dyDescent="0.3">
      <c r="A94" s="26">
        <f t="shared" si="11"/>
        <v>-4.4239999999999995</v>
      </c>
      <c r="B94">
        <v>0.37600000000000033</v>
      </c>
      <c r="C94">
        <f>246164</f>
        <v>246164</v>
      </c>
      <c r="J94">
        <f>188.2</f>
        <v>188.2</v>
      </c>
      <c r="K94">
        <f>105.9</f>
        <v>105.9</v>
      </c>
    </row>
    <row r="95" spans="1:11" x14ac:dyDescent="0.3">
      <c r="A95" s="26">
        <f t="shared" si="11"/>
        <v>-4.4089999999999998</v>
      </c>
      <c r="B95">
        <v>0.39100000000000001</v>
      </c>
      <c r="C95">
        <f>245236</f>
        <v>245236</v>
      </c>
      <c r="J95">
        <f>188.2</f>
        <v>188.2</v>
      </c>
      <c r="K95">
        <f>105.6</f>
        <v>105.6</v>
      </c>
    </row>
    <row r="96" spans="1:11" x14ac:dyDescent="0.3">
      <c r="A96" s="26">
        <f t="shared" si="11"/>
        <v>-4.3929999999999998</v>
      </c>
      <c r="B96">
        <v>0.40700000000000003</v>
      </c>
      <c r="C96">
        <f>250752</f>
        <v>250752</v>
      </c>
      <c r="J96">
        <f>244.4</f>
        <v>244.4</v>
      </c>
      <c r="K96">
        <f>111.8</f>
        <v>111.8</v>
      </c>
    </row>
    <row r="97" spans="1:11" x14ac:dyDescent="0.3">
      <c r="A97" s="26">
        <f t="shared" si="11"/>
        <v>-4.4349999999999996</v>
      </c>
      <c r="B97">
        <v>0.36500000000000021</v>
      </c>
      <c r="C97">
        <f>256068</f>
        <v>256068</v>
      </c>
      <c r="J97">
        <f>188.2</f>
        <v>188.2</v>
      </c>
      <c r="K97">
        <f>216.7</f>
        <v>216.7</v>
      </c>
    </row>
    <row r="98" spans="1:11" x14ac:dyDescent="0.3">
      <c r="A98" s="26">
        <f t="shared" si="11"/>
        <v>-4.4089999999999998</v>
      </c>
      <c r="B98">
        <v>0.39100000000000001</v>
      </c>
      <c r="C98">
        <f>258856</f>
        <v>258856</v>
      </c>
      <c r="J98">
        <f>194.1</f>
        <v>194.1</v>
      </c>
      <c r="K98">
        <f>211.1</f>
        <v>211.1</v>
      </c>
    </row>
    <row r="99" spans="1:11" x14ac:dyDescent="0.3">
      <c r="A99" s="26">
        <f t="shared" si="11"/>
        <v>-4.407</v>
      </c>
      <c r="B99">
        <v>0.39299999999999979</v>
      </c>
      <c r="C99">
        <f>261696</f>
        <v>261696</v>
      </c>
      <c r="J99">
        <f>182.4</f>
        <v>182.4</v>
      </c>
      <c r="K99">
        <f>111.1</f>
        <v>111.1</v>
      </c>
    </row>
    <row r="100" spans="1:11" x14ac:dyDescent="0.3">
      <c r="A100" s="26">
        <f t="shared" si="11"/>
        <v>-4.4259999999999993</v>
      </c>
      <c r="B100">
        <v>0.37400000000000055</v>
      </c>
      <c r="C100">
        <f>263948</f>
        <v>263948</v>
      </c>
      <c r="J100">
        <f>188.2</f>
        <v>188.2</v>
      </c>
      <c r="K100">
        <f>229.4</f>
        <v>229.4</v>
      </c>
    </row>
    <row r="101" spans="1:11" x14ac:dyDescent="0.3">
      <c r="A101" s="26">
        <f t="shared" si="11"/>
        <v>-4.399</v>
      </c>
      <c r="B101">
        <v>0.4009999999999998</v>
      </c>
      <c r="C101">
        <f>268064</f>
        <v>268064</v>
      </c>
      <c r="J101">
        <f>188.2</f>
        <v>188.2</v>
      </c>
      <c r="K101">
        <f>105.6</f>
        <v>105.6</v>
      </c>
    </row>
    <row r="102" spans="1:11" x14ac:dyDescent="0.3">
      <c r="A102" s="26">
        <f t="shared" si="11"/>
        <v>-4.4169999999999998</v>
      </c>
      <c r="B102">
        <v>0.38300000000000001</v>
      </c>
      <c r="C102">
        <f>272096</f>
        <v>272096</v>
      </c>
      <c r="J102">
        <f>188.2</f>
        <v>188.2</v>
      </c>
      <c r="K102">
        <f>216.7</f>
        <v>216.7</v>
      </c>
    </row>
    <row r="103" spans="1:11" x14ac:dyDescent="0.3">
      <c r="A103" s="26">
        <f t="shared" si="11"/>
        <v>-4.4059999999999997</v>
      </c>
      <c r="B103">
        <v>0.39400000000000013</v>
      </c>
      <c r="C103">
        <f>275940</f>
        <v>275940</v>
      </c>
      <c r="J103">
        <f>172.2</f>
        <v>172.2</v>
      </c>
      <c r="K103">
        <f>105.9</f>
        <v>105.9</v>
      </c>
    </row>
    <row r="104" spans="1:11" x14ac:dyDescent="0.3">
      <c r="A104" s="26">
        <f t="shared" si="11"/>
        <v>-4.3919999999999995</v>
      </c>
      <c r="B104">
        <v>0.40800000000000036</v>
      </c>
      <c r="C104">
        <f>283208</f>
        <v>283208</v>
      </c>
      <c r="J104">
        <f>177.8</f>
        <v>177.8</v>
      </c>
      <c r="K104">
        <f>100</f>
        <v>100</v>
      </c>
    </row>
    <row r="105" spans="1:11" x14ac:dyDescent="0.3">
      <c r="A105" s="26">
        <f t="shared" si="11"/>
        <v>-4.4109999999999996</v>
      </c>
      <c r="B105">
        <v>0.38900000000000023</v>
      </c>
      <c r="C105">
        <f>289428</f>
        <v>289428</v>
      </c>
      <c r="J105">
        <f>264.7</f>
        <v>264.7</v>
      </c>
      <c r="K105">
        <f>117.6</f>
        <v>117.6</v>
      </c>
    </row>
    <row r="106" spans="1:11" x14ac:dyDescent="0.3">
      <c r="A106" s="26">
        <f t="shared" si="11"/>
        <v>-4.3849999999999998</v>
      </c>
      <c r="B106">
        <v>0.41500000000000004</v>
      </c>
      <c r="C106">
        <f>303556</f>
        <v>303556</v>
      </c>
      <c r="J106">
        <f>183.3</f>
        <v>183.3</v>
      </c>
      <c r="K106">
        <f>105.9</f>
        <v>105.9</v>
      </c>
    </row>
    <row r="107" spans="1:11" x14ac:dyDescent="0.3">
      <c r="A107" s="26">
        <f t="shared" si="11"/>
        <v>-4.383</v>
      </c>
      <c r="B107">
        <v>0.41699999999999982</v>
      </c>
      <c r="C107">
        <f>309348</f>
        <v>309348</v>
      </c>
      <c r="J107">
        <f>188.2</f>
        <v>188.2</v>
      </c>
      <c r="K107">
        <f>111.8</f>
        <v>111.8</v>
      </c>
    </row>
    <row r="108" spans="1:11" x14ac:dyDescent="0.3">
      <c r="A108" s="26">
        <f t="shared" si="11"/>
        <v>-4.4029999999999996</v>
      </c>
      <c r="B108">
        <v>0.39700000000000024</v>
      </c>
      <c r="C108">
        <f>314848</f>
        <v>314848</v>
      </c>
      <c r="J108">
        <f>177.8</f>
        <v>177.8</v>
      </c>
      <c r="K108">
        <f>111.8</f>
        <v>111.8</v>
      </c>
    </row>
    <row r="109" spans="1:11" x14ac:dyDescent="0.3">
      <c r="A109" s="26">
        <f t="shared" si="11"/>
        <v>-4.3939999999999992</v>
      </c>
      <c r="B109">
        <v>0.40600000000000058</v>
      </c>
      <c r="C109">
        <f>316348</f>
        <v>316348</v>
      </c>
      <c r="J109">
        <f>177.8</f>
        <v>177.8</v>
      </c>
      <c r="K109">
        <f>182.4</f>
        <v>182.4</v>
      </c>
    </row>
    <row r="110" spans="1:11" x14ac:dyDescent="0.3">
      <c r="A110" s="26">
        <f t="shared" si="11"/>
        <v>-4.4159999999999995</v>
      </c>
      <c r="B110">
        <v>0.38400000000000034</v>
      </c>
      <c r="C110">
        <f>320032</f>
        <v>320032</v>
      </c>
      <c r="J110">
        <f>229.4</f>
        <v>229.4</v>
      </c>
      <c r="K110">
        <f>217.6</f>
        <v>217.6</v>
      </c>
    </row>
    <row r="111" spans="1:11" x14ac:dyDescent="0.3">
      <c r="A111" s="26">
        <f t="shared" si="11"/>
        <v>-4.4089999999999998</v>
      </c>
      <c r="B111">
        <v>0.39100000000000001</v>
      </c>
      <c r="C111">
        <f>323784</f>
        <v>323784</v>
      </c>
      <c r="J111">
        <f>183.3</f>
        <v>183.3</v>
      </c>
      <c r="K111">
        <f>235.3</f>
        <v>235.3</v>
      </c>
    </row>
    <row r="112" spans="1:11" x14ac:dyDescent="0.3">
      <c r="A112" s="26">
        <f t="shared" si="11"/>
        <v>-4.3889999999999993</v>
      </c>
      <c r="B112">
        <v>0.41100000000000048</v>
      </c>
      <c r="C112">
        <f>320920</f>
        <v>320920</v>
      </c>
      <c r="J112">
        <f>177.8</f>
        <v>177.8</v>
      </c>
      <c r="K112">
        <f>94.4</f>
        <v>94.4</v>
      </c>
    </row>
    <row r="113" spans="1:11" x14ac:dyDescent="0.3">
      <c r="A113" s="26">
        <f t="shared" si="11"/>
        <v>-4.4129999999999994</v>
      </c>
      <c r="B113">
        <v>0.38700000000000045</v>
      </c>
      <c r="C113">
        <f>327500</f>
        <v>327500</v>
      </c>
      <c r="J113">
        <f>182.4</f>
        <v>182.4</v>
      </c>
      <c r="K113">
        <f>235.3</f>
        <v>235.3</v>
      </c>
    </row>
    <row r="114" spans="1:11" x14ac:dyDescent="0.3">
      <c r="A114" s="26">
        <f t="shared" si="11"/>
        <v>-4.3919999999999995</v>
      </c>
      <c r="B114">
        <v>0.40800000000000036</v>
      </c>
      <c r="C114">
        <f>328960</f>
        <v>328960</v>
      </c>
      <c r="J114">
        <f>270.6</f>
        <v>270.60000000000002</v>
      </c>
      <c r="K114">
        <f>155.6</f>
        <v>155.6</v>
      </c>
    </row>
    <row r="115" spans="1:11" x14ac:dyDescent="0.3">
      <c r="A115" s="26">
        <f t="shared" si="11"/>
        <v>-4.3859999999999992</v>
      </c>
      <c r="B115">
        <v>0.41400000000000059</v>
      </c>
      <c r="C115">
        <f>332804</f>
        <v>332804</v>
      </c>
      <c r="J115">
        <f>94.4</f>
        <v>94.4</v>
      </c>
      <c r="K115">
        <f>105.9</f>
        <v>105.9</v>
      </c>
    </row>
    <row r="116" spans="1:11" x14ac:dyDescent="0.3">
      <c r="A116" s="26">
        <f t="shared" si="11"/>
        <v>-4.407</v>
      </c>
      <c r="B116">
        <v>0.39299999999999979</v>
      </c>
      <c r="C116">
        <f>332352</f>
        <v>332352</v>
      </c>
      <c r="J116">
        <f>188.2</f>
        <v>188.2</v>
      </c>
      <c r="K116">
        <f>111.8</f>
        <v>111.8</v>
      </c>
    </row>
    <row r="117" spans="1:11" x14ac:dyDescent="0.3">
      <c r="A117" s="26">
        <f t="shared" si="11"/>
        <v>-4.3859999999999992</v>
      </c>
      <c r="B117">
        <v>0.41400000000000059</v>
      </c>
      <c r="C117">
        <f>331648</f>
        <v>331648</v>
      </c>
      <c r="J117">
        <f>177.8</f>
        <v>177.8</v>
      </c>
      <c r="K117">
        <f>105.9</f>
        <v>105.9</v>
      </c>
    </row>
    <row r="118" spans="1:11" x14ac:dyDescent="0.3">
      <c r="A118" s="26">
        <f t="shared" si="11"/>
        <v>-4.407</v>
      </c>
      <c r="B118">
        <v>0.39299999999999979</v>
      </c>
      <c r="C118">
        <f>335744</f>
        <v>335744</v>
      </c>
      <c r="J118">
        <f>217.6</f>
        <v>217.6</v>
      </c>
      <c r="K118">
        <f>222.2</f>
        <v>222.2</v>
      </c>
    </row>
    <row r="119" spans="1:11" x14ac:dyDescent="0.3">
      <c r="A119" s="26">
        <f t="shared" si="11"/>
        <v>-4.4029999999999996</v>
      </c>
      <c r="B119">
        <v>0.39700000000000024</v>
      </c>
      <c r="C119">
        <f>338760</f>
        <v>338760</v>
      </c>
      <c r="J119">
        <f>177.8</f>
        <v>177.8</v>
      </c>
      <c r="K119">
        <f>117.6</f>
        <v>117.6</v>
      </c>
    </row>
    <row r="120" spans="1:11" x14ac:dyDescent="0.3">
      <c r="A120" s="26">
        <f t="shared" si="11"/>
        <v>-4.3819999999999997</v>
      </c>
      <c r="B120">
        <v>0.41800000000000015</v>
      </c>
      <c r="C120">
        <f>341192</f>
        <v>341192</v>
      </c>
      <c r="J120">
        <f>100</f>
        <v>100</v>
      </c>
      <c r="K120">
        <f>222.2</f>
        <v>222.2</v>
      </c>
    </row>
    <row r="121" spans="1:11" x14ac:dyDescent="0.3">
      <c r="A121" s="26">
        <f t="shared" si="11"/>
        <v>-4.4059999999999997</v>
      </c>
      <c r="B121">
        <v>0.39400000000000013</v>
      </c>
      <c r="C121">
        <f>343584</f>
        <v>343584</v>
      </c>
      <c r="J121">
        <f>183.3</f>
        <v>183.3</v>
      </c>
      <c r="K121">
        <f>147.1</f>
        <v>147.1</v>
      </c>
    </row>
    <row r="122" spans="1:11" x14ac:dyDescent="0.3">
      <c r="A122" s="26">
        <f t="shared" si="11"/>
        <v>-4.3849999999999998</v>
      </c>
      <c r="B122">
        <v>0.41500000000000004</v>
      </c>
      <c r="C122">
        <f>348976</f>
        <v>348976</v>
      </c>
      <c r="J122">
        <f>177.8</f>
        <v>177.8</v>
      </c>
      <c r="K122">
        <f>216.7</f>
        <v>216.7</v>
      </c>
    </row>
    <row r="123" spans="1:11" x14ac:dyDescent="0.3">
      <c r="A123" s="26">
        <f t="shared" si="11"/>
        <v>-4.3809999999999993</v>
      </c>
      <c r="B123">
        <v>0.41900000000000048</v>
      </c>
      <c r="C123">
        <f>354304</f>
        <v>354304</v>
      </c>
      <c r="J123">
        <f>233.3</f>
        <v>233.3</v>
      </c>
      <c r="K123">
        <f>100</f>
        <v>100</v>
      </c>
    </row>
    <row r="124" spans="1:11" x14ac:dyDescent="0.3">
      <c r="A124" s="26">
        <f t="shared" si="11"/>
        <v>-4.4059999999999997</v>
      </c>
      <c r="B124">
        <v>0.39400000000000013</v>
      </c>
      <c r="C124">
        <f>356160</f>
        <v>356160</v>
      </c>
      <c r="J124">
        <f>194.1</f>
        <v>194.1</v>
      </c>
      <c r="K124">
        <f>152.9</f>
        <v>152.9</v>
      </c>
    </row>
    <row r="125" spans="1:11" x14ac:dyDescent="0.3">
      <c r="A125" s="26">
        <f t="shared" si="11"/>
        <v>-4.3789999999999996</v>
      </c>
      <c r="B125">
        <v>0.42100000000000026</v>
      </c>
      <c r="C125">
        <f>362132</f>
        <v>362132</v>
      </c>
      <c r="J125">
        <f>188.2</f>
        <v>188.2</v>
      </c>
      <c r="K125">
        <f>111.8</f>
        <v>111.8</v>
      </c>
    </row>
    <row r="126" spans="1:11" x14ac:dyDescent="0.3">
      <c r="A126" s="26">
        <f t="shared" si="11"/>
        <v>-4.3769999999999998</v>
      </c>
      <c r="B126">
        <v>0.42300000000000004</v>
      </c>
      <c r="C126">
        <f>363080</f>
        <v>363080</v>
      </c>
      <c r="J126">
        <f>194.1</f>
        <v>194.1</v>
      </c>
      <c r="K126">
        <f>105.9</f>
        <v>105.9</v>
      </c>
    </row>
    <row r="127" spans="1:11" x14ac:dyDescent="0.3">
      <c r="A127" s="26">
        <f t="shared" si="11"/>
        <v>-4.399</v>
      </c>
      <c r="B127">
        <v>0.4009999999999998</v>
      </c>
      <c r="C127">
        <f>367248</f>
        <v>367248</v>
      </c>
      <c r="J127">
        <f>172.2</f>
        <v>172.2</v>
      </c>
      <c r="K127">
        <f>100</f>
        <v>100</v>
      </c>
    </row>
    <row r="128" spans="1:11" x14ac:dyDescent="0.3">
      <c r="A128" s="26">
        <f t="shared" si="11"/>
        <v>-4.3779999999999992</v>
      </c>
      <c r="B128">
        <v>0.4220000000000006</v>
      </c>
      <c r="C128">
        <f>373424</f>
        <v>373424</v>
      </c>
      <c r="J128">
        <f>270.6</f>
        <v>270.60000000000002</v>
      </c>
      <c r="K128">
        <f>105.6</f>
        <v>105.6</v>
      </c>
    </row>
    <row r="129" spans="1:11" x14ac:dyDescent="0.3">
      <c r="A129" s="26">
        <f t="shared" si="11"/>
        <v>-4.399</v>
      </c>
      <c r="B129">
        <v>0.4009999999999998</v>
      </c>
      <c r="C129">
        <f>379744</f>
        <v>379744</v>
      </c>
      <c r="J129">
        <f>177.8</f>
        <v>177.8</v>
      </c>
      <c r="K129">
        <f>188.2</f>
        <v>188.2</v>
      </c>
    </row>
    <row r="130" spans="1:11" x14ac:dyDescent="0.3">
      <c r="A130" s="26">
        <f t="shared" si="11"/>
        <v>-4.3949999999999996</v>
      </c>
      <c r="B130">
        <v>0.40500000000000025</v>
      </c>
      <c r="C130">
        <f>383480</f>
        <v>383480</v>
      </c>
      <c r="J130">
        <f>182.4</f>
        <v>182.4</v>
      </c>
      <c r="K130">
        <f>105.6</f>
        <v>105.6</v>
      </c>
    </row>
    <row r="131" spans="1:11" x14ac:dyDescent="0.3">
      <c r="A131" s="26">
        <f t="shared" si="11"/>
        <v>-4.3739999999999997</v>
      </c>
      <c r="B131">
        <v>0.42600000000000016</v>
      </c>
      <c r="C131">
        <f>385328</f>
        <v>385328</v>
      </c>
      <c r="J131">
        <f>183.3</f>
        <v>183.3</v>
      </c>
      <c r="K131">
        <f>111.8</f>
        <v>111.8</v>
      </c>
    </row>
    <row r="132" spans="1:11" x14ac:dyDescent="0.3">
      <c r="A132" s="26">
        <f t="shared" si="11"/>
        <v>-4.3969999999999994</v>
      </c>
      <c r="B132">
        <v>0.40300000000000047</v>
      </c>
      <c r="C132">
        <f>385432</f>
        <v>385432</v>
      </c>
      <c r="J132">
        <f>247.1</f>
        <v>247.1</v>
      </c>
      <c r="K132">
        <f>105.9</f>
        <v>105.9</v>
      </c>
    </row>
    <row r="133" spans="1:11" x14ac:dyDescent="0.3">
      <c r="A133" s="26">
        <f t="shared" si="11"/>
        <v>-4.3819999999999997</v>
      </c>
      <c r="B133">
        <v>0.41800000000000015</v>
      </c>
      <c r="C133">
        <f>388220</f>
        <v>388220</v>
      </c>
      <c r="J133">
        <f>182.4</f>
        <v>182.4</v>
      </c>
      <c r="K133">
        <f>241.2</f>
        <v>241.2</v>
      </c>
    </row>
    <row r="134" spans="1:11" x14ac:dyDescent="0.3">
      <c r="A134" s="26">
        <f t="shared" ref="A134:A197" si="12">B134-4.8</f>
        <v>-4.3699999999999992</v>
      </c>
      <c r="B134">
        <v>0.4300000000000006</v>
      </c>
      <c r="C134">
        <f>392816</f>
        <v>392816</v>
      </c>
      <c r="J134">
        <f>182.4</f>
        <v>182.4</v>
      </c>
      <c r="K134">
        <f>161.1</f>
        <v>161.1</v>
      </c>
    </row>
    <row r="135" spans="1:11" x14ac:dyDescent="0.3">
      <c r="A135" s="26">
        <f t="shared" si="12"/>
        <v>-4.3929999999999998</v>
      </c>
      <c r="B135">
        <v>0.40700000000000003</v>
      </c>
      <c r="C135">
        <f>395344</f>
        <v>395344</v>
      </c>
      <c r="J135">
        <f>188.2</f>
        <v>188.2</v>
      </c>
      <c r="K135">
        <f>105.6</f>
        <v>105.6</v>
      </c>
    </row>
    <row r="136" spans="1:11" x14ac:dyDescent="0.3">
      <c r="A136" s="26">
        <f t="shared" si="12"/>
        <v>-4.3719999999999999</v>
      </c>
      <c r="B136">
        <v>0.42799999999999994</v>
      </c>
      <c r="C136">
        <f>399884</f>
        <v>399884</v>
      </c>
      <c r="J136">
        <f>177.8</f>
        <v>177.8</v>
      </c>
      <c r="K136">
        <f>105.9</f>
        <v>105.9</v>
      </c>
    </row>
    <row r="137" spans="1:11" x14ac:dyDescent="0.3">
      <c r="A137" s="26">
        <f t="shared" si="12"/>
        <v>-4.3699999999999992</v>
      </c>
      <c r="B137">
        <v>0.4300000000000006</v>
      </c>
      <c r="C137">
        <f>405544</f>
        <v>405544</v>
      </c>
      <c r="J137">
        <f>227.8</f>
        <v>227.8</v>
      </c>
      <c r="K137">
        <f>100</f>
        <v>100</v>
      </c>
    </row>
    <row r="138" spans="1:11" x14ac:dyDescent="0.3">
      <c r="A138" s="26">
        <f t="shared" si="12"/>
        <v>-4.391</v>
      </c>
      <c r="B138">
        <v>0.40899999999999981</v>
      </c>
      <c r="C138">
        <f>412832</f>
        <v>412832</v>
      </c>
      <c r="J138">
        <f>194.1</f>
        <v>194.1</v>
      </c>
      <c r="K138">
        <f>164.7</f>
        <v>164.7</v>
      </c>
    </row>
    <row r="139" spans="1:11" x14ac:dyDescent="0.3">
      <c r="A139" s="26">
        <f t="shared" si="12"/>
        <v>-4.3639999999999999</v>
      </c>
      <c r="B139">
        <v>0.43599999999999994</v>
      </c>
      <c r="C139">
        <f>415592</f>
        <v>415592</v>
      </c>
      <c r="J139">
        <f>177.8</f>
        <v>177.8</v>
      </c>
      <c r="K139">
        <f>94.1</f>
        <v>94.1</v>
      </c>
    </row>
    <row r="140" spans="1:11" x14ac:dyDescent="0.3">
      <c r="A140" s="26">
        <f t="shared" si="12"/>
        <v>-4.383</v>
      </c>
      <c r="B140">
        <v>0.41699999999999982</v>
      </c>
      <c r="C140">
        <f>414908</f>
        <v>414908</v>
      </c>
      <c r="J140">
        <f>94.1</f>
        <v>94.1</v>
      </c>
      <c r="K140">
        <f>111.8</f>
        <v>111.8</v>
      </c>
    </row>
    <row r="141" spans="1:11" x14ac:dyDescent="0.3">
      <c r="A141" s="26">
        <f t="shared" si="12"/>
        <v>-4.3679999999999994</v>
      </c>
      <c r="B141">
        <v>0.43200000000000038</v>
      </c>
      <c r="C141">
        <f>414220</f>
        <v>414220</v>
      </c>
      <c r="J141">
        <f>188.2</f>
        <v>188.2</v>
      </c>
      <c r="K141">
        <f>229.4</f>
        <v>229.4</v>
      </c>
    </row>
    <row r="142" spans="1:11" x14ac:dyDescent="0.3">
      <c r="A142" s="26">
        <f t="shared" si="12"/>
        <v>-4.3539999999999992</v>
      </c>
      <c r="B142">
        <v>0.44600000000000062</v>
      </c>
      <c r="C142">
        <f>417756</f>
        <v>417756</v>
      </c>
      <c r="J142">
        <f>223.5</f>
        <v>223.5</v>
      </c>
      <c r="K142">
        <f>147.1</f>
        <v>147.1</v>
      </c>
    </row>
    <row r="143" spans="1:11" x14ac:dyDescent="0.3">
      <c r="A143" s="26">
        <f t="shared" si="12"/>
        <v>-4.3719999999999999</v>
      </c>
      <c r="B143">
        <v>0.42799999999999994</v>
      </c>
      <c r="C143">
        <f>422432</f>
        <v>422432</v>
      </c>
      <c r="J143">
        <f>216.7</f>
        <v>216.7</v>
      </c>
      <c r="K143">
        <f>229.4</f>
        <v>229.4</v>
      </c>
    </row>
    <row r="144" spans="1:11" x14ac:dyDescent="0.3">
      <c r="A144" s="26">
        <f t="shared" si="12"/>
        <v>-4.3499999999999996</v>
      </c>
      <c r="B144">
        <v>0.45000000000000018</v>
      </c>
      <c r="C144">
        <f>425956</f>
        <v>425956</v>
      </c>
      <c r="J144">
        <f>177.8</f>
        <v>177.8</v>
      </c>
      <c r="K144">
        <f>111.8</f>
        <v>111.8</v>
      </c>
    </row>
    <row r="145" spans="1:11" x14ac:dyDescent="0.3">
      <c r="A145" s="26">
        <f t="shared" si="12"/>
        <v>-4.343</v>
      </c>
      <c r="B145">
        <v>0.45699999999999985</v>
      </c>
      <c r="C145">
        <f>428964</f>
        <v>428964</v>
      </c>
      <c r="J145">
        <f>182.4</f>
        <v>182.4</v>
      </c>
      <c r="K145">
        <f>188.2</f>
        <v>188.2</v>
      </c>
    </row>
    <row r="146" spans="1:11" x14ac:dyDescent="0.3">
      <c r="A146" s="26">
        <f t="shared" si="12"/>
        <v>-4.3619999999999992</v>
      </c>
      <c r="B146">
        <v>0.43800000000000061</v>
      </c>
      <c r="C146">
        <f>425656</f>
        <v>425656</v>
      </c>
      <c r="J146">
        <f>182.4</f>
        <v>182.4</v>
      </c>
      <c r="K146">
        <f>117.6</f>
        <v>117.6</v>
      </c>
    </row>
    <row r="147" spans="1:11" x14ac:dyDescent="0.3">
      <c r="A147" s="26">
        <f t="shared" si="12"/>
        <v>-4.3380000000000001</v>
      </c>
      <c r="B147">
        <v>0.46199999999999974</v>
      </c>
      <c r="C147">
        <f>436084</f>
        <v>436084</v>
      </c>
      <c r="J147">
        <f>194.4</f>
        <v>194.4</v>
      </c>
      <c r="K147">
        <f>222.2</f>
        <v>222.2</v>
      </c>
    </row>
    <row r="148" spans="1:11" x14ac:dyDescent="0.3">
      <c r="A148" s="26">
        <f t="shared" si="12"/>
        <v>-4.3359999999999994</v>
      </c>
      <c r="B148">
        <v>0.46400000000000041</v>
      </c>
      <c r="C148">
        <f>431796</f>
        <v>431796</v>
      </c>
      <c r="J148">
        <f>217.6</f>
        <v>217.6</v>
      </c>
      <c r="K148">
        <f>117.6</f>
        <v>117.6</v>
      </c>
    </row>
    <row r="149" spans="1:11" x14ac:dyDescent="0.3">
      <c r="A149" s="26">
        <f t="shared" si="12"/>
        <v>-4.3529999999999998</v>
      </c>
      <c r="B149">
        <v>0.44700000000000006</v>
      </c>
      <c r="C149">
        <f>437852</f>
        <v>437852</v>
      </c>
      <c r="J149">
        <f>182.4</f>
        <v>182.4</v>
      </c>
      <c r="K149">
        <f>235.3</f>
        <v>235.3</v>
      </c>
    </row>
    <row r="150" spans="1:11" x14ac:dyDescent="0.3">
      <c r="A150" s="26">
        <f t="shared" si="12"/>
        <v>-4.327</v>
      </c>
      <c r="B150">
        <v>0.47299999999999986</v>
      </c>
      <c r="C150">
        <f>434780</f>
        <v>434780</v>
      </c>
      <c r="J150">
        <f>182.4</f>
        <v>182.4</v>
      </c>
      <c r="K150">
        <f>117.6</f>
        <v>117.6</v>
      </c>
    </row>
    <row r="151" spans="1:11" x14ac:dyDescent="0.3">
      <c r="A151" s="26">
        <f t="shared" si="12"/>
        <v>-4.3469999999999995</v>
      </c>
      <c r="B151">
        <v>0.45300000000000029</v>
      </c>
      <c r="C151">
        <f>443512</f>
        <v>443512</v>
      </c>
      <c r="J151">
        <f>182.4</f>
        <v>182.4</v>
      </c>
      <c r="K151">
        <f>223.5</f>
        <v>223.5</v>
      </c>
    </row>
    <row r="152" spans="1:11" x14ac:dyDescent="0.3">
      <c r="A152" s="26">
        <f t="shared" si="12"/>
        <v>-4.3329999999999993</v>
      </c>
      <c r="B152">
        <v>0.46700000000000053</v>
      </c>
      <c r="C152">
        <f>450544</f>
        <v>450544</v>
      </c>
      <c r="J152">
        <f>188.2</f>
        <v>188.2</v>
      </c>
      <c r="K152">
        <f>223.5</f>
        <v>223.5</v>
      </c>
    </row>
    <row r="153" spans="1:11" x14ac:dyDescent="0.3">
      <c r="A153" s="26">
        <f t="shared" si="12"/>
        <v>-4.3220000000000001</v>
      </c>
      <c r="B153">
        <v>0.47799999999999976</v>
      </c>
      <c r="C153">
        <f>455016</f>
        <v>455016</v>
      </c>
      <c r="J153">
        <f>172.2</f>
        <v>172.2</v>
      </c>
      <c r="K153">
        <f>117.6</f>
        <v>117.6</v>
      </c>
    </row>
    <row r="154" spans="1:11" x14ac:dyDescent="0.3">
      <c r="A154" s="26">
        <f t="shared" si="12"/>
        <v>-4.3439999999999994</v>
      </c>
      <c r="B154">
        <v>0.45600000000000041</v>
      </c>
      <c r="C154">
        <f>458208</f>
        <v>458208</v>
      </c>
      <c r="J154">
        <f>188.2</f>
        <v>188.2</v>
      </c>
      <c r="K154">
        <f>105.6</f>
        <v>105.6</v>
      </c>
    </row>
    <row r="155" spans="1:11" x14ac:dyDescent="0.3">
      <c r="A155" s="26">
        <f t="shared" si="12"/>
        <v>-4.3169999999999993</v>
      </c>
      <c r="B155">
        <v>0.48300000000000054</v>
      </c>
      <c r="C155">
        <f>459812</f>
        <v>459812</v>
      </c>
      <c r="J155">
        <f>188.2</f>
        <v>188.2</v>
      </c>
      <c r="K155">
        <f>217.6</f>
        <v>217.6</v>
      </c>
    </row>
    <row r="156" spans="1:11" x14ac:dyDescent="0.3">
      <c r="A156" s="26">
        <f t="shared" si="12"/>
        <v>-4.3149999999999995</v>
      </c>
      <c r="B156">
        <v>0.48500000000000032</v>
      </c>
      <c r="C156">
        <f>466804</f>
        <v>466804</v>
      </c>
      <c r="J156">
        <f>176.5</f>
        <v>176.5</v>
      </c>
      <c r="K156">
        <f>100</f>
        <v>100</v>
      </c>
    </row>
    <row r="157" spans="1:11" x14ac:dyDescent="0.3">
      <c r="A157" s="26">
        <f t="shared" si="12"/>
        <v>-4.3319999999999999</v>
      </c>
      <c r="B157">
        <v>0.46799999999999997</v>
      </c>
      <c r="C157">
        <f>475128</f>
        <v>475128</v>
      </c>
      <c r="J157">
        <f>233.3</f>
        <v>233.3</v>
      </c>
      <c r="K157">
        <f>141.2</f>
        <v>141.19999999999999</v>
      </c>
    </row>
    <row r="158" spans="1:11" x14ac:dyDescent="0.3">
      <c r="A158" s="26">
        <f t="shared" si="12"/>
        <v>-4.3049999999999997</v>
      </c>
      <c r="B158">
        <v>0.49500000000000011</v>
      </c>
      <c r="C158">
        <f>483256</f>
        <v>483256</v>
      </c>
      <c r="J158">
        <f>194.1</f>
        <v>194.1</v>
      </c>
      <c r="K158">
        <f>176.5</f>
        <v>176.5</v>
      </c>
    </row>
    <row r="159" spans="1:11" x14ac:dyDescent="0.3">
      <c r="A159" s="26">
        <f t="shared" si="12"/>
        <v>-4.3259999999999996</v>
      </c>
      <c r="B159">
        <v>0.4740000000000002</v>
      </c>
      <c r="C159">
        <f>487616</f>
        <v>487616</v>
      </c>
      <c r="J159">
        <f>182.4</f>
        <v>182.4</v>
      </c>
      <c r="K159">
        <f>194.1</f>
        <v>194.1</v>
      </c>
    </row>
    <row r="160" spans="1:11" x14ac:dyDescent="0.3">
      <c r="A160" s="26">
        <f t="shared" si="12"/>
        <v>-4.3199999999999994</v>
      </c>
      <c r="B160">
        <v>0.48000000000000043</v>
      </c>
      <c r="C160">
        <f>497032</f>
        <v>497032</v>
      </c>
      <c r="J160">
        <f>172.2</f>
        <v>172.2</v>
      </c>
      <c r="K160">
        <f>105.6</f>
        <v>105.6</v>
      </c>
    </row>
    <row r="161" spans="1:11" x14ac:dyDescent="0.3">
      <c r="A161" s="26">
        <f t="shared" si="12"/>
        <v>-4.2969999999999997</v>
      </c>
      <c r="B161">
        <v>0.50300000000000011</v>
      </c>
      <c r="C161">
        <f>500108</f>
        <v>500108</v>
      </c>
      <c r="J161">
        <f>183.3</f>
        <v>183.3</v>
      </c>
      <c r="K161">
        <f>170.6</f>
        <v>170.6</v>
      </c>
    </row>
    <row r="162" spans="1:11" x14ac:dyDescent="0.3">
      <c r="A162" s="26">
        <f t="shared" si="12"/>
        <v>-4.3149999999999995</v>
      </c>
      <c r="B162">
        <v>0.48500000000000032</v>
      </c>
      <c r="C162">
        <f>506260</f>
        <v>506260</v>
      </c>
      <c r="J162">
        <f>258.8</f>
        <v>258.8</v>
      </c>
      <c r="K162">
        <f>200</f>
        <v>200</v>
      </c>
    </row>
    <row r="163" spans="1:11" x14ac:dyDescent="0.3">
      <c r="A163" s="26">
        <f t="shared" si="12"/>
        <v>-4.2909999999999995</v>
      </c>
      <c r="B163">
        <v>0.50900000000000034</v>
      </c>
      <c r="C163">
        <f>513044</f>
        <v>513044</v>
      </c>
      <c r="J163">
        <f>182.4</f>
        <v>182.4</v>
      </c>
      <c r="K163">
        <f>138.9</f>
        <v>138.9</v>
      </c>
    </row>
    <row r="164" spans="1:11" x14ac:dyDescent="0.3">
      <c r="A164" s="26">
        <f t="shared" si="12"/>
        <v>-4.2859999999999996</v>
      </c>
      <c r="B164">
        <v>0.51400000000000023</v>
      </c>
      <c r="C164">
        <f>519276</f>
        <v>519276</v>
      </c>
      <c r="J164">
        <f>182.4</f>
        <v>182.4</v>
      </c>
      <c r="K164">
        <f>235.3</f>
        <v>235.3</v>
      </c>
    </row>
    <row r="165" spans="1:11" x14ac:dyDescent="0.3">
      <c r="A165" s="26">
        <f t="shared" si="12"/>
        <v>-4.3069999999999995</v>
      </c>
      <c r="B165">
        <v>0.49300000000000033</v>
      </c>
      <c r="C165">
        <f>528000</f>
        <v>528000</v>
      </c>
      <c r="J165">
        <f>172.2</f>
        <v>172.2</v>
      </c>
      <c r="K165">
        <f>117.6</f>
        <v>117.6</v>
      </c>
    </row>
    <row r="166" spans="1:11" x14ac:dyDescent="0.3">
      <c r="A166" s="26">
        <f t="shared" si="12"/>
        <v>-4.2839999999999998</v>
      </c>
      <c r="B166">
        <v>0.51600000000000001</v>
      </c>
      <c r="C166">
        <f>538704</f>
        <v>538704</v>
      </c>
      <c r="J166">
        <f>183.3</f>
        <v>183.3</v>
      </c>
      <c r="K166">
        <f>105.9</f>
        <v>105.9</v>
      </c>
    </row>
    <row r="167" spans="1:11" x14ac:dyDescent="0.3">
      <c r="A167" s="26">
        <f t="shared" si="12"/>
        <v>-4.3069999999999995</v>
      </c>
      <c r="B167">
        <v>0.49300000000000033</v>
      </c>
      <c r="C167">
        <f>545436</f>
        <v>545436</v>
      </c>
      <c r="J167">
        <f>182.4</f>
        <v>182.4</v>
      </c>
      <c r="K167">
        <f>105.6</f>
        <v>105.6</v>
      </c>
    </row>
    <row r="168" spans="1:11" x14ac:dyDescent="0.3">
      <c r="A168" s="26">
        <f t="shared" si="12"/>
        <v>-4.3039999999999994</v>
      </c>
      <c r="B168">
        <v>0.49600000000000044</v>
      </c>
      <c r="C168">
        <f>552596</f>
        <v>552596</v>
      </c>
      <c r="J168">
        <f>264.7</f>
        <v>264.7</v>
      </c>
      <c r="K168">
        <f>105.9</f>
        <v>105.9</v>
      </c>
    </row>
    <row r="169" spans="1:11" x14ac:dyDescent="0.3">
      <c r="A169" s="26">
        <f t="shared" si="12"/>
        <v>-4.2839999999999998</v>
      </c>
      <c r="B169">
        <v>0.51600000000000001</v>
      </c>
      <c r="C169">
        <f>558448</f>
        <v>558448</v>
      </c>
      <c r="J169">
        <f>188.2</f>
        <v>188.2</v>
      </c>
      <c r="K169">
        <f>188.2</f>
        <v>188.2</v>
      </c>
    </row>
    <row r="170" spans="1:11" x14ac:dyDescent="0.3">
      <c r="A170" s="26">
        <f t="shared" si="12"/>
        <v>-4.3069999999999995</v>
      </c>
      <c r="B170">
        <v>0.49300000000000033</v>
      </c>
      <c r="C170">
        <f>561384</f>
        <v>561384</v>
      </c>
      <c r="J170">
        <f>172.2</f>
        <v>172.2</v>
      </c>
      <c r="K170">
        <f>177.8</f>
        <v>177.8</v>
      </c>
    </row>
    <row r="171" spans="1:11" x14ac:dyDescent="0.3">
      <c r="A171" s="26">
        <f t="shared" si="12"/>
        <v>-4.2869999999999999</v>
      </c>
      <c r="B171">
        <v>0.5129999999999999</v>
      </c>
      <c r="C171">
        <f>567132</f>
        <v>567132</v>
      </c>
      <c r="J171">
        <f>177.8</f>
        <v>177.8</v>
      </c>
      <c r="K171">
        <f>111.8</f>
        <v>111.8</v>
      </c>
    </row>
    <row r="172" spans="1:11" x14ac:dyDescent="0.3">
      <c r="A172" s="26">
        <f t="shared" si="12"/>
        <v>-4.2759999999999998</v>
      </c>
      <c r="B172">
        <v>0.52400000000000002</v>
      </c>
      <c r="C172">
        <f>567828</f>
        <v>567828</v>
      </c>
      <c r="J172">
        <f>194.1</f>
        <v>194.1</v>
      </c>
      <c r="K172">
        <f>223.5</f>
        <v>223.5</v>
      </c>
    </row>
    <row r="173" spans="1:11" x14ac:dyDescent="0.3">
      <c r="A173" s="26">
        <f t="shared" si="12"/>
        <v>-4.2949999999999999</v>
      </c>
      <c r="B173">
        <v>0.50499999999999989</v>
      </c>
      <c r="C173">
        <f>569368</f>
        <v>569368</v>
      </c>
      <c r="J173">
        <f>205.9</f>
        <v>205.9</v>
      </c>
      <c r="K173">
        <f>105.6</f>
        <v>105.6</v>
      </c>
    </row>
    <row r="174" spans="1:11" x14ac:dyDescent="0.3">
      <c r="A174" s="26">
        <f t="shared" si="12"/>
        <v>-4.2719999999999994</v>
      </c>
      <c r="B174">
        <v>0.52800000000000047</v>
      </c>
      <c r="C174">
        <f>577636</f>
        <v>577636</v>
      </c>
      <c r="J174">
        <f>177.8</f>
        <v>177.8</v>
      </c>
      <c r="K174">
        <f>105.9</f>
        <v>105.9</v>
      </c>
    </row>
    <row r="175" spans="1:11" x14ac:dyDescent="0.3">
      <c r="A175" s="26">
        <f t="shared" si="12"/>
        <v>-4.2889999999999997</v>
      </c>
      <c r="B175">
        <v>0.51100000000000012</v>
      </c>
      <c r="C175">
        <f>577064</f>
        <v>577064</v>
      </c>
      <c r="J175">
        <f>194.1</f>
        <v>194.1</v>
      </c>
      <c r="K175">
        <f>111.8</f>
        <v>111.8</v>
      </c>
    </row>
    <row r="176" spans="1:11" x14ac:dyDescent="0.3">
      <c r="A176" s="26">
        <f t="shared" si="12"/>
        <v>-4.2869999999999999</v>
      </c>
      <c r="B176">
        <v>0.5129999999999999</v>
      </c>
      <c r="C176">
        <f>581876</f>
        <v>581876</v>
      </c>
      <c r="J176">
        <f>194.1</f>
        <v>194.1</v>
      </c>
      <c r="K176">
        <f>235.3</f>
        <v>235.3</v>
      </c>
    </row>
    <row r="177" spans="1:11" x14ac:dyDescent="0.3">
      <c r="A177" s="26">
        <f t="shared" si="12"/>
        <v>-4.26</v>
      </c>
      <c r="B177">
        <v>0.54</v>
      </c>
      <c r="C177">
        <f>586832</f>
        <v>586832</v>
      </c>
      <c r="J177">
        <f>233.3</f>
        <v>233.3</v>
      </c>
      <c r="K177">
        <f>223.5</f>
        <v>223.5</v>
      </c>
    </row>
    <row r="178" spans="1:11" x14ac:dyDescent="0.3">
      <c r="A178" s="26">
        <f t="shared" si="12"/>
        <v>-4.2829999999999995</v>
      </c>
      <c r="B178">
        <v>0.51700000000000035</v>
      </c>
      <c r="C178">
        <f>591152</f>
        <v>591152</v>
      </c>
      <c r="J178">
        <f>177.8</f>
        <v>177.8</v>
      </c>
      <c r="K178">
        <f>105.9</f>
        <v>105.9</v>
      </c>
    </row>
    <row r="179" spans="1:11" x14ac:dyDescent="0.3">
      <c r="A179" s="26">
        <f t="shared" si="12"/>
        <v>-4.2769999999999992</v>
      </c>
      <c r="B179">
        <v>0.52300000000000058</v>
      </c>
      <c r="C179">
        <f>599456</f>
        <v>599456</v>
      </c>
      <c r="J179">
        <f>188.2</f>
        <v>188.2</v>
      </c>
      <c r="K179">
        <f>111.8</f>
        <v>111.8</v>
      </c>
    </row>
    <row r="180" spans="1:11" x14ac:dyDescent="0.3">
      <c r="A180" s="26">
        <f t="shared" si="12"/>
        <v>-4.2559999999999993</v>
      </c>
      <c r="B180">
        <v>0.54400000000000048</v>
      </c>
      <c r="C180">
        <f>602520</f>
        <v>602520</v>
      </c>
      <c r="J180">
        <f>188.2</f>
        <v>188.2</v>
      </c>
      <c r="K180">
        <f>241.2</f>
        <v>241.2</v>
      </c>
    </row>
    <row r="181" spans="1:11" x14ac:dyDescent="0.3">
      <c r="A181" s="26">
        <f t="shared" si="12"/>
        <v>-4.2949999999999999</v>
      </c>
      <c r="B181">
        <v>0.50499999999999989</v>
      </c>
      <c r="C181">
        <f>610468</f>
        <v>610468</v>
      </c>
      <c r="J181">
        <f>183.3</f>
        <v>183.3</v>
      </c>
      <c r="K181">
        <f>188.2</f>
        <v>188.2</v>
      </c>
    </row>
    <row r="182" spans="1:11" x14ac:dyDescent="0.3">
      <c r="A182" s="26">
        <f t="shared" si="12"/>
        <v>-4.282</v>
      </c>
      <c r="B182">
        <v>0.51799999999999979</v>
      </c>
      <c r="C182">
        <f>617016</f>
        <v>617016</v>
      </c>
      <c r="J182">
        <f>211.8</f>
        <v>211.8</v>
      </c>
      <c r="K182">
        <f>216.7</f>
        <v>216.7</v>
      </c>
    </row>
    <row r="183" spans="1:11" x14ac:dyDescent="0.3">
      <c r="A183" s="26">
        <f t="shared" si="12"/>
        <v>-4.266</v>
      </c>
      <c r="B183">
        <v>0.53399999999999981</v>
      </c>
      <c r="C183">
        <f>621444</f>
        <v>621444</v>
      </c>
      <c r="J183">
        <f>188.2</f>
        <v>188.2</v>
      </c>
      <c r="K183">
        <f>105.9</f>
        <v>105.9</v>
      </c>
    </row>
    <row r="184" spans="1:11" x14ac:dyDescent="0.3">
      <c r="A184" s="26">
        <f t="shared" si="12"/>
        <v>-4.282</v>
      </c>
      <c r="B184">
        <v>0.51799999999999979</v>
      </c>
      <c r="C184">
        <f>627684</f>
        <v>627684</v>
      </c>
      <c r="J184">
        <f>177.8</f>
        <v>177.8</v>
      </c>
      <c r="K184">
        <f>229.4</f>
        <v>229.4</v>
      </c>
    </row>
    <row r="185" spans="1:11" x14ac:dyDescent="0.3">
      <c r="A185" s="26">
        <f t="shared" si="12"/>
        <v>-4.2619999999999996</v>
      </c>
      <c r="B185">
        <v>0.53800000000000026</v>
      </c>
      <c r="C185">
        <f>633708</f>
        <v>633708</v>
      </c>
      <c r="J185">
        <f>188.2</f>
        <v>188.2</v>
      </c>
      <c r="K185">
        <f>88.9</f>
        <v>88.9</v>
      </c>
    </row>
    <row r="186" spans="1:11" x14ac:dyDescent="0.3">
      <c r="A186" s="26">
        <f t="shared" si="12"/>
        <v>-4.2529999999999992</v>
      </c>
      <c r="B186">
        <v>0.5470000000000006</v>
      </c>
      <c r="C186">
        <f>639940</f>
        <v>639940</v>
      </c>
      <c r="J186">
        <f>247.1</f>
        <v>247.1</v>
      </c>
      <c r="K186">
        <f>123.5</f>
        <v>123.5</v>
      </c>
    </row>
    <row r="187" spans="1:11" x14ac:dyDescent="0.3">
      <c r="A187" s="26">
        <f t="shared" si="12"/>
        <v>-4.2749999999999995</v>
      </c>
      <c r="B187">
        <v>0.52500000000000036</v>
      </c>
      <c r="C187">
        <f>649828</f>
        <v>649828</v>
      </c>
      <c r="J187">
        <f>172.2</f>
        <v>172.2</v>
      </c>
      <c r="K187">
        <f>105.9</f>
        <v>105.9</v>
      </c>
    </row>
    <row r="188" spans="1:11" x14ac:dyDescent="0.3">
      <c r="A188" s="26">
        <f t="shared" si="12"/>
        <v>-4.25</v>
      </c>
      <c r="B188">
        <v>0.54999999999999982</v>
      </c>
      <c r="C188">
        <f>654384</f>
        <v>654384</v>
      </c>
      <c r="J188">
        <f>172.2</f>
        <v>172.2</v>
      </c>
      <c r="K188">
        <f>100</f>
        <v>100</v>
      </c>
    </row>
    <row r="189" spans="1:11" x14ac:dyDescent="0.3">
      <c r="A189" s="26">
        <f t="shared" si="12"/>
        <v>-4.2429999999999994</v>
      </c>
      <c r="B189">
        <v>0.55700000000000038</v>
      </c>
      <c r="C189">
        <f>658716</f>
        <v>658716</v>
      </c>
      <c r="J189">
        <f>188.2</f>
        <v>188.2</v>
      </c>
      <c r="K189">
        <f>229.4</f>
        <v>229.4</v>
      </c>
    </row>
    <row r="190" spans="1:11" x14ac:dyDescent="0.3">
      <c r="A190" s="26">
        <f t="shared" si="12"/>
        <v>-4.2639999999999993</v>
      </c>
      <c r="B190">
        <v>0.53600000000000048</v>
      </c>
      <c r="C190">
        <f>660512</f>
        <v>660512</v>
      </c>
      <c r="J190">
        <f>194.1</f>
        <v>194.1</v>
      </c>
      <c r="K190">
        <f>111.1</f>
        <v>111.1</v>
      </c>
    </row>
    <row r="191" spans="1:11" x14ac:dyDescent="0.3">
      <c r="A191" s="26">
        <f t="shared" si="12"/>
        <v>-4.2479999999999993</v>
      </c>
      <c r="B191">
        <v>0.55200000000000049</v>
      </c>
      <c r="C191">
        <f>674320</f>
        <v>674320</v>
      </c>
      <c r="J191">
        <f>227.8</f>
        <v>227.8</v>
      </c>
      <c r="K191">
        <f>105.9</f>
        <v>105.9</v>
      </c>
    </row>
    <row r="192" spans="1:11" x14ac:dyDescent="0.3">
      <c r="A192" s="26">
        <f t="shared" si="12"/>
        <v>-4.2389999999999999</v>
      </c>
      <c r="B192">
        <v>0.56099999999999994</v>
      </c>
      <c r="C192">
        <f>680848</f>
        <v>680848</v>
      </c>
      <c r="J192">
        <f>188.2</f>
        <v>188.2</v>
      </c>
      <c r="K192">
        <f>111.8</f>
        <v>111.8</v>
      </c>
    </row>
    <row r="193" spans="1:11" x14ac:dyDescent="0.3">
      <c r="A193" s="26">
        <f t="shared" si="12"/>
        <v>-4.2329999999999997</v>
      </c>
      <c r="B193">
        <v>0.56700000000000017</v>
      </c>
      <c r="C193">
        <f>687544</f>
        <v>687544</v>
      </c>
      <c r="J193">
        <f>182.4</f>
        <v>182.4</v>
      </c>
      <c r="K193">
        <f>105.9</f>
        <v>105.9</v>
      </c>
    </row>
    <row r="194" spans="1:11" x14ac:dyDescent="0.3">
      <c r="A194" s="26">
        <f t="shared" si="12"/>
        <v>-4.2529999999999992</v>
      </c>
      <c r="B194">
        <v>0.5470000000000006</v>
      </c>
      <c r="C194">
        <f>691716</f>
        <v>691716</v>
      </c>
      <c r="J194">
        <f>177.8</f>
        <v>177.8</v>
      </c>
      <c r="K194">
        <f>223.5</f>
        <v>223.5</v>
      </c>
    </row>
    <row r="195" spans="1:11" x14ac:dyDescent="0.3">
      <c r="A195" s="26">
        <f t="shared" si="12"/>
        <v>-4.2319999999999993</v>
      </c>
      <c r="B195">
        <v>0.5680000000000005</v>
      </c>
      <c r="C195">
        <f>697132</f>
        <v>697132</v>
      </c>
      <c r="J195">
        <f>177.8</f>
        <v>177.8</v>
      </c>
      <c r="K195">
        <f>105.9</f>
        <v>105.9</v>
      </c>
    </row>
    <row r="196" spans="1:11" x14ac:dyDescent="0.3">
      <c r="A196" s="26">
        <f t="shared" si="12"/>
        <v>-4.2269999999999994</v>
      </c>
      <c r="B196">
        <v>0.5730000000000004</v>
      </c>
      <c r="C196">
        <f>700096</f>
        <v>700096</v>
      </c>
      <c r="J196">
        <f>276.5</f>
        <v>276.5</v>
      </c>
      <c r="K196">
        <f>194.4</f>
        <v>194.4</v>
      </c>
    </row>
    <row r="197" spans="1:11" x14ac:dyDescent="0.3">
      <c r="A197" s="26">
        <f t="shared" si="12"/>
        <v>-4.2489999999999997</v>
      </c>
      <c r="B197">
        <v>0.55100000000000016</v>
      </c>
      <c r="C197">
        <f>707368</f>
        <v>707368</v>
      </c>
      <c r="J197">
        <f>177.8</f>
        <v>177.8</v>
      </c>
      <c r="K197">
        <f>116.7</f>
        <v>116.7</v>
      </c>
    </row>
    <row r="198" spans="1:11" x14ac:dyDescent="0.3">
      <c r="A198" s="26">
        <f t="shared" ref="A198:A261" si="13">B198-4.8</f>
        <v>-4.2239999999999993</v>
      </c>
      <c r="B198">
        <v>0.57600000000000051</v>
      </c>
      <c r="C198">
        <f>710736</f>
        <v>710736</v>
      </c>
      <c r="J198">
        <f>183.3</f>
        <v>183.3</v>
      </c>
      <c r="K198">
        <f>105.9</f>
        <v>105.9</v>
      </c>
    </row>
    <row r="199" spans="1:11" x14ac:dyDescent="0.3">
      <c r="A199" s="26">
        <f t="shared" si="13"/>
        <v>-4.2449999999999992</v>
      </c>
      <c r="B199">
        <v>0.5550000000000006</v>
      </c>
      <c r="C199">
        <f>715900</f>
        <v>715900</v>
      </c>
      <c r="J199">
        <f>188.2</f>
        <v>188.2</v>
      </c>
      <c r="K199">
        <f>211.1</f>
        <v>211.1</v>
      </c>
    </row>
    <row r="200" spans="1:11" x14ac:dyDescent="0.3">
      <c r="A200" s="26">
        <f t="shared" si="13"/>
        <v>-4.2299999999999995</v>
      </c>
      <c r="B200">
        <v>0.57000000000000028</v>
      </c>
      <c r="C200">
        <f>715196</f>
        <v>715196</v>
      </c>
      <c r="J200">
        <f>188.2</f>
        <v>188.2</v>
      </c>
      <c r="K200">
        <f>117.6</f>
        <v>117.6</v>
      </c>
    </row>
    <row r="201" spans="1:11" x14ac:dyDescent="0.3">
      <c r="A201" s="26">
        <f t="shared" si="13"/>
        <v>-4.218</v>
      </c>
      <c r="B201">
        <v>0.58199999999999985</v>
      </c>
      <c r="C201">
        <f>718636</f>
        <v>718636</v>
      </c>
      <c r="J201">
        <f>211.8</f>
        <v>211.8</v>
      </c>
      <c r="K201">
        <f>111.8</f>
        <v>111.8</v>
      </c>
    </row>
    <row r="202" spans="1:11" x14ac:dyDescent="0.3">
      <c r="A202" s="26">
        <f t="shared" si="13"/>
        <v>-4.2379999999999995</v>
      </c>
      <c r="B202">
        <v>0.56200000000000028</v>
      </c>
      <c r="C202">
        <f>721680</f>
        <v>721680</v>
      </c>
      <c r="J202">
        <f>223.5</f>
        <v>223.5</v>
      </c>
      <c r="K202">
        <f>111.1</f>
        <v>111.1</v>
      </c>
    </row>
    <row r="203" spans="1:11" x14ac:dyDescent="0.3">
      <c r="A203" s="26">
        <f t="shared" si="13"/>
        <v>-4.2219999999999995</v>
      </c>
      <c r="B203">
        <v>0.57800000000000029</v>
      </c>
      <c r="C203">
        <f>728460</f>
        <v>728460</v>
      </c>
      <c r="J203">
        <f>177.8</f>
        <v>177.8</v>
      </c>
      <c r="K203">
        <f>229.4</f>
        <v>229.4</v>
      </c>
    </row>
    <row r="204" spans="1:11" x14ac:dyDescent="0.3">
      <c r="A204" s="26">
        <f t="shared" si="13"/>
        <v>-4.2189999999999994</v>
      </c>
      <c r="B204">
        <v>0.58100000000000041</v>
      </c>
      <c r="C204">
        <f>727344</f>
        <v>727344</v>
      </c>
      <c r="J204">
        <f>188.2</f>
        <v>188.2</v>
      </c>
      <c r="K204">
        <f>111.8</f>
        <v>111.8</v>
      </c>
    </row>
    <row r="205" spans="1:11" x14ac:dyDescent="0.3">
      <c r="A205" s="26">
        <f t="shared" si="13"/>
        <v>-4.2189999999999994</v>
      </c>
      <c r="B205">
        <v>0.58100000000000041</v>
      </c>
      <c r="C205">
        <f>735528</f>
        <v>735528</v>
      </c>
      <c r="J205">
        <f>194.1</f>
        <v>194.1</v>
      </c>
      <c r="K205">
        <f>223.5</f>
        <v>223.5</v>
      </c>
    </row>
    <row r="206" spans="1:11" x14ac:dyDescent="0.3">
      <c r="A206" s="26">
        <f t="shared" si="13"/>
        <v>-4.2089999999999996</v>
      </c>
      <c r="B206">
        <v>0.59100000000000019</v>
      </c>
      <c r="C206">
        <f>737636</f>
        <v>737636</v>
      </c>
      <c r="J206">
        <f>177.8</f>
        <v>177.8</v>
      </c>
      <c r="K206">
        <f>170.6</f>
        <v>170.6</v>
      </c>
    </row>
    <row r="207" spans="1:11" x14ac:dyDescent="0.3">
      <c r="A207" s="26">
        <f t="shared" si="13"/>
        <v>-4.2269999999999994</v>
      </c>
      <c r="B207">
        <v>0.5730000000000004</v>
      </c>
      <c r="C207">
        <f>737064</f>
        <v>737064</v>
      </c>
      <c r="J207">
        <f>252.9</f>
        <v>252.9</v>
      </c>
      <c r="K207">
        <f>100</f>
        <v>100</v>
      </c>
    </row>
    <row r="208" spans="1:11" x14ac:dyDescent="0.3">
      <c r="A208" s="26">
        <f t="shared" si="13"/>
        <v>-4.2149999999999999</v>
      </c>
      <c r="B208">
        <v>0.58499999999999996</v>
      </c>
      <c r="C208">
        <f>743632</f>
        <v>743632</v>
      </c>
      <c r="J208">
        <f>200</f>
        <v>200</v>
      </c>
      <c r="K208">
        <f>222.2</f>
        <v>222.2</v>
      </c>
    </row>
    <row r="209" spans="1:11" x14ac:dyDescent="0.3">
      <c r="A209" s="26">
        <f t="shared" si="13"/>
        <v>-4.2029999999999994</v>
      </c>
      <c r="B209">
        <v>0.59700000000000042</v>
      </c>
      <c r="C209">
        <f>751960</f>
        <v>751960</v>
      </c>
      <c r="J209">
        <f>200</f>
        <v>200</v>
      </c>
      <c r="K209">
        <f>241.2</f>
        <v>241.2</v>
      </c>
    </row>
    <row r="210" spans="1:11" x14ac:dyDescent="0.3">
      <c r="A210" s="26">
        <f t="shared" si="13"/>
        <v>-4.226</v>
      </c>
      <c r="B210">
        <v>0.57399999999999984</v>
      </c>
      <c r="C210">
        <f>756700</f>
        <v>756700</v>
      </c>
      <c r="J210">
        <f>177.8</f>
        <v>177.8</v>
      </c>
      <c r="K210">
        <f>188.2</f>
        <v>188.2</v>
      </c>
    </row>
    <row r="211" spans="1:11" x14ac:dyDescent="0.3">
      <c r="A211" s="26">
        <f t="shared" si="13"/>
        <v>-4.2039999999999997</v>
      </c>
      <c r="B211">
        <v>0.59600000000000009</v>
      </c>
      <c r="C211">
        <f>765328</f>
        <v>765328</v>
      </c>
      <c r="J211">
        <f>177.8</f>
        <v>177.8</v>
      </c>
      <c r="K211">
        <f>100</f>
        <v>100</v>
      </c>
    </row>
    <row r="212" spans="1:11" x14ac:dyDescent="0.3">
      <c r="A212" s="26">
        <f t="shared" si="13"/>
        <v>-4.1989999999999998</v>
      </c>
      <c r="B212">
        <v>0.60099999999999998</v>
      </c>
      <c r="C212">
        <f>774656</f>
        <v>774656</v>
      </c>
      <c r="J212">
        <f>194.1</f>
        <v>194.1</v>
      </c>
      <c r="K212">
        <f>164.7</f>
        <v>164.7</v>
      </c>
    </row>
    <row r="213" spans="1:11" x14ac:dyDescent="0.3">
      <c r="A213" s="26">
        <f t="shared" si="13"/>
        <v>-4.2229999999999999</v>
      </c>
      <c r="B213">
        <v>0.57699999999999996</v>
      </c>
      <c r="C213">
        <f>779888</f>
        <v>779888</v>
      </c>
      <c r="J213">
        <f>241.2</f>
        <v>241.2</v>
      </c>
      <c r="K213">
        <f>176.5</f>
        <v>176.5</v>
      </c>
    </row>
    <row r="214" spans="1:11" x14ac:dyDescent="0.3">
      <c r="A214" s="26">
        <f t="shared" si="13"/>
        <v>-4.1970000000000001</v>
      </c>
      <c r="B214">
        <v>0.60299999999999976</v>
      </c>
      <c r="C214">
        <f>784624</f>
        <v>784624</v>
      </c>
      <c r="J214">
        <f>194.1</f>
        <v>194.1</v>
      </c>
      <c r="K214">
        <f>216.7</f>
        <v>216.7</v>
      </c>
    </row>
    <row r="215" spans="1:11" x14ac:dyDescent="0.3">
      <c r="A215" s="26">
        <f t="shared" si="13"/>
        <v>-4.1949999999999994</v>
      </c>
      <c r="B215">
        <v>0.60500000000000043</v>
      </c>
      <c r="C215">
        <f>790584</f>
        <v>790584</v>
      </c>
      <c r="J215">
        <f>183.3</f>
        <v>183.3</v>
      </c>
      <c r="K215">
        <f>100</f>
        <v>100</v>
      </c>
    </row>
    <row r="216" spans="1:11" x14ac:dyDescent="0.3">
      <c r="A216" s="26">
        <f t="shared" si="13"/>
        <v>-4.218</v>
      </c>
      <c r="B216">
        <v>0.58199999999999985</v>
      </c>
      <c r="C216">
        <f>797576</f>
        <v>797576</v>
      </c>
      <c r="J216">
        <f>188.2</f>
        <v>188.2</v>
      </c>
      <c r="K216">
        <f>111.8</f>
        <v>111.8</v>
      </c>
    </row>
    <row r="217" spans="1:11" x14ac:dyDescent="0.3">
      <c r="A217" s="26">
        <f t="shared" si="13"/>
        <v>-4.1970000000000001</v>
      </c>
      <c r="B217">
        <v>0.60299999999999976</v>
      </c>
      <c r="C217">
        <f>803772</f>
        <v>803772</v>
      </c>
      <c r="J217">
        <f>172.2</f>
        <v>172.2</v>
      </c>
      <c r="K217">
        <f>117.6</f>
        <v>117.6</v>
      </c>
    </row>
    <row r="218" spans="1:11" x14ac:dyDescent="0.3">
      <c r="A218" s="26">
        <f t="shared" si="13"/>
        <v>-4.218</v>
      </c>
      <c r="B218">
        <v>0.58199999999999985</v>
      </c>
      <c r="C218">
        <f>817204</f>
        <v>817204</v>
      </c>
      <c r="J218">
        <f>194.1</f>
        <v>194.1</v>
      </c>
      <c r="K218">
        <f>100</f>
        <v>100</v>
      </c>
    </row>
    <row r="219" spans="1:11" x14ac:dyDescent="0.3">
      <c r="A219" s="26">
        <f t="shared" si="13"/>
        <v>-4.2069999999999999</v>
      </c>
      <c r="B219">
        <v>0.59299999999999997</v>
      </c>
      <c r="C219">
        <f>821940</f>
        <v>821940</v>
      </c>
      <c r="J219">
        <f>222.2</f>
        <v>222.2</v>
      </c>
      <c r="K219">
        <f>100</f>
        <v>100</v>
      </c>
    </row>
    <row r="220" spans="1:11" x14ac:dyDescent="0.3">
      <c r="A220" s="26">
        <f t="shared" si="13"/>
        <v>-4.1919999999999993</v>
      </c>
      <c r="B220">
        <v>0.60800000000000054</v>
      </c>
      <c r="C220">
        <f>827960</f>
        <v>827960</v>
      </c>
      <c r="J220">
        <f>188.2</f>
        <v>188.2</v>
      </c>
      <c r="K220">
        <f>241.2</f>
        <v>241.2</v>
      </c>
    </row>
    <row r="221" spans="1:11" x14ac:dyDescent="0.3">
      <c r="A221" s="26">
        <f t="shared" si="13"/>
        <v>-4.2139999999999995</v>
      </c>
      <c r="B221">
        <v>0.5860000000000003</v>
      </c>
      <c r="C221">
        <f>830680</f>
        <v>830680</v>
      </c>
      <c r="J221">
        <f>188.2</f>
        <v>188.2</v>
      </c>
      <c r="K221">
        <f>100</f>
        <v>100</v>
      </c>
    </row>
    <row r="222" spans="1:11" x14ac:dyDescent="0.3">
      <c r="A222" s="26">
        <f t="shared" si="13"/>
        <v>-4.1899999999999995</v>
      </c>
      <c r="B222">
        <v>0.61000000000000032</v>
      </c>
      <c r="C222">
        <f>834760</f>
        <v>834760</v>
      </c>
      <c r="J222">
        <f>188.2</f>
        <v>188.2</v>
      </c>
      <c r="K222">
        <f>229.4</f>
        <v>229.4</v>
      </c>
    </row>
    <row r="223" spans="1:11" x14ac:dyDescent="0.3">
      <c r="A223" s="26">
        <f t="shared" si="13"/>
        <v>-4.1879999999999997</v>
      </c>
      <c r="B223">
        <v>0.6120000000000001</v>
      </c>
      <c r="C223">
        <f>842400</f>
        <v>842400</v>
      </c>
      <c r="J223">
        <f>177.8</f>
        <v>177.8</v>
      </c>
      <c r="K223">
        <f>229.4</f>
        <v>229.4</v>
      </c>
    </row>
    <row r="224" spans="1:11" x14ac:dyDescent="0.3">
      <c r="A224" s="26">
        <f t="shared" si="13"/>
        <v>-4.21</v>
      </c>
      <c r="B224">
        <v>0.58999999999999986</v>
      </c>
      <c r="C224">
        <f>848200</f>
        <v>848200</v>
      </c>
      <c r="J224">
        <f>564.7</f>
        <v>564.70000000000005</v>
      </c>
      <c r="K224">
        <f>217.6</f>
        <v>217.6</v>
      </c>
    </row>
    <row r="225" spans="1:11" x14ac:dyDescent="0.3">
      <c r="A225" s="26">
        <f t="shared" si="13"/>
        <v>-4.1890000000000001</v>
      </c>
      <c r="B225">
        <v>0.61099999999999977</v>
      </c>
      <c r="C225">
        <f>845300</f>
        <v>845300</v>
      </c>
      <c r="J225">
        <f>550</f>
        <v>550</v>
      </c>
      <c r="K225">
        <f>111.8</f>
        <v>111.8</v>
      </c>
    </row>
    <row r="226" spans="1:11" x14ac:dyDescent="0.3">
      <c r="A226" s="26">
        <f t="shared" si="13"/>
        <v>-4.21</v>
      </c>
      <c r="B226">
        <v>0.58999999999999986</v>
      </c>
      <c r="C226">
        <f>854644</f>
        <v>854644</v>
      </c>
      <c r="J226">
        <f>188.2</f>
        <v>188.2</v>
      </c>
      <c r="K226">
        <f>158.8</f>
        <v>158.80000000000001</v>
      </c>
    </row>
    <row r="227" spans="1:11" x14ac:dyDescent="0.3">
      <c r="A227" s="26">
        <f t="shared" si="13"/>
        <v>-4.2039999999999997</v>
      </c>
      <c r="B227">
        <v>0.59600000000000009</v>
      </c>
      <c r="C227">
        <f>860596</f>
        <v>860596</v>
      </c>
      <c r="J227">
        <f>188.2</f>
        <v>188.2</v>
      </c>
      <c r="K227">
        <f>241.2</f>
        <v>241.2</v>
      </c>
    </row>
    <row r="228" spans="1:11" x14ac:dyDescent="0.3">
      <c r="A228" s="26">
        <f t="shared" si="13"/>
        <v>-4.1839999999999993</v>
      </c>
      <c r="B228">
        <v>0.61600000000000055</v>
      </c>
      <c r="C228">
        <f>866412</f>
        <v>866412</v>
      </c>
      <c r="J228">
        <f>200</f>
        <v>200</v>
      </c>
      <c r="K228">
        <f>105.9</f>
        <v>105.9</v>
      </c>
    </row>
    <row r="229" spans="1:11" x14ac:dyDescent="0.3">
      <c r="A229" s="26">
        <f t="shared" si="13"/>
        <v>-4.2069999999999999</v>
      </c>
      <c r="B229">
        <v>0.59299999999999997</v>
      </c>
      <c r="C229">
        <f>870728</f>
        <v>870728</v>
      </c>
      <c r="J229">
        <f>211.8</f>
        <v>211.8</v>
      </c>
      <c r="K229">
        <f>105.9</f>
        <v>105.9</v>
      </c>
    </row>
    <row r="230" spans="1:11" x14ac:dyDescent="0.3">
      <c r="A230" s="26">
        <f t="shared" si="13"/>
        <v>-4.1849999999999996</v>
      </c>
      <c r="B230">
        <v>0.61500000000000021</v>
      </c>
      <c r="C230">
        <f>872136</f>
        <v>872136</v>
      </c>
      <c r="J230">
        <f>188.2</f>
        <v>188.2</v>
      </c>
      <c r="K230">
        <f>235.3</f>
        <v>235.3</v>
      </c>
    </row>
    <row r="231" spans="1:11" x14ac:dyDescent="0.3">
      <c r="A231" s="26">
        <f t="shared" si="13"/>
        <v>-4.181</v>
      </c>
      <c r="B231">
        <v>0.61899999999999977</v>
      </c>
      <c r="C231">
        <f>877252</f>
        <v>877252</v>
      </c>
      <c r="J231">
        <f>177.8</f>
        <v>177.8</v>
      </c>
      <c r="K231">
        <f>144.4</f>
        <v>144.4</v>
      </c>
    </row>
    <row r="232" spans="1:11" x14ac:dyDescent="0.3">
      <c r="A232" s="26">
        <f t="shared" si="13"/>
        <v>-4.2050000000000001</v>
      </c>
      <c r="B232">
        <v>0.59499999999999975</v>
      </c>
      <c r="C232">
        <f>883440</f>
        <v>883440</v>
      </c>
      <c r="J232">
        <f>466.7</f>
        <v>466.7</v>
      </c>
      <c r="K232">
        <f>229.4</f>
        <v>229.4</v>
      </c>
    </row>
    <row r="233" spans="1:11" x14ac:dyDescent="0.3">
      <c r="A233" s="26">
        <f t="shared" si="13"/>
        <v>-4.1890000000000001</v>
      </c>
      <c r="B233">
        <v>0.61099999999999977</v>
      </c>
      <c r="C233">
        <f>893160</f>
        <v>893160</v>
      </c>
      <c r="J233">
        <f>177.8</f>
        <v>177.8</v>
      </c>
      <c r="K233">
        <f>241.2</f>
        <v>241.2</v>
      </c>
    </row>
    <row r="234" spans="1:11" x14ac:dyDescent="0.3">
      <c r="A234" s="26">
        <f t="shared" si="13"/>
        <v>-4.1859999999999999</v>
      </c>
      <c r="B234">
        <v>0.61399999999999988</v>
      </c>
      <c r="C234">
        <f>898960</f>
        <v>898960</v>
      </c>
      <c r="J234">
        <f>282.4</f>
        <v>282.39999999999998</v>
      </c>
      <c r="K234">
        <f>94.4</f>
        <v>94.4</v>
      </c>
    </row>
    <row r="235" spans="1:11" x14ac:dyDescent="0.3">
      <c r="A235" s="26">
        <f t="shared" si="13"/>
        <v>-4.1759999999999993</v>
      </c>
      <c r="B235">
        <v>0.62400000000000055</v>
      </c>
      <c r="C235">
        <f>904124</f>
        <v>904124</v>
      </c>
      <c r="J235">
        <f>172.2</f>
        <v>172.2</v>
      </c>
      <c r="K235">
        <f>105.9</f>
        <v>105.9</v>
      </c>
    </row>
    <row r="236" spans="1:11" x14ac:dyDescent="0.3">
      <c r="A236" s="26">
        <f t="shared" si="13"/>
        <v>-4.1999999999999993</v>
      </c>
      <c r="B236">
        <v>0.60000000000000053</v>
      </c>
      <c r="C236">
        <f>910860</f>
        <v>910860</v>
      </c>
      <c r="J236">
        <f>177.8</f>
        <v>177.8</v>
      </c>
      <c r="K236">
        <f>223.5</f>
        <v>223.5</v>
      </c>
    </row>
    <row r="237" spans="1:11" x14ac:dyDescent="0.3">
      <c r="A237" s="26">
        <f t="shared" si="13"/>
        <v>-4.1829999999999998</v>
      </c>
      <c r="B237">
        <v>0.61699999999999999</v>
      </c>
      <c r="C237">
        <f>914412</f>
        <v>914412</v>
      </c>
      <c r="J237">
        <f>177.8</f>
        <v>177.8</v>
      </c>
      <c r="K237">
        <f>111.8</f>
        <v>111.8</v>
      </c>
    </row>
    <row r="238" spans="1:11" x14ac:dyDescent="0.3">
      <c r="A238" s="26">
        <f t="shared" si="13"/>
        <v>-4.1749999999999998</v>
      </c>
      <c r="B238">
        <v>0.625</v>
      </c>
      <c r="C238">
        <f>928528</f>
        <v>928528</v>
      </c>
      <c r="J238">
        <f>188.2</f>
        <v>188.2</v>
      </c>
      <c r="K238">
        <f>100</f>
        <v>100</v>
      </c>
    </row>
    <row r="239" spans="1:11" x14ac:dyDescent="0.3">
      <c r="A239" s="26">
        <f t="shared" si="13"/>
        <v>-4.1979999999999995</v>
      </c>
      <c r="B239">
        <v>0.60200000000000031</v>
      </c>
      <c r="C239">
        <f>934816</f>
        <v>934816</v>
      </c>
      <c r="J239">
        <f>188.2</f>
        <v>188.2</v>
      </c>
      <c r="K239">
        <f>105.9</f>
        <v>105.9</v>
      </c>
    </row>
    <row r="240" spans="1:11" x14ac:dyDescent="0.3">
      <c r="A240" s="26">
        <f t="shared" si="13"/>
        <v>-4.1759999999999993</v>
      </c>
      <c r="B240">
        <v>0.62400000000000055</v>
      </c>
      <c r="C240">
        <f>940972</f>
        <v>940972</v>
      </c>
      <c r="J240">
        <f>233.3</f>
        <v>233.3</v>
      </c>
      <c r="K240">
        <f>100</f>
        <v>100</v>
      </c>
    </row>
    <row r="241" spans="1:11" x14ac:dyDescent="0.3">
      <c r="A241" s="26">
        <f t="shared" si="13"/>
        <v>-4.1709999999999994</v>
      </c>
      <c r="B241">
        <v>0.62900000000000045</v>
      </c>
      <c r="C241">
        <f>945352</f>
        <v>945352</v>
      </c>
      <c r="J241">
        <f>183.3</f>
        <v>183.3</v>
      </c>
      <c r="K241">
        <f>222.2</f>
        <v>222.2</v>
      </c>
    </row>
    <row r="242" spans="1:11" x14ac:dyDescent="0.3">
      <c r="A242" s="26">
        <f t="shared" si="13"/>
        <v>-4.194</v>
      </c>
      <c r="B242">
        <v>0.60599999999999987</v>
      </c>
      <c r="C242">
        <f>952068</f>
        <v>952068</v>
      </c>
      <c r="J242">
        <f>194.1</f>
        <v>194.1</v>
      </c>
      <c r="K242">
        <f>205.9</f>
        <v>205.9</v>
      </c>
    </row>
    <row r="243" spans="1:11" x14ac:dyDescent="0.3">
      <c r="A243" s="26">
        <f t="shared" si="13"/>
        <v>-4.1719999999999997</v>
      </c>
      <c r="B243">
        <v>0.62800000000000011</v>
      </c>
      <c r="C243">
        <f>956040</f>
        <v>956040</v>
      </c>
      <c r="J243">
        <f>194.1</f>
        <v>194.1</v>
      </c>
      <c r="K243">
        <f>200</f>
        <v>200</v>
      </c>
    </row>
    <row r="244" spans="1:11" x14ac:dyDescent="0.3">
      <c r="A244" s="26">
        <f t="shared" si="13"/>
        <v>-4.1919999999999993</v>
      </c>
      <c r="B244">
        <v>0.60800000000000054</v>
      </c>
      <c r="C244">
        <f>962748</f>
        <v>962748</v>
      </c>
      <c r="J244">
        <f>172.2</f>
        <v>172.2</v>
      </c>
      <c r="K244">
        <f>123.5</f>
        <v>123.5</v>
      </c>
    </row>
    <row r="245" spans="1:11" x14ac:dyDescent="0.3">
      <c r="A245" s="26">
        <f t="shared" si="13"/>
        <v>-4.181</v>
      </c>
      <c r="B245">
        <v>0.61899999999999977</v>
      </c>
      <c r="C245">
        <f>964128</f>
        <v>964128</v>
      </c>
      <c r="J245">
        <f>183.3</f>
        <v>183.3</v>
      </c>
      <c r="K245">
        <f>138.9</f>
        <v>138.9</v>
      </c>
    </row>
    <row r="246" spans="1:11" x14ac:dyDescent="0.3">
      <c r="A246" s="26">
        <f t="shared" si="13"/>
        <v>-4.1669999999999998</v>
      </c>
      <c r="B246">
        <v>0.63300000000000001</v>
      </c>
      <c r="C246">
        <f>972020</f>
        <v>972020</v>
      </c>
      <c r="J246">
        <f>361.1</f>
        <v>361.1</v>
      </c>
      <c r="K246">
        <f>211.1</f>
        <v>211.1</v>
      </c>
    </row>
    <row r="247" spans="1:11" x14ac:dyDescent="0.3">
      <c r="A247" s="26">
        <f t="shared" si="13"/>
        <v>-4.1899999999999995</v>
      </c>
      <c r="B247">
        <v>0.61000000000000032</v>
      </c>
      <c r="C247">
        <f>970092</f>
        <v>970092</v>
      </c>
      <c r="J247">
        <f>317.6</f>
        <v>317.60000000000002</v>
      </c>
      <c r="K247">
        <f>105.9</f>
        <v>105.9</v>
      </c>
    </row>
    <row r="248" spans="1:11" x14ac:dyDescent="0.3">
      <c r="A248" s="26">
        <f t="shared" si="13"/>
        <v>-4.1739999999999995</v>
      </c>
      <c r="B248">
        <v>0.62600000000000033</v>
      </c>
      <c r="C248">
        <f>969912</f>
        <v>969912</v>
      </c>
      <c r="J248">
        <f>177.8</f>
        <v>177.8</v>
      </c>
      <c r="K248">
        <f>123.5</f>
        <v>123.5</v>
      </c>
    </row>
    <row r="249" spans="1:11" x14ac:dyDescent="0.3">
      <c r="A249" s="26">
        <f t="shared" si="13"/>
        <v>-4.1669999999999998</v>
      </c>
      <c r="B249">
        <v>0.63300000000000001</v>
      </c>
      <c r="C249">
        <f>976500</f>
        <v>976500</v>
      </c>
      <c r="J249">
        <f>194.1</f>
        <v>194.1</v>
      </c>
      <c r="K249">
        <f>100</f>
        <v>100</v>
      </c>
    </row>
    <row r="250" spans="1:11" x14ac:dyDescent="0.3">
      <c r="A250" s="26">
        <f t="shared" si="13"/>
        <v>-4.1879999999999997</v>
      </c>
      <c r="B250">
        <v>0.6120000000000001</v>
      </c>
      <c r="C250">
        <f>976028</f>
        <v>976028</v>
      </c>
      <c r="J250">
        <f>183.3</f>
        <v>183.3</v>
      </c>
      <c r="K250">
        <f>105.9</f>
        <v>105.9</v>
      </c>
    </row>
    <row r="251" spans="1:11" x14ac:dyDescent="0.3">
      <c r="A251" s="26">
        <f t="shared" si="13"/>
        <v>-4.1659999999999995</v>
      </c>
      <c r="B251">
        <v>0.63400000000000034</v>
      </c>
      <c r="C251">
        <f>977252</f>
        <v>977252</v>
      </c>
      <c r="J251">
        <f>270.6</f>
        <v>270.60000000000002</v>
      </c>
      <c r="K251">
        <f>94.4</f>
        <v>94.4</v>
      </c>
    </row>
    <row r="252" spans="1:11" x14ac:dyDescent="0.3">
      <c r="A252" s="26">
        <f t="shared" si="13"/>
        <v>-4.1629999999999994</v>
      </c>
      <c r="B252">
        <v>0.63700000000000045</v>
      </c>
      <c r="C252">
        <f>976440</f>
        <v>976440</v>
      </c>
      <c r="J252">
        <f>177.8</f>
        <v>177.8</v>
      </c>
      <c r="K252">
        <f>105.9</f>
        <v>105.9</v>
      </c>
    </row>
    <row r="253" spans="1:11" x14ac:dyDescent="0.3">
      <c r="A253" s="26">
        <f t="shared" si="13"/>
        <v>-4.1859999999999999</v>
      </c>
      <c r="B253">
        <v>0.61399999999999988</v>
      </c>
      <c r="C253">
        <f>975620</f>
        <v>975620</v>
      </c>
      <c r="J253">
        <f>188.2</f>
        <v>188.2</v>
      </c>
      <c r="K253">
        <f>100</f>
        <v>100</v>
      </c>
    </row>
    <row r="254" spans="1:11" x14ac:dyDescent="0.3">
      <c r="A254" s="26">
        <f t="shared" si="13"/>
        <v>-4.1639999999999997</v>
      </c>
      <c r="B254">
        <v>0.63600000000000012</v>
      </c>
      <c r="C254">
        <f>974524</f>
        <v>974524</v>
      </c>
      <c r="J254">
        <f>177.8</f>
        <v>177.8</v>
      </c>
      <c r="K254">
        <f>117.6</f>
        <v>117.6</v>
      </c>
    </row>
    <row r="255" spans="1:11" x14ac:dyDescent="0.3">
      <c r="A255" s="26">
        <f t="shared" si="13"/>
        <v>-4.1619999999999999</v>
      </c>
      <c r="B255">
        <v>0.6379999999999999</v>
      </c>
      <c r="C255">
        <f>980580</f>
        <v>980580</v>
      </c>
      <c r="J255">
        <f>188.2</f>
        <v>188.2</v>
      </c>
      <c r="K255">
        <f>105.9</f>
        <v>105.9</v>
      </c>
    </row>
    <row r="256" spans="1:11" x14ac:dyDescent="0.3">
      <c r="A256" s="26">
        <f t="shared" si="13"/>
        <v>-4.1829999999999998</v>
      </c>
      <c r="B256">
        <v>0.61699999999999999</v>
      </c>
      <c r="C256">
        <f>982640</f>
        <v>982640</v>
      </c>
      <c r="J256">
        <f>194.1</f>
        <v>194.1</v>
      </c>
      <c r="K256">
        <f>235.3</f>
        <v>235.3</v>
      </c>
    </row>
    <row r="257" spans="1:11" x14ac:dyDescent="0.3">
      <c r="A257" s="26">
        <f t="shared" si="13"/>
        <v>-4.1619999999999999</v>
      </c>
      <c r="B257">
        <v>0.6379999999999999</v>
      </c>
      <c r="C257">
        <f>989244</f>
        <v>989244</v>
      </c>
      <c r="J257">
        <f>261.1</f>
        <v>261.10000000000002</v>
      </c>
      <c r="K257">
        <f>111.8</f>
        <v>111.8</v>
      </c>
    </row>
    <row r="258" spans="1:11" x14ac:dyDescent="0.3">
      <c r="A258" s="26">
        <f t="shared" si="13"/>
        <v>-4.1789999999999994</v>
      </c>
      <c r="B258">
        <v>0.62100000000000044</v>
      </c>
      <c r="C258">
        <f>997420</f>
        <v>997420</v>
      </c>
      <c r="J258">
        <f>211.8</f>
        <v>211.8</v>
      </c>
      <c r="K258">
        <f>105.9</f>
        <v>105.9</v>
      </c>
    </row>
    <row r="259" spans="1:11" x14ac:dyDescent="0.3">
      <c r="A259" s="26">
        <f t="shared" si="13"/>
        <v>-4.173</v>
      </c>
      <c r="B259">
        <v>0.62699999999999978</v>
      </c>
      <c r="C259">
        <f>982.1*1000</f>
        <v>982100</v>
      </c>
      <c r="J259">
        <f>177.8</f>
        <v>177.8</v>
      </c>
      <c r="K259">
        <f>105.9</f>
        <v>105.9</v>
      </c>
    </row>
    <row r="260" spans="1:11" x14ac:dyDescent="0.3">
      <c r="A260" s="26">
        <f t="shared" si="13"/>
        <v>-4.1609999999999996</v>
      </c>
      <c r="B260">
        <v>0.63900000000000023</v>
      </c>
      <c r="C260">
        <f>980.8*1000</f>
        <v>980800</v>
      </c>
      <c r="J260">
        <f>564.7</f>
        <v>564.70000000000005</v>
      </c>
      <c r="K260">
        <f>111.8</f>
        <v>111.8</v>
      </c>
    </row>
    <row r="261" spans="1:11" x14ac:dyDescent="0.3">
      <c r="A261" s="26">
        <f t="shared" si="13"/>
        <v>-4.1529999999999996</v>
      </c>
      <c r="B261">
        <v>0.64700000000000024</v>
      </c>
      <c r="C261">
        <f>991.6*1000</f>
        <v>991600</v>
      </c>
      <c r="J261">
        <f>188.2</f>
        <v>188.2</v>
      </c>
      <c r="K261">
        <f>129.4</f>
        <v>129.4</v>
      </c>
    </row>
    <row r="262" spans="1:11" x14ac:dyDescent="0.3">
      <c r="A262" s="26">
        <f t="shared" ref="A262:A325" si="14">B262-4.8</f>
        <v>-4.1749999999999998</v>
      </c>
      <c r="B262">
        <v>0.625</v>
      </c>
      <c r="C262">
        <f>0.979*1000000</f>
        <v>979000</v>
      </c>
      <c r="J262">
        <f>177.8</f>
        <v>177.8</v>
      </c>
      <c r="K262">
        <f>241.2</f>
        <v>241.2</v>
      </c>
    </row>
    <row r="263" spans="1:11" x14ac:dyDescent="0.3">
      <c r="A263" s="26">
        <f t="shared" si="14"/>
        <v>-4.1749999999999998</v>
      </c>
      <c r="B263">
        <v>0.625</v>
      </c>
      <c r="C263">
        <f>0.983*1000000</f>
        <v>983000</v>
      </c>
      <c r="J263">
        <f>177.8</f>
        <v>177.8</v>
      </c>
      <c r="K263">
        <f>176.5</f>
        <v>176.5</v>
      </c>
    </row>
    <row r="264" spans="1:11" x14ac:dyDescent="0.3">
      <c r="A264" s="26">
        <f t="shared" si="14"/>
        <v>-4.1529999999999996</v>
      </c>
      <c r="B264">
        <v>0.64700000000000024</v>
      </c>
      <c r="C264">
        <f>0.994*1000000</f>
        <v>994000</v>
      </c>
      <c r="J264">
        <f>247.1</f>
        <v>247.1</v>
      </c>
      <c r="K264">
        <f>229.4</f>
        <v>229.4</v>
      </c>
    </row>
    <row r="265" spans="1:11" x14ac:dyDescent="0.3">
      <c r="A265" s="26">
        <f t="shared" si="14"/>
        <v>-4.173</v>
      </c>
      <c r="B265">
        <v>0.62699999999999978</v>
      </c>
      <c r="C265">
        <f>0.998*1000000</f>
        <v>998000</v>
      </c>
      <c r="J265">
        <f>177.8</f>
        <v>177.8</v>
      </c>
      <c r="K265">
        <f>100</f>
        <v>100</v>
      </c>
    </row>
    <row r="266" spans="1:11" x14ac:dyDescent="0.3">
      <c r="A266" s="26">
        <f t="shared" si="14"/>
        <v>-4.1639999999999997</v>
      </c>
      <c r="B266">
        <v>0.63600000000000012</v>
      </c>
      <c r="C266">
        <f>1.004*1000000</f>
        <v>1004000</v>
      </c>
      <c r="J266">
        <f>188.2</f>
        <v>188.2</v>
      </c>
      <c r="K266">
        <f>105.6</f>
        <v>105.6</v>
      </c>
    </row>
    <row r="267" spans="1:11" x14ac:dyDescent="0.3">
      <c r="A267" s="26">
        <f t="shared" si="14"/>
        <v>-4.0919999999999996</v>
      </c>
      <c r="B267">
        <v>0.70800000000000018</v>
      </c>
      <c r="C267">
        <f>1.01*1000000</f>
        <v>1010000</v>
      </c>
      <c r="J267">
        <f>183.3</f>
        <v>183.3</v>
      </c>
      <c r="K267">
        <f>235.3</f>
        <v>235.3</v>
      </c>
    </row>
    <row r="268" spans="1:11" x14ac:dyDescent="0.3">
      <c r="A268" s="26">
        <f t="shared" si="14"/>
        <v>-4.08</v>
      </c>
      <c r="B268">
        <v>0.71999999999999975</v>
      </c>
      <c r="C268">
        <f>1.01*1000000</f>
        <v>1010000</v>
      </c>
      <c r="J268">
        <f>183.3</f>
        <v>183.3</v>
      </c>
      <c r="K268">
        <f>123.5</f>
        <v>123.5</v>
      </c>
    </row>
    <row r="269" spans="1:11" x14ac:dyDescent="0.3">
      <c r="A269" s="26">
        <f t="shared" si="14"/>
        <v>-4.0919999999999996</v>
      </c>
      <c r="B269">
        <v>0.70800000000000018</v>
      </c>
      <c r="C269">
        <f>1.016*1000000</f>
        <v>1016000</v>
      </c>
      <c r="J269">
        <f>177.8</f>
        <v>177.8</v>
      </c>
      <c r="K269">
        <f>100</f>
        <v>100</v>
      </c>
    </row>
    <row r="270" spans="1:11" x14ac:dyDescent="0.3">
      <c r="A270" s="26">
        <f t="shared" si="14"/>
        <v>-4.0869999999999997</v>
      </c>
      <c r="B270">
        <v>0.71300000000000008</v>
      </c>
      <c r="C270">
        <f>1.016*1000000</f>
        <v>1016000</v>
      </c>
      <c r="J270">
        <f>261.1</f>
        <v>261.10000000000002</v>
      </c>
      <c r="K270">
        <f>105.9</f>
        <v>105.9</v>
      </c>
    </row>
    <row r="271" spans="1:11" x14ac:dyDescent="0.3">
      <c r="A271" s="26">
        <f t="shared" si="14"/>
        <v>-4.0819999999999999</v>
      </c>
      <c r="B271">
        <v>0.71799999999999997</v>
      </c>
      <c r="C271">
        <f>1.015*1000000</f>
        <v>1014999.9999999999</v>
      </c>
      <c r="J271">
        <f>188.2</f>
        <v>188.2</v>
      </c>
      <c r="K271">
        <f>105.9</f>
        <v>105.9</v>
      </c>
    </row>
    <row r="272" spans="1:11" x14ac:dyDescent="0.3">
      <c r="A272" s="26">
        <f t="shared" si="14"/>
        <v>-4.0779999999999994</v>
      </c>
      <c r="B272">
        <v>0.72200000000000042</v>
      </c>
      <c r="C272">
        <f>1.015*1000000</f>
        <v>1014999.9999999999</v>
      </c>
      <c r="J272">
        <f>177.8</f>
        <v>177.8</v>
      </c>
      <c r="K272">
        <f>105.9</f>
        <v>105.9</v>
      </c>
    </row>
    <row r="273" spans="1:11" x14ac:dyDescent="0.3">
      <c r="A273" s="26">
        <f t="shared" si="14"/>
        <v>-4.1049999999999995</v>
      </c>
      <c r="B273">
        <v>0.69500000000000028</v>
      </c>
      <c r="C273">
        <f>1.014*1000000</f>
        <v>1014000</v>
      </c>
      <c r="J273">
        <f>188.2</f>
        <v>188.2</v>
      </c>
      <c r="K273">
        <f>105.6</f>
        <v>105.6</v>
      </c>
    </row>
    <row r="274" spans="1:11" x14ac:dyDescent="0.3">
      <c r="A274" s="26">
        <f t="shared" si="14"/>
        <v>-4.085</v>
      </c>
      <c r="B274">
        <v>0.71499999999999986</v>
      </c>
      <c r="C274">
        <f>1.02*1000000</f>
        <v>1020000</v>
      </c>
      <c r="J274">
        <f>561.1</f>
        <v>561.1</v>
      </c>
      <c r="K274">
        <f>100</f>
        <v>100</v>
      </c>
    </row>
    <row r="275" spans="1:11" x14ac:dyDescent="0.3">
      <c r="A275" s="26">
        <f t="shared" si="14"/>
        <v>-4.0809999999999995</v>
      </c>
      <c r="B275">
        <v>0.71900000000000031</v>
      </c>
      <c r="C275">
        <f>1.028*1000000</f>
        <v>1028000</v>
      </c>
      <c r="J275">
        <f>282.4</f>
        <v>282.39999999999998</v>
      </c>
      <c r="K275">
        <f>100</f>
        <v>100</v>
      </c>
    </row>
    <row r="276" spans="1:11" x14ac:dyDescent="0.3">
      <c r="A276" s="26">
        <f t="shared" si="14"/>
        <v>-4.093</v>
      </c>
      <c r="B276">
        <v>0.70699999999999985</v>
      </c>
      <c r="C276">
        <f>1.032*1000000</f>
        <v>1032000</v>
      </c>
      <c r="J276">
        <f>205.9</f>
        <v>205.9</v>
      </c>
      <c r="K276">
        <f>235.3</f>
        <v>235.3</v>
      </c>
    </row>
    <row r="277" spans="1:11" x14ac:dyDescent="0.3">
      <c r="A277" s="26">
        <f t="shared" si="14"/>
        <v>-4.0709999999999997</v>
      </c>
      <c r="B277">
        <v>0.72900000000000009</v>
      </c>
      <c r="C277">
        <f>1.04*1000000</f>
        <v>1040000</v>
      </c>
      <c r="J277">
        <f>188.2</f>
        <v>188.2</v>
      </c>
      <c r="K277">
        <f>105.9</f>
        <v>105.9</v>
      </c>
    </row>
    <row r="278" spans="1:11" x14ac:dyDescent="0.3">
      <c r="A278" s="26">
        <f t="shared" si="14"/>
        <v>-4.0889999999999995</v>
      </c>
      <c r="B278">
        <v>0.7110000000000003</v>
      </c>
      <c r="C278">
        <f>1.047*1000000</f>
        <v>1046999.9999999999</v>
      </c>
      <c r="J278">
        <f>200</f>
        <v>200</v>
      </c>
      <c r="K278">
        <f>211.1</f>
        <v>211.1</v>
      </c>
    </row>
    <row r="279" spans="1:11" x14ac:dyDescent="0.3">
      <c r="A279" s="26">
        <f t="shared" si="14"/>
        <v>-4.0809999999999995</v>
      </c>
      <c r="B279">
        <v>0.71900000000000031</v>
      </c>
      <c r="C279">
        <f>1.054*1000000</f>
        <v>1054000</v>
      </c>
      <c r="J279">
        <f>188.2</f>
        <v>188.2</v>
      </c>
      <c r="K279">
        <f>235.3</f>
        <v>235.3</v>
      </c>
    </row>
    <row r="280" spans="1:11" x14ac:dyDescent="0.3">
      <c r="A280" s="26">
        <f t="shared" si="14"/>
        <v>-4.0579999999999998</v>
      </c>
      <c r="B280">
        <v>0.74199999999999999</v>
      </c>
      <c r="C280">
        <f>1.059*1000000</f>
        <v>1059000</v>
      </c>
      <c r="J280">
        <f>177.8</f>
        <v>177.8</v>
      </c>
      <c r="K280">
        <f>211.8</f>
        <v>211.8</v>
      </c>
    </row>
    <row r="281" spans="1:11" x14ac:dyDescent="0.3">
      <c r="A281" s="26">
        <f t="shared" si="14"/>
        <v>-4.0789999999999997</v>
      </c>
      <c r="B281">
        <v>0.72100000000000009</v>
      </c>
      <c r="C281">
        <f>1.067*1000000</f>
        <v>1067000</v>
      </c>
      <c r="J281">
        <f>276.5</f>
        <v>276.5</v>
      </c>
      <c r="K281">
        <f>105.6</f>
        <v>105.6</v>
      </c>
    </row>
    <row r="282" spans="1:11" x14ac:dyDescent="0.3">
      <c r="A282" s="26">
        <f t="shared" si="14"/>
        <v>-4.0579999999999998</v>
      </c>
      <c r="B282">
        <v>0.74199999999999999</v>
      </c>
      <c r="C282">
        <f>1.069*1000000</f>
        <v>1069000</v>
      </c>
      <c r="J282">
        <f>183.3</f>
        <v>183.3</v>
      </c>
      <c r="K282">
        <f>247.1</f>
        <v>247.1</v>
      </c>
    </row>
    <row r="283" spans="1:11" x14ac:dyDescent="0.3">
      <c r="A283" s="26">
        <f t="shared" si="14"/>
        <v>-4.0489999999999995</v>
      </c>
      <c r="B283">
        <v>0.75100000000000033</v>
      </c>
      <c r="C283">
        <f>1.077*1000000</f>
        <v>1077000</v>
      </c>
      <c r="J283">
        <f>182.4</f>
        <v>182.4</v>
      </c>
      <c r="K283">
        <f>111.8</f>
        <v>111.8</v>
      </c>
    </row>
    <row r="284" spans="1:11" x14ac:dyDescent="0.3">
      <c r="A284" s="26">
        <f t="shared" si="14"/>
        <v>-4.0709999999999997</v>
      </c>
      <c r="B284">
        <v>0.72900000000000009</v>
      </c>
      <c r="C284">
        <f>1.084*1000000</f>
        <v>1084000</v>
      </c>
      <c r="J284">
        <f>188.2</f>
        <v>188.2</v>
      </c>
      <c r="K284">
        <f>94.4</f>
        <v>94.4</v>
      </c>
    </row>
    <row r="285" spans="1:11" x14ac:dyDescent="0.3">
      <c r="A285" s="26">
        <f t="shared" si="14"/>
        <v>-4.0469999999999997</v>
      </c>
      <c r="B285">
        <v>0.75300000000000011</v>
      </c>
      <c r="C285">
        <f>1.092*1000000</f>
        <v>1092000</v>
      </c>
      <c r="J285">
        <f>177.8</f>
        <v>177.8</v>
      </c>
      <c r="K285">
        <f>229.4</f>
        <v>229.4</v>
      </c>
    </row>
    <row r="286" spans="1:11" x14ac:dyDescent="0.3">
      <c r="A286" s="26">
        <f t="shared" si="14"/>
        <v>-4.0599999999999996</v>
      </c>
      <c r="B286">
        <v>0.74000000000000021</v>
      </c>
      <c r="C286">
        <f>1.091*1000000</f>
        <v>1091000</v>
      </c>
      <c r="J286">
        <f>177.8</f>
        <v>177.8</v>
      </c>
      <c r="K286">
        <f>117.6</f>
        <v>117.6</v>
      </c>
    </row>
    <row r="287" spans="1:11" x14ac:dyDescent="0.3">
      <c r="A287" s="26">
        <f t="shared" si="14"/>
        <v>-4.0839999999999996</v>
      </c>
      <c r="B287">
        <v>0.71600000000000019</v>
      </c>
      <c r="C287">
        <f>1.102*1000000</f>
        <v>1102000</v>
      </c>
      <c r="J287">
        <f>252.9</f>
        <v>252.9</v>
      </c>
      <c r="K287">
        <f>223.5</f>
        <v>223.5</v>
      </c>
    </row>
    <row r="288" spans="1:11" x14ac:dyDescent="0.3">
      <c r="A288" s="26">
        <f t="shared" si="14"/>
        <v>-4.0589999999999993</v>
      </c>
      <c r="B288">
        <v>0.74100000000000055</v>
      </c>
      <c r="C288">
        <f>1.11*1000000</f>
        <v>1110000</v>
      </c>
      <c r="J288">
        <f>177.8</f>
        <v>177.8</v>
      </c>
      <c r="K288">
        <f>152.9</f>
        <v>152.9</v>
      </c>
    </row>
    <row r="289" spans="1:11" x14ac:dyDescent="0.3">
      <c r="A289" s="26">
        <f t="shared" si="14"/>
        <v>-4.0709999999999997</v>
      </c>
      <c r="B289">
        <v>0.72900000000000009</v>
      </c>
      <c r="C289">
        <f>1.119*1000000</f>
        <v>1119000</v>
      </c>
      <c r="J289">
        <f>188.2</f>
        <v>188.2</v>
      </c>
      <c r="K289">
        <f>217.6</f>
        <v>217.6</v>
      </c>
    </row>
    <row r="290" spans="1:11" x14ac:dyDescent="0.3">
      <c r="A290" s="26">
        <f t="shared" si="14"/>
        <v>-4.0739999999999998</v>
      </c>
      <c r="B290">
        <v>0.72599999999999998</v>
      </c>
      <c r="C290">
        <f>1.124*1000000</f>
        <v>1124000</v>
      </c>
      <c r="J290">
        <f>183.3</f>
        <v>183.3</v>
      </c>
      <c r="K290">
        <f>105.9</f>
        <v>105.9</v>
      </c>
    </row>
    <row r="291" spans="1:11" x14ac:dyDescent="0.3">
      <c r="A291" s="26">
        <f t="shared" si="14"/>
        <v>-4.05</v>
      </c>
      <c r="B291">
        <v>0.75</v>
      </c>
      <c r="C291">
        <f>1.133*1000000</f>
        <v>1133000</v>
      </c>
      <c r="J291">
        <f>194.1</f>
        <v>194.1</v>
      </c>
      <c r="K291">
        <f>152.9</f>
        <v>152.9</v>
      </c>
    </row>
    <row r="292" spans="1:11" x14ac:dyDescent="0.3">
      <c r="A292" s="26">
        <f t="shared" si="14"/>
        <v>-4.0699999999999994</v>
      </c>
      <c r="B292">
        <v>0.73000000000000043</v>
      </c>
      <c r="C292">
        <f>1.137*1000000</f>
        <v>1137000</v>
      </c>
      <c r="J292">
        <f>194.1</f>
        <v>194.1</v>
      </c>
      <c r="K292">
        <f>229.4</f>
        <v>229.4</v>
      </c>
    </row>
    <row r="293" spans="1:11" x14ac:dyDescent="0.3">
      <c r="A293" s="26">
        <f t="shared" si="14"/>
        <v>-4.0569999999999995</v>
      </c>
      <c r="B293">
        <v>0.74300000000000033</v>
      </c>
      <c r="C293">
        <f>1.147*1000000</f>
        <v>1147000</v>
      </c>
      <c r="J293">
        <f>270.6</f>
        <v>270.60000000000002</v>
      </c>
      <c r="K293">
        <f>183.3</f>
        <v>183.3</v>
      </c>
    </row>
    <row r="294" spans="1:11" x14ac:dyDescent="0.3">
      <c r="A294" s="26">
        <f t="shared" si="14"/>
        <v>-4.0469999999999997</v>
      </c>
      <c r="B294">
        <v>0.75300000000000011</v>
      </c>
      <c r="C294">
        <f>1.155*1000000</f>
        <v>1155000</v>
      </c>
      <c r="J294">
        <f>188.2</f>
        <v>188.2</v>
      </c>
      <c r="K294">
        <f>100</f>
        <v>100</v>
      </c>
    </row>
    <row r="295" spans="1:11" x14ac:dyDescent="0.3">
      <c r="A295" s="26">
        <f t="shared" si="14"/>
        <v>-4.069</v>
      </c>
      <c r="B295">
        <v>0.73099999999999987</v>
      </c>
      <c r="C295">
        <f>1.162*1000000</f>
        <v>1162000</v>
      </c>
      <c r="J295">
        <f>177.8</f>
        <v>177.8</v>
      </c>
      <c r="K295">
        <f>94.1</f>
        <v>94.1</v>
      </c>
    </row>
    <row r="296" spans="1:11" x14ac:dyDescent="0.3">
      <c r="A296" s="26">
        <f t="shared" si="14"/>
        <v>-4.0449999999999999</v>
      </c>
      <c r="B296">
        <v>0.75499999999999989</v>
      </c>
      <c r="C296">
        <f>1.17*1000000</f>
        <v>1170000</v>
      </c>
      <c r="J296">
        <f>194.1</f>
        <v>194.1</v>
      </c>
      <c r="K296">
        <f>125</f>
        <v>125</v>
      </c>
    </row>
    <row r="297" spans="1:11" x14ac:dyDescent="0.3">
      <c r="A297" s="26">
        <f t="shared" si="14"/>
        <v>-4.0429999999999993</v>
      </c>
      <c r="B297">
        <v>0.75700000000000056</v>
      </c>
      <c r="C297">
        <f>1.181*1000000</f>
        <v>1181000</v>
      </c>
      <c r="J297">
        <f>188.2</f>
        <v>188.2</v>
      </c>
      <c r="K297">
        <f>100</f>
        <v>100</v>
      </c>
    </row>
    <row r="298" spans="1:11" x14ac:dyDescent="0.3">
      <c r="A298" s="26">
        <f t="shared" si="14"/>
        <v>-4.0659999999999998</v>
      </c>
      <c r="B298">
        <v>0.73399999999999999</v>
      </c>
      <c r="C298">
        <f>1.186*1000000</f>
        <v>1186000</v>
      </c>
      <c r="J298">
        <f>188.9</f>
        <v>188.9</v>
      </c>
      <c r="K298">
        <f>94.1</f>
        <v>94.1</v>
      </c>
    </row>
    <row r="299" spans="1:11" x14ac:dyDescent="0.3">
      <c r="A299" s="26">
        <f t="shared" si="14"/>
        <v>-4.0419999999999998</v>
      </c>
      <c r="B299">
        <v>0.75800000000000001</v>
      </c>
      <c r="C299">
        <f>1.19*1000000</f>
        <v>1190000</v>
      </c>
      <c r="J299">
        <f>247.1</f>
        <v>247.1</v>
      </c>
      <c r="K299">
        <f>200</f>
        <v>200</v>
      </c>
    </row>
    <row r="300" spans="1:11" x14ac:dyDescent="0.3">
      <c r="A300" s="26">
        <f t="shared" si="14"/>
        <v>-4.0619999999999994</v>
      </c>
      <c r="B300">
        <v>0.73800000000000043</v>
      </c>
      <c r="C300">
        <f>1.199*1000000</f>
        <v>1199000</v>
      </c>
      <c r="J300">
        <f>188.2</f>
        <v>188.2</v>
      </c>
      <c r="K300">
        <f>105.6</f>
        <v>105.6</v>
      </c>
    </row>
    <row r="301" spans="1:11" x14ac:dyDescent="0.3">
      <c r="A301" s="26">
        <f t="shared" si="14"/>
        <v>-4.0529999999999999</v>
      </c>
      <c r="B301">
        <v>0.74699999999999989</v>
      </c>
      <c r="C301">
        <f>1.205*1000000</f>
        <v>1205000</v>
      </c>
      <c r="J301">
        <f>188.9</f>
        <v>188.9</v>
      </c>
      <c r="K301">
        <f>105.9</f>
        <v>105.9</v>
      </c>
    </row>
    <row r="302" spans="1:11" x14ac:dyDescent="0.3">
      <c r="A302" s="26">
        <f t="shared" si="14"/>
        <v>-4.0369999999999999</v>
      </c>
      <c r="B302">
        <v>0.7629999999999999</v>
      </c>
      <c r="C302">
        <f>1.209*1000000</f>
        <v>1209000</v>
      </c>
      <c r="J302">
        <f>577.8</f>
        <v>577.79999999999995</v>
      </c>
      <c r="K302">
        <f>170.6</f>
        <v>170.6</v>
      </c>
    </row>
    <row r="303" spans="1:11" x14ac:dyDescent="0.3">
      <c r="A303" s="26">
        <f t="shared" si="14"/>
        <v>-4.0599999999999996</v>
      </c>
      <c r="B303">
        <v>0.74000000000000021</v>
      </c>
      <c r="C303">
        <f>1.219*1000000</f>
        <v>1219000</v>
      </c>
      <c r="J303">
        <f>605.3</f>
        <v>605.29999999999995</v>
      </c>
      <c r="K303">
        <f>105.9</f>
        <v>105.9</v>
      </c>
    </row>
    <row r="304" spans="1:11" x14ac:dyDescent="0.3">
      <c r="A304" s="26">
        <f t="shared" si="14"/>
        <v>-4.0439999999999996</v>
      </c>
      <c r="B304">
        <v>0.75600000000000023</v>
      </c>
      <c r="C304">
        <f>1.227*1000000</f>
        <v>1227000</v>
      </c>
      <c r="J304">
        <f>422.2</f>
        <v>422.2</v>
      </c>
      <c r="K304">
        <f>105.9</f>
        <v>105.9</v>
      </c>
    </row>
    <row r="305" spans="1:11" x14ac:dyDescent="0.3">
      <c r="A305" s="26">
        <f t="shared" si="14"/>
        <v>-4.0339999999999998</v>
      </c>
      <c r="B305">
        <v>0.76600000000000001</v>
      </c>
      <c r="C305">
        <f>1.227*1000000</f>
        <v>1227000</v>
      </c>
      <c r="J305">
        <f>188.2</f>
        <v>188.2</v>
      </c>
      <c r="K305">
        <f>105.9</f>
        <v>105.9</v>
      </c>
    </row>
    <row r="306" spans="1:11" x14ac:dyDescent="0.3">
      <c r="A306" s="26">
        <f t="shared" si="14"/>
        <v>-4.0569999999999995</v>
      </c>
      <c r="B306">
        <v>0.74300000000000033</v>
      </c>
      <c r="C306">
        <f>1.232*1000000</f>
        <v>1232000</v>
      </c>
      <c r="J306">
        <f>188.2</f>
        <v>188.2</v>
      </c>
      <c r="K306">
        <f>129.4</f>
        <v>129.4</v>
      </c>
    </row>
    <row r="307" spans="1:11" x14ac:dyDescent="0.3">
      <c r="A307" s="26">
        <f t="shared" si="14"/>
        <v>-4.0429999999999993</v>
      </c>
      <c r="B307">
        <v>0.75700000000000056</v>
      </c>
      <c r="C307">
        <f>1.241*1000000</f>
        <v>1241000</v>
      </c>
      <c r="J307">
        <f>255.6</f>
        <v>255.6</v>
      </c>
      <c r="K307">
        <f>229.4</f>
        <v>229.4</v>
      </c>
    </row>
    <row r="308" spans="1:11" x14ac:dyDescent="0.3">
      <c r="A308" s="26">
        <f t="shared" si="14"/>
        <v>-4.0409999999999995</v>
      </c>
      <c r="B308">
        <v>0.75900000000000034</v>
      </c>
      <c r="C308">
        <f>1.252*1000000</f>
        <v>1252000</v>
      </c>
      <c r="J308">
        <f>194.1</f>
        <v>194.1</v>
      </c>
      <c r="K308">
        <f>235.3</f>
        <v>235.3</v>
      </c>
    </row>
    <row r="309" spans="1:11" x14ac:dyDescent="0.3">
      <c r="A309" s="26">
        <f t="shared" si="14"/>
        <v>-4.0309999999999997</v>
      </c>
      <c r="B309">
        <v>0.76900000000000013</v>
      </c>
      <c r="C309">
        <f>1.258*1000000</f>
        <v>1258000</v>
      </c>
      <c r="J309">
        <f>182.4</f>
        <v>182.4</v>
      </c>
      <c r="K309">
        <f>233.3</f>
        <v>233.3</v>
      </c>
    </row>
    <row r="310" spans="1:11" x14ac:dyDescent="0.3">
      <c r="A310" s="26">
        <f t="shared" si="14"/>
        <v>-4.0519999999999996</v>
      </c>
      <c r="B310">
        <v>0.74800000000000022</v>
      </c>
      <c r="C310">
        <f>1.255*1000000</f>
        <v>1255000</v>
      </c>
      <c r="J310">
        <f>188.2</f>
        <v>188.2</v>
      </c>
      <c r="K310">
        <f>111.8</f>
        <v>111.8</v>
      </c>
    </row>
    <row r="311" spans="1:11" x14ac:dyDescent="0.3">
      <c r="A311" s="26">
        <f t="shared" si="14"/>
        <v>-4.0309999999999997</v>
      </c>
      <c r="B311">
        <v>0.76900000000000013</v>
      </c>
      <c r="C311">
        <f>1.266*1000000</f>
        <v>1266000</v>
      </c>
      <c r="J311">
        <f>177.8</f>
        <v>177.8</v>
      </c>
      <c r="K311">
        <f>229.4</f>
        <v>229.4</v>
      </c>
    </row>
    <row r="312" spans="1:11" x14ac:dyDescent="0.3">
      <c r="A312" s="26">
        <f t="shared" si="14"/>
        <v>-4.0289999999999999</v>
      </c>
      <c r="B312">
        <v>0.77099999999999991</v>
      </c>
      <c r="C312">
        <f>1.275*1000000</f>
        <v>1275000</v>
      </c>
      <c r="J312">
        <f>188.2</f>
        <v>188.2</v>
      </c>
      <c r="K312">
        <f>182.4</f>
        <v>182.4</v>
      </c>
    </row>
    <row r="313" spans="1:11" x14ac:dyDescent="0.3">
      <c r="A313" s="26">
        <f t="shared" si="14"/>
        <v>-4.0509999999999993</v>
      </c>
      <c r="B313">
        <v>0.74900000000000055</v>
      </c>
      <c r="C313">
        <f>1.288*1000000</f>
        <v>1288000</v>
      </c>
      <c r="J313">
        <f>217.6</f>
        <v>217.6</v>
      </c>
      <c r="K313">
        <f>123.5</f>
        <v>123.5</v>
      </c>
    </row>
    <row r="314" spans="1:11" x14ac:dyDescent="0.3">
      <c r="A314" s="26">
        <f t="shared" si="14"/>
        <v>-4.0289999999999999</v>
      </c>
      <c r="B314">
        <v>0.77099999999999991</v>
      </c>
      <c r="C314">
        <f>1.302*1000000</f>
        <v>1302000</v>
      </c>
      <c r="J314">
        <f>194.1</f>
        <v>194.1</v>
      </c>
      <c r="K314">
        <f>233.3</f>
        <v>233.3</v>
      </c>
    </row>
    <row r="315" spans="1:11" x14ac:dyDescent="0.3">
      <c r="A315" s="26">
        <f t="shared" si="14"/>
        <v>-4.0459999999999994</v>
      </c>
      <c r="B315">
        <v>0.75400000000000045</v>
      </c>
      <c r="C315">
        <f>1.308*1000000</f>
        <v>1308000</v>
      </c>
      <c r="J315">
        <f>183.3</f>
        <v>183.3</v>
      </c>
      <c r="K315">
        <f>200</f>
        <v>200</v>
      </c>
    </row>
    <row r="316" spans="1:11" x14ac:dyDescent="0.3">
      <c r="A316" s="26">
        <f t="shared" si="14"/>
        <v>-4.0429999999999993</v>
      </c>
      <c r="B316">
        <v>0.75700000000000056</v>
      </c>
      <c r="C316">
        <f>1.316*1000000</f>
        <v>1316000</v>
      </c>
      <c r="J316">
        <f>194.4</f>
        <v>194.4</v>
      </c>
      <c r="K316">
        <f>100</f>
        <v>100</v>
      </c>
    </row>
    <row r="317" spans="1:11" x14ac:dyDescent="0.3">
      <c r="A317" s="26">
        <f t="shared" si="14"/>
        <v>-4.024</v>
      </c>
      <c r="B317">
        <v>0.7759999999999998</v>
      </c>
      <c r="C317">
        <f>1.331*1000000</f>
        <v>1331000</v>
      </c>
      <c r="J317">
        <f>561.1</f>
        <v>561.1</v>
      </c>
      <c r="K317">
        <f>111.8</f>
        <v>111.8</v>
      </c>
    </row>
    <row r="318" spans="1:11" x14ac:dyDescent="0.3">
      <c r="A318" s="26">
        <f t="shared" si="14"/>
        <v>-4.0449999999999999</v>
      </c>
      <c r="B318">
        <v>0.75499999999999989</v>
      </c>
      <c r="C318">
        <f>1.336*1000000</f>
        <v>1336000</v>
      </c>
      <c r="K318">
        <f>105.9</f>
        <v>105.9</v>
      </c>
    </row>
    <row r="319" spans="1:11" x14ac:dyDescent="0.3">
      <c r="A319" s="26">
        <f t="shared" si="14"/>
        <v>-4.0209999999999999</v>
      </c>
      <c r="B319">
        <v>0.77899999999999991</v>
      </c>
      <c r="C319">
        <f>1.342*1000000</f>
        <v>1342000</v>
      </c>
      <c r="K319">
        <f>105.6</f>
        <v>105.6</v>
      </c>
    </row>
    <row r="320" spans="1:11" x14ac:dyDescent="0.3">
      <c r="A320" s="26">
        <f t="shared" si="14"/>
        <v>-4.0179999999999998</v>
      </c>
      <c r="B320">
        <v>0.78200000000000003</v>
      </c>
      <c r="C320">
        <f>1.346*1000000</f>
        <v>1346000</v>
      </c>
      <c r="K320">
        <f>100</f>
        <v>100</v>
      </c>
    </row>
    <row r="321" spans="1:11" x14ac:dyDescent="0.3">
      <c r="A321" s="26">
        <f t="shared" si="14"/>
        <v>-4.0409999999999995</v>
      </c>
      <c r="B321">
        <v>0.75900000000000034</v>
      </c>
      <c r="C321">
        <f>1.351*1000000</f>
        <v>1351000</v>
      </c>
      <c r="K321">
        <f>105.9</f>
        <v>105.9</v>
      </c>
    </row>
    <row r="322" spans="1:11" x14ac:dyDescent="0.3">
      <c r="A322" s="26">
        <f t="shared" si="14"/>
        <v>-4.0189999999999992</v>
      </c>
      <c r="B322">
        <v>0.78100000000000058</v>
      </c>
      <c r="C322">
        <f>1.352*1000000</f>
        <v>1352000</v>
      </c>
      <c r="K322">
        <f>105.6</f>
        <v>105.6</v>
      </c>
    </row>
    <row r="323" spans="1:11" x14ac:dyDescent="0.3">
      <c r="A323" s="26">
        <f t="shared" si="14"/>
        <v>-4.0369999999999999</v>
      </c>
      <c r="B323">
        <v>0.7629999999999999</v>
      </c>
      <c r="C323">
        <f>1.36*1000000</f>
        <v>1360000</v>
      </c>
      <c r="K323">
        <f>105.9</f>
        <v>105.9</v>
      </c>
    </row>
    <row r="324" spans="1:11" x14ac:dyDescent="0.3">
      <c r="A324" s="26">
        <f t="shared" si="14"/>
        <v>-4.0199999999999996</v>
      </c>
      <c r="B324">
        <v>0.78000000000000025</v>
      </c>
      <c r="C324">
        <f>1.359*1000000</f>
        <v>1359000</v>
      </c>
      <c r="K324">
        <f>100</f>
        <v>100</v>
      </c>
    </row>
    <row r="325" spans="1:11" x14ac:dyDescent="0.3">
      <c r="A325" s="26">
        <f t="shared" si="14"/>
        <v>-3.9949999999999992</v>
      </c>
      <c r="B325">
        <v>0.8050000000000006</v>
      </c>
      <c r="C325">
        <f>1.362*1000000</f>
        <v>1362000</v>
      </c>
      <c r="K325">
        <f>100</f>
        <v>100</v>
      </c>
    </row>
    <row r="326" spans="1:11" x14ac:dyDescent="0.3">
      <c r="A326" s="26">
        <f t="shared" ref="A326:A364" si="15">B326-4.8</f>
        <v>-3.9899999999999993</v>
      </c>
      <c r="B326">
        <v>0.8100000000000005</v>
      </c>
      <c r="C326">
        <f>1.361*1000000</f>
        <v>1361000</v>
      </c>
      <c r="K326">
        <f>88.9</f>
        <v>88.9</v>
      </c>
    </row>
    <row r="327" spans="1:11" x14ac:dyDescent="0.3">
      <c r="A327" s="26">
        <f t="shared" si="15"/>
        <v>-4.0119999999999996</v>
      </c>
      <c r="B327">
        <v>0.78800000000000026</v>
      </c>
      <c r="C327">
        <f>1.36*1000000</f>
        <v>1360000</v>
      </c>
      <c r="K327">
        <f>117.6</f>
        <v>117.6</v>
      </c>
    </row>
    <row r="328" spans="1:11" x14ac:dyDescent="0.3">
      <c r="A328" s="26">
        <f t="shared" si="15"/>
        <v>-3.9959999999999996</v>
      </c>
      <c r="B328">
        <v>0.80400000000000027</v>
      </c>
      <c r="C328">
        <f>1.363*1000000</f>
        <v>1363000</v>
      </c>
      <c r="K328">
        <f>211.8</f>
        <v>211.8</v>
      </c>
    </row>
    <row r="329" spans="1:11" x14ac:dyDescent="0.3">
      <c r="A329" s="26">
        <f t="shared" si="15"/>
        <v>-4.0189999999999992</v>
      </c>
      <c r="B329">
        <v>0.78100000000000058</v>
      </c>
      <c r="C329">
        <f>1.375*1000000</f>
        <v>1375000</v>
      </c>
      <c r="K329">
        <f>205.9</f>
        <v>205.9</v>
      </c>
    </row>
    <row r="330" spans="1:11" x14ac:dyDescent="0.3">
      <c r="A330" s="26">
        <f t="shared" si="15"/>
        <v>-4.0189999999999992</v>
      </c>
      <c r="B330">
        <v>0.78100000000000058</v>
      </c>
      <c r="C330">
        <f>1.384*1000000</f>
        <v>1384000</v>
      </c>
      <c r="K330">
        <f>111.8</f>
        <v>111.8</v>
      </c>
    </row>
    <row r="331" spans="1:11" x14ac:dyDescent="0.3">
      <c r="A331" s="26">
        <f t="shared" si="15"/>
        <v>-3.9959999999999996</v>
      </c>
      <c r="B331">
        <v>0.80400000000000027</v>
      </c>
      <c r="C331">
        <f>1.392*1000000</f>
        <v>1392000</v>
      </c>
      <c r="K331">
        <f>194.4</f>
        <v>194.4</v>
      </c>
    </row>
    <row r="332" spans="1:11" x14ac:dyDescent="0.3">
      <c r="A332" s="26">
        <f t="shared" si="15"/>
        <v>-4.01</v>
      </c>
      <c r="B332">
        <v>0.79</v>
      </c>
      <c r="C332">
        <f>1.4*1000000</f>
        <v>1400000</v>
      </c>
      <c r="K332">
        <f>141.2</f>
        <v>141.19999999999999</v>
      </c>
    </row>
    <row r="333" spans="1:11" x14ac:dyDescent="0.3">
      <c r="A333" s="26">
        <f t="shared" si="15"/>
        <v>-4.0009999999999994</v>
      </c>
      <c r="B333">
        <v>0.79900000000000038</v>
      </c>
      <c r="C333">
        <f>1.413*1000000</f>
        <v>1413000</v>
      </c>
      <c r="K333">
        <f>229.4</f>
        <v>229.4</v>
      </c>
    </row>
    <row r="334" spans="1:11" x14ac:dyDescent="0.3">
      <c r="A334" s="26">
        <f t="shared" si="15"/>
        <v>-3.9939999999999998</v>
      </c>
      <c r="B334">
        <v>0.80600000000000005</v>
      </c>
      <c r="C334">
        <f>1.411*1000000</f>
        <v>1411000</v>
      </c>
      <c r="K334">
        <f>88.9</f>
        <v>88.9</v>
      </c>
    </row>
    <row r="335" spans="1:11" x14ac:dyDescent="0.3">
      <c r="A335" s="26">
        <f t="shared" si="15"/>
        <v>-3.9859999999999998</v>
      </c>
      <c r="B335">
        <v>0.81400000000000006</v>
      </c>
      <c r="C335">
        <f>1.411*1000000</f>
        <v>1411000</v>
      </c>
      <c r="K335">
        <f>117.6</f>
        <v>117.6</v>
      </c>
    </row>
    <row r="336" spans="1:11" x14ac:dyDescent="0.3">
      <c r="A336" s="26">
        <f t="shared" si="15"/>
        <v>-4.0089999999999995</v>
      </c>
      <c r="B336">
        <v>0.79100000000000037</v>
      </c>
      <c r="C336">
        <f>1.417*1000000</f>
        <v>1417000</v>
      </c>
      <c r="K336">
        <f>105.9</f>
        <v>105.9</v>
      </c>
    </row>
    <row r="337" spans="1:11" x14ac:dyDescent="0.3">
      <c r="A337" s="26">
        <f t="shared" si="15"/>
        <v>-4.0069999999999997</v>
      </c>
      <c r="B337">
        <v>0.79300000000000015</v>
      </c>
      <c r="C337">
        <f>1.417*1000000</f>
        <v>1417000</v>
      </c>
      <c r="K337">
        <f>235.3</f>
        <v>235.3</v>
      </c>
    </row>
    <row r="338" spans="1:11" x14ac:dyDescent="0.3">
      <c r="A338" s="26">
        <f t="shared" si="15"/>
        <v>-3.9859999999999998</v>
      </c>
      <c r="B338">
        <v>0.81400000000000006</v>
      </c>
      <c r="C338">
        <f>1.427*1000000</f>
        <v>1427000</v>
      </c>
      <c r="K338">
        <f>105.9</f>
        <v>105.9</v>
      </c>
    </row>
    <row r="339" spans="1:11" x14ac:dyDescent="0.3">
      <c r="A339" s="26">
        <f t="shared" si="15"/>
        <v>-4.0089999999999995</v>
      </c>
      <c r="B339">
        <v>0.79100000000000037</v>
      </c>
      <c r="C339">
        <f>1.439*1000000</f>
        <v>1439000</v>
      </c>
      <c r="K339">
        <f>100</f>
        <v>100</v>
      </c>
    </row>
    <row r="340" spans="1:11" x14ac:dyDescent="0.3">
      <c r="A340" s="26">
        <f t="shared" si="15"/>
        <v>-3.9989999999999997</v>
      </c>
      <c r="B340">
        <v>0.80100000000000016</v>
      </c>
      <c r="C340">
        <f>1.448*1000000</f>
        <v>1448000</v>
      </c>
      <c r="K340">
        <f>111.8</f>
        <v>111.8</v>
      </c>
    </row>
    <row r="341" spans="1:11" x14ac:dyDescent="0.3">
      <c r="A341" s="26">
        <f t="shared" si="15"/>
        <v>-3.9859999999999998</v>
      </c>
      <c r="B341">
        <v>0.81400000000000006</v>
      </c>
      <c r="C341">
        <f>1.454*1000000</f>
        <v>1454000</v>
      </c>
      <c r="K341">
        <f>111.1</f>
        <v>111.1</v>
      </c>
    </row>
    <row r="342" spans="1:11" x14ac:dyDescent="0.3">
      <c r="A342" s="26">
        <f t="shared" si="15"/>
        <v>-4.0089999999999995</v>
      </c>
      <c r="B342">
        <v>0.79100000000000037</v>
      </c>
      <c r="C342">
        <f>1.458*1000000</f>
        <v>1458000</v>
      </c>
      <c r="K342">
        <f>129.4</f>
        <v>129.4</v>
      </c>
    </row>
    <row r="343" spans="1:11" x14ac:dyDescent="0.3">
      <c r="A343" s="26">
        <f t="shared" si="15"/>
        <v>-3.9909999999999997</v>
      </c>
      <c r="B343">
        <v>0.80900000000000016</v>
      </c>
      <c r="C343">
        <f>1.47*1000000</f>
        <v>1470000</v>
      </c>
      <c r="K343">
        <f>182.4</f>
        <v>182.4</v>
      </c>
    </row>
    <row r="344" spans="1:11" x14ac:dyDescent="0.3">
      <c r="A344" s="26">
        <f t="shared" si="15"/>
        <v>-3.9859999999999998</v>
      </c>
      <c r="B344">
        <v>0.81400000000000006</v>
      </c>
      <c r="C344">
        <f>1.478*1000000</f>
        <v>1478000</v>
      </c>
      <c r="K344">
        <f>111.8</f>
        <v>111.8</v>
      </c>
    </row>
    <row r="345" spans="1:11" x14ac:dyDescent="0.3">
      <c r="A345" s="26">
        <f t="shared" si="15"/>
        <v>-4.0089999999999995</v>
      </c>
      <c r="B345">
        <v>0.79100000000000037</v>
      </c>
      <c r="C345">
        <f>1.488*1000000</f>
        <v>1488000</v>
      </c>
      <c r="K345">
        <f>222.2</f>
        <v>222.2</v>
      </c>
    </row>
    <row r="346" spans="1:11" x14ac:dyDescent="0.3">
      <c r="A346" s="26">
        <f t="shared" si="15"/>
        <v>-3.9879999999999995</v>
      </c>
      <c r="B346">
        <v>0.81200000000000028</v>
      </c>
      <c r="C346">
        <f>1.497*1000000</f>
        <v>1497000</v>
      </c>
      <c r="K346">
        <f>100</f>
        <v>100</v>
      </c>
    </row>
    <row r="347" spans="1:11" x14ac:dyDescent="0.3">
      <c r="A347" s="26">
        <f t="shared" si="15"/>
        <v>-4.8</v>
      </c>
      <c r="C347">
        <f>1.504*1000000</f>
        <v>1504000</v>
      </c>
      <c r="K347">
        <f>111.8</f>
        <v>111.8</v>
      </c>
    </row>
    <row r="348" spans="1:11" x14ac:dyDescent="0.3">
      <c r="A348" s="26">
        <f t="shared" si="15"/>
        <v>-4.8</v>
      </c>
      <c r="C348">
        <f>1.514*1000000</f>
        <v>1514000</v>
      </c>
      <c r="K348">
        <f>211.1</f>
        <v>211.1</v>
      </c>
    </row>
    <row r="349" spans="1:11" x14ac:dyDescent="0.3">
      <c r="A349" s="26">
        <f t="shared" si="15"/>
        <v>-4.8</v>
      </c>
      <c r="C349">
        <f>1.514*1000000</f>
        <v>1514000</v>
      </c>
      <c r="K349">
        <f>123.5</f>
        <v>123.5</v>
      </c>
    </row>
    <row r="350" spans="1:11" x14ac:dyDescent="0.3">
      <c r="A350" s="26">
        <f t="shared" si="15"/>
        <v>-4.8</v>
      </c>
      <c r="C350">
        <f>1.52*1000000</f>
        <v>1520000</v>
      </c>
      <c r="K350">
        <f>105.6</f>
        <v>105.6</v>
      </c>
    </row>
    <row r="351" spans="1:11" x14ac:dyDescent="0.3">
      <c r="A351" s="26">
        <f t="shared" si="15"/>
        <v>-4.8</v>
      </c>
      <c r="C351">
        <f>1.525*1000000</f>
        <v>1525000</v>
      </c>
      <c r="K351">
        <f>105.9</f>
        <v>105.9</v>
      </c>
    </row>
    <row r="352" spans="1:11" x14ac:dyDescent="0.3">
      <c r="A352" s="26">
        <f t="shared" si="15"/>
        <v>-4.8</v>
      </c>
      <c r="C352">
        <f>1.531*1000000</f>
        <v>1531000</v>
      </c>
      <c r="K352">
        <f>100</f>
        <v>100</v>
      </c>
    </row>
    <row r="353" spans="1:11" x14ac:dyDescent="0.3">
      <c r="A353" s="26">
        <f t="shared" si="15"/>
        <v>-4.8</v>
      </c>
      <c r="C353">
        <f>1.537*1000000</f>
        <v>1537000</v>
      </c>
      <c r="K353">
        <f>105.9</f>
        <v>105.9</v>
      </c>
    </row>
    <row r="354" spans="1:11" x14ac:dyDescent="0.3">
      <c r="A354" s="26">
        <f t="shared" si="15"/>
        <v>-4.8</v>
      </c>
      <c r="C354">
        <f>1.551*1000000</f>
        <v>1551000</v>
      </c>
      <c r="K354">
        <f>216.7</f>
        <v>216.7</v>
      </c>
    </row>
    <row r="355" spans="1:11" x14ac:dyDescent="0.3">
      <c r="A355" s="26">
        <f t="shared" si="15"/>
        <v>-4.8</v>
      </c>
      <c r="C355">
        <f>1.555*1000000</f>
        <v>1555000</v>
      </c>
      <c r="K355">
        <f>141.2</f>
        <v>141.19999999999999</v>
      </c>
    </row>
    <row r="356" spans="1:11" x14ac:dyDescent="0.3">
      <c r="A356" s="26">
        <f t="shared" si="15"/>
        <v>-4.8</v>
      </c>
      <c r="C356">
        <f>1.564*1000000</f>
        <v>1564000</v>
      </c>
      <c r="K356">
        <f>111.8</f>
        <v>111.8</v>
      </c>
    </row>
    <row r="357" spans="1:11" x14ac:dyDescent="0.3">
      <c r="A357" s="26">
        <f t="shared" si="15"/>
        <v>-4.8</v>
      </c>
      <c r="C357">
        <f>1.576*1000000</f>
        <v>1576000</v>
      </c>
      <c r="K357">
        <f>247.1</f>
        <v>247.1</v>
      </c>
    </row>
    <row r="358" spans="1:11" x14ac:dyDescent="0.3">
      <c r="A358" s="26">
        <f t="shared" si="15"/>
        <v>-4.8</v>
      </c>
      <c r="C358">
        <f>1.585*1000000</f>
        <v>1585000</v>
      </c>
      <c r="K358">
        <f>217.6</f>
        <v>217.6</v>
      </c>
    </row>
    <row r="359" spans="1:11" x14ac:dyDescent="0.3">
      <c r="A359" s="26">
        <f t="shared" si="15"/>
        <v>-4.8</v>
      </c>
      <c r="C359">
        <f>1.594*1000000</f>
        <v>1594000</v>
      </c>
      <c r="K359">
        <f>211.1</f>
        <v>211.1</v>
      </c>
    </row>
    <row r="360" spans="1:11" x14ac:dyDescent="0.3">
      <c r="A360" s="26">
        <f t="shared" si="15"/>
        <v>-4.8</v>
      </c>
      <c r="C360">
        <f>1.606*1000000</f>
        <v>1606000</v>
      </c>
      <c r="K360">
        <f>223.5</f>
        <v>223.5</v>
      </c>
    </row>
    <row r="361" spans="1:11" x14ac:dyDescent="0.3">
      <c r="A361" s="26">
        <f t="shared" si="15"/>
        <v>-4.8</v>
      </c>
      <c r="C361">
        <f>1.618*1000000</f>
        <v>1618000</v>
      </c>
      <c r="K361">
        <f>105.9</f>
        <v>105.9</v>
      </c>
    </row>
    <row r="362" spans="1:11" x14ac:dyDescent="0.3">
      <c r="A362" s="26">
        <f t="shared" si="15"/>
        <v>-4.8</v>
      </c>
      <c r="C362">
        <f>1.628*1000000</f>
        <v>1628000</v>
      </c>
      <c r="K362">
        <f>117.6</f>
        <v>117.6</v>
      </c>
    </row>
    <row r="363" spans="1:11" x14ac:dyDescent="0.3">
      <c r="A363" s="26">
        <f t="shared" si="15"/>
        <v>-4.8</v>
      </c>
      <c r="C363">
        <f>1.637*1000000</f>
        <v>1637000</v>
      </c>
      <c r="K363">
        <f>150</f>
        <v>150</v>
      </c>
    </row>
    <row r="364" spans="1:11" x14ac:dyDescent="0.3">
      <c r="A364" s="26">
        <f t="shared" si="15"/>
        <v>-4.8</v>
      </c>
      <c r="C364">
        <f>1.65*1000000</f>
        <v>1650000</v>
      </c>
      <c r="K364">
        <f>229.4</f>
        <v>229.4</v>
      </c>
    </row>
    <row r="365" spans="1:11" x14ac:dyDescent="0.35">
      <c r="C365">
        <f>1.663*1000000</f>
        <v>1663000</v>
      </c>
      <c r="K365">
        <f>235.3</f>
        <v>235.3</v>
      </c>
    </row>
    <row r="366" spans="1:11" x14ac:dyDescent="0.35">
      <c r="C366">
        <f>1.678*1000000</f>
        <v>1678000</v>
      </c>
      <c r="K366">
        <f>164.7</f>
        <v>164.7</v>
      </c>
    </row>
    <row r="367" spans="1:11" x14ac:dyDescent="0.35">
      <c r="C367">
        <f>1.691*1000000</f>
        <v>1691000</v>
      </c>
      <c r="K367">
        <f>229.4</f>
        <v>229.4</v>
      </c>
    </row>
    <row r="368" spans="1:11" x14ac:dyDescent="0.35">
      <c r="C368">
        <f>1.701*1000000</f>
        <v>1701000</v>
      </c>
      <c r="K368">
        <f>105.9</f>
        <v>105.9</v>
      </c>
    </row>
    <row r="369" spans="3:11" x14ac:dyDescent="0.35">
      <c r="C369">
        <f>1.716*1000000</f>
        <v>1716000</v>
      </c>
      <c r="K369">
        <f>216.7</f>
        <v>216.7</v>
      </c>
    </row>
    <row r="370" spans="3:11" x14ac:dyDescent="0.35">
      <c r="C370">
        <f>1.721*1000000</f>
        <v>1721000</v>
      </c>
      <c r="K370">
        <f>105.9</f>
        <v>105.9</v>
      </c>
    </row>
    <row r="371" spans="3:11" x14ac:dyDescent="0.35">
      <c r="C371">
        <f>1.727*1000000</f>
        <v>1727000</v>
      </c>
      <c r="K371">
        <f>123.5</f>
        <v>123.5</v>
      </c>
    </row>
    <row r="372" spans="3:11" x14ac:dyDescent="0.35">
      <c r="C372">
        <f>1.74*1000000</f>
        <v>1740000</v>
      </c>
      <c r="K372">
        <f>111.8</f>
        <v>111.8</v>
      </c>
    </row>
    <row r="373" spans="3:11" x14ac:dyDescent="0.35">
      <c r="C373">
        <f>1.744*1000000</f>
        <v>1744000</v>
      </c>
      <c r="K373">
        <f>111.8</f>
        <v>111.8</v>
      </c>
    </row>
    <row r="374" spans="3:11" x14ac:dyDescent="0.35">
      <c r="C374">
        <f>1.752*1000000</f>
        <v>1752000</v>
      </c>
      <c r="K374">
        <f>164.7</f>
        <v>164.7</v>
      </c>
    </row>
    <row r="375" spans="3:11" x14ac:dyDescent="0.35">
      <c r="C375">
        <f>1.761*1000000</f>
        <v>1761000</v>
      </c>
      <c r="K375">
        <f>188.2</f>
        <v>188.2</v>
      </c>
    </row>
    <row r="376" spans="3:11" x14ac:dyDescent="0.35">
      <c r="C376">
        <f>1.769*1000000</f>
        <v>1769000</v>
      </c>
      <c r="K376">
        <f>127.8</f>
        <v>127.8</v>
      </c>
    </row>
    <row r="377" spans="3:11" x14ac:dyDescent="0.35">
      <c r="C377">
        <f>1.778*1000000</f>
        <v>1778000</v>
      </c>
      <c r="K377">
        <f>147.1</f>
        <v>147.1</v>
      </c>
    </row>
    <row r="378" spans="3:11" x14ac:dyDescent="0.35">
      <c r="C378">
        <f>1.785*1000000</f>
        <v>1785000</v>
      </c>
      <c r="K378">
        <f>223.5</f>
        <v>223.5</v>
      </c>
    </row>
    <row r="379" spans="3:11" x14ac:dyDescent="0.35">
      <c r="C379">
        <f>1.796*1000000</f>
        <v>1796000</v>
      </c>
      <c r="K379">
        <f>105.9</f>
        <v>105.9</v>
      </c>
    </row>
    <row r="380" spans="3:11" x14ac:dyDescent="0.35">
      <c r="C380">
        <f>1.799*1000000</f>
        <v>1799000</v>
      </c>
      <c r="K380">
        <f>105.6</f>
        <v>105.6</v>
      </c>
    </row>
    <row r="381" spans="3:11" x14ac:dyDescent="0.35">
      <c r="C381">
        <f>1.81*1000000</f>
        <v>1810000</v>
      </c>
      <c r="K381">
        <f>223.5</f>
        <v>223.5</v>
      </c>
    </row>
    <row r="382" spans="3:11" x14ac:dyDescent="0.35">
      <c r="C382">
        <f>1.821*1000000</f>
        <v>1821000</v>
      </c>
      <c r="K382">
        <f>217.6</f>
        <v>217.6</v>
      </c>
    </row>
    <row r="383" spans="3:11" x14ac:dyDescent="0.35">
      <c r="C383">
        <f>1.834*1000000</f>
        <v>1834000</v>
      </c>
      <c r="K383">
        <f>133.3</f>
        <v>133.30000000000001</v>
      </c>
    </row>
    <row r="384" spans="3:11" x14ac:dyDescent="0.35">
      <c r="C384">
        <f>1.844*1000000</f>
        <v>1844000</v>
      </c>
      <c r="K384">
        <f>105.9</f>
        <v>105.9</v>
      </c>
    </row>
    <row r="385" spans="3:11" x14ac:dyDescent="0.35">
      <c r="C385">
        <f>1.854*1000000</f>
        <v>1854000</v>
      </c>
      <c r="K385">
        <f>229.4</f>
        <v>229.4</v>
      </c>
    </row>
    <row r="386" spans="3:11" x14ac:dyDescent="0.35">
      <c r="C386">
        <f>1.865*1000000</f>
        <v>1865000</v>
      </c>
      <c r="K386">
        <f>100</f>
        <v>100</v>
      </c>
    </row>
    <row r="387" spans="3:11" x14ac:dyDescent="0.35">
      <c r="C387">
        <f>1.881*1000000</f>
        <v>1881000</v>
      </c>
      <c r="K387">
        <f>105.9</f>
        <v>105.9</v>
      </c>
    </row>
    <row r="388" spans="3:11" x14ac:dyDescent="0.35">
      <c r="C388">
        <f>1.894*1000000</f>
        <v>1894000</v>
      </c>
      <c r="K388">
        <f>229.4</f>
        <v>229.4</v>
      </c>
    </row>
    <row r="389" spans="3:11" x14ac:dyDescent="0.35">
      <c r="C389">
        <f>1.909*1000000</f>
        <v>1909000</v>
      </c>
      <c r="K389">
        <f>105.9</f>
        <v>105.9</v>
      </c>
    </row>
    <row r="390" spans="3:11" x14ac:dyDescent="0.35">
      <c r="C390">
        <f>1.919*1000000</f>
        <v>1919000</v>
      </c>
      <c r="K390">
        <f>170.6</f>
        <v>170.6</v>
      </c>
    </row>
    <row r="391" spans="3:11" x14ac:dyDescent="0.35">
      <c r="C391">
        <f>1.935*1000000</f>
        <v>1935000</v>
      </c>
      <c r="K391">
        <f>235.3</f>
        <v>235.3</v>
      </c>
    </row>
    <row r="392" spans="3:11" x14ac:dyDescent="0.35">
      <c r="C392">
        <f>1.941*1000000</f>
        <v>1941000</v>
      </c>
      <c r="K392">
        <f>105.9</f>
        <v>105.9</v>
      </c>
    </row>
    <row r="393" spans="3:11" x14ac:dyDescent="0.35">
      <c r="C393">
        <f>1.947*1000000</f>
        <v>1947000</v>
      </c>
      <c r="K393">
        <f>117.6</f>
        <v>117.6</v>
      </c>
    </row>
    <row r="394" spans="3:11" x14ac:dyDescent="0.35">
      <c r="C394">
        <f>1.96*1000000</f>
        <v>1960000</v>
      </c>
      <c r="K394">
        <f>229.4</f>
        <v>229.4</v>
      </c>
    </row>
    <row r="395" spans="3:11" x14ac:dyDescent="0.35">
      <c r="C395">
        <f>1.97*1000000</f>
        <v>1970000</v>
      </c>
      <c r="K395">
        <f>241.2</f>
        <v>241.2</v>
      </c>
    </row>
    <row r="396" spans="3:11" x14ac:dyDescent="0.35">
      <c r="C396">
        <f>1.977*1000000</f>
        <v>1977000</v>
      </c>
      <c r="K396">
        <f>135.3</f>
        <v>135.30000000000001</v>
      </c>
    </row>
    <row r="397" spans="3:11" x14ac:dyDescent="0.35">
      <c r="C397">
        <f>1.985*1000000</f>
        <v>1985000</v>
      </c>
      <c r="K397">
        <f>117.6</f>
        <v>117.6</v>
      </c>
    </row>
    <row r="398" spans="3:11" x14ac:dyDescent="0.35">
      <c r="C398">
        <f>1.995*1000000</f>
        <v>1995000</v>
      </c>
      <c r="K398">
        <f>217.6</f>
        <v>217.6</v>
      </c>
    </row>
    <row r="399" spans="3:11" x14ac:dyDescent="0.35">
      <c r="C399">
        <f>2.01*1000000</f>
        <v>2009999.9999999998</v>
      </c>
      <c r="K399">
        <f>170.6</f>
        <v>170.6</v>
      </c>
    </row>
    <row r="400" spans="3:11" x14ac:dyDescent="0.35">
      <c r="C400">
        <f>2.027*1000000</f>
        <v>2027000.0000000002</v>
      </c>
      <c r="K400">
        <f>177.8</f>
        <v>177.8</v>
      </c>
    </row>
    <row r="401" spans="3:11" x14ac:dyDescent="0.35">
      <c r="C401">
        <f>2.047*1000000</f>
        <v>2047000.0000000002</v>
      </c>
      <c r="K401">
        <f>223.5</f>
        <v>223.5</v>
      </c>
    </row>
    <row r="402" spans="3:11" x14ac:dyDescent="0.35">
      <c r="C402">
        <f>2.066*1000000</f>
        <v>2065999.9999999998</v>
      </c>
      <c r="K402">
        <f>164.7</f>
        <v>164.7</v>
      </c>
    </row>
    <row r="403" spans="3:11" x14ac:dyDescent="0.35">
      <c r="C403">
        <f>2.085*1000000</f>
        <v>2085000</v>
      </c>
      <c r="K403">
        <f>100</f>
        <v>100</v>
      </c>
    </row>
    <row r="404" spans="3:11" x14ac:dyDescent="0.35">
      <c r="C404">
        <f>2.09*1000000</f>
        <v>2089999.9999999998</v>
      </c>
      <c r="K404">
        <f>111.8</f>
        <v>111.8</v>
      </c>
    </row>
    <row r="405" spans="3:11" x14ac:dyDescent="0.35">
      <c r="C405">
        <f>2.096*1000000</f>
        <v>2096000</v>
      </c>
      <c r="K405">
        <f>100</f>
        <v>100</v>
      </c>
    </row>
    <row r="406" spans="3:11" x14ac:dyDescent="0.35">
      <c r="C406">
        <f>2.106*1000000</f>
        <v>2106000</v>
      </c>
      <c r="K406">
        <f>229.4</f>
        <v>229.4</v>
      </c>
    </row>
    <row r="407" spans="3:11" x14ac:dyDescent="0.35">
      <c r="C407">
        <f>2.118*1000000</f>
        <v>2118000</v>
      </c>
      <c r="K407">
        <f>116.7</f>
        <v>116.7</v>
      </c>
    </row>
    <row r="408" spans="3:11" x14ac:dyDescent="0.35">
      <c r="C408">
        <f>2.118*1000000</f>
        <v>2118000</v>
      </c>
      <c r="K408">
        <f>105.9</f>
        <v>105.9</v>
      </c>
    </row>
    <row r="409" spans="3:11" x14ac:dyDescent="0.35">
      <c r="C409">
        <f>2.124*1000000</f>
        <v>2124000</v>
      </c>
      <c r="K409">
        <f>100</f>
        <v>100</v>
      </c>
    </row>
    <row r="410" spans="3:11" x14ac:dyDescent="0.35">
      <c r="C410">
        <f>2.129*1000000</f>
        <v>2129000</v>
      </c>
      <c r="K410">
        <f>100</f>
        <v>100</v>
      </c>
    </row>
    <row r="411" spans="3:11" x14ac:dyDescent="0.35">
      <c r="C411">
        <f>2.138*1000000</f>
        <v>2138000</v>
      </c>
      <c r="K411">
        <f>105.9</f>
        <v>105.9</v>
      </c>
    </row>
    <row r="412" spans="3:11" x14ac:dyDescent="0.35">
      <c r="C412">
        <f>2.142*1000000</f>
        <v>2142000</v>
      </c>
      <c r="K412">
        <f>100</f>
        <v>100</v>
      </c>
    </row>
    <row r="413" spans="3:11" x14ac:dyDescent="0.35">
      <c r="C413">
        <f>2.144*1000000</f>
        <v>2144000</v>
      </c>
      <c r="K413">
        <f>105.9</f>
        <v>105.9</v>
      </c>
    </row>
    <row r="414" spans="3:11" x14ac:dyDescent="0.35">
      <c r="C414">
        <f>2.157*1000000</f>
        <v>2157000</v>
      </c>
      <c r="K414">
        <f>229.4</f>
        <v>229.4</v>
      </c>
    </row>
    <row r="415" spans="3:11" x14ac:dyDescent="0.35">
      <c r="C415">
        <f>2.164*1000000</f>
        <v>2164000</v>
      </c>
      <c r="K415">
        <f>100</f>
        <v>100</v>
      </c>
    </row>
    <row r="416" spans="3:11" x14ac:dyDescent="0.35">
      <c r="C416">
        <f>2.164*1000000</f>
        <v>2164000</v>
      </c>
      <c r="K416">
        <f>105.6</f>
        <v>105.6</v>
      </c>
    </row>
    <row r="417" spans="3:11" x14ac:dyDescent="0.35">
      <c r="C417">
        <f>2.175*1000000</f>
        <v>2175000</v>
      </c>
      <c r="K417">
        <f>216.7</f>
        <v>216.7</v>
      </c>
    </row>
    <row r="418" spans="3:11" x14ac:dyDescent="0.35">
      <c r="C418">
        <f>2.183*1000000</f>
        <v>2183000</v>
      </c>
      <c r="K418">
        <f>105.9</f>
        <v>105.9</v>
      </c>
    </row>
    <row r="419" spans="3:11" x14ac:dyDescent="0.35">
      <c r="C419">
        <f>2.183*1000000</f>
        <v>2183000</v>
      </c>
      <c r="K419">
        <f>105.9</f>
        <v>105.9</v>
      </c>
    </row>
    <row r="420" spans="3:11" x14ac:dyDescent="0.35">
      <c r="C420">
        <f>2.183*1000000</f>
        <v>2183000</v>
      </c>
      <c r="K420">
        <f>105.9</f>
        <v>105.9</v>
      </c>
    </row>
    <row r="421" spans="3:11" x14ac:dyDescent="0.35">
      <c r="C421">
        <f>2.183*1000000</f>
        <v>2183000</v>
      </c>
      <c r="K421">
        <f>123.5</f>
        <v>123.5</v>
      </c>
    </row>
    <row r="422" spans="3:11" x14ac:dyDescent="0.35">
      <c r="C422">
        <f>2.189*1000000</f>
        <v>2189000</v>
      </c>
      <c r="K422">
        <f>100</f>
        <v>100</v>
      </c>
    </row>
    <row r="423" spans="3:11" x14ac:dyDescent="0.35">
      <c r="C423">
        <f>2.188*1000000</f>
        <v>2188000</v>
      </c>
      <c r="K423">
        <f>105.6</f>
        <v>105.6</v>
      </c>
    </row>
    <row r="424" spans="3:11" x14ac:dyDescent="0.35">
      <c r="C424">
        <f>2.188*1000000</f>
        <v>2188000</v>
      </c>
      <c r="K424">
        <f>100</f>
        <v>100</v>
      </c>
    </row>
    <row r="425" spans="3:11" x14ac:dyDescent="0.35">
      <c r="C425">
        <f>2.187*1000000</f>
        <v>2187000</v>
      </c>
      <c r="K425">
        <f>94.4</f>
        <v>94.4</v>
      </c>
    </row>
    <row r="426" spans="3:11" x14ac:dyDescent="0.35">
      <c r="C426">
        <f>2.186*1000000</f>
        <v>2186000</v>
      </c>
      <c r="K426">
        <f>100</f>
        <v>100</v>
      </c>
    </row>
    <row r="427" spans="3:11" x14ac:dyDescent="0.35">
      <c r="C427">
        <f>2.192*1000000</f>
        <v>2192000</v>
      </c>
      <c r="K427">
        <f>105.9</f>
        <v>105.9</v>
      </c>
    </row>
    <row r="428" spans="3:11" x14ac:dyDescent="0.35">
      <c r="C428">
        <f>2.192*1000000</f>
        <v>2192000</v>
      </c>
      <c r="K428">
        <f>100</f>
        <v>100</v>
      </c>
    </row>
    <row r="429" spans="3:11" x14ac:dyDescent="0.35">
      <c r="C429">
        <f>2.19*1000000</f>
        <v>2190000</v>
      </c>
      <c r="K429">
        <f>111.8</f>
        <v>111.8</v>
      </c>
    </row>
    <row r="430" spans="3:11" x14ac:dyDescent="0.35">
      <c r="C430">
        <f>2.19*1000000</f>
        <v>2190000</v>
      </c>
      <c r="K430">
        <f>100</f>
        <v>100</v>
      </c>
    </row>
    <row r="431" spans="3:11" x14ac:dyDescent="0.35">
      <c r="C431">
        <f>2.189*1000000</f>
        <v>2189000</v>
      </c>
      <c r="K431">
        <f>117.6</f>
        <v>117.6</v>
      </c>
    </row>
    <row r="432" spans="3:11" x14ac:dyDescent="0.35">
      <c r="C432">
        <f>2.198*1000000</f>
        <v>2198000</v>
      </c>
      <c r="K432">
        <f>105.9</f>
        <v>105.9</v>
      </c>
    </row>
    <row r="433" spans="3:11" x14ac:dyDescent="0.35">
      <c r="C433">
        <f>2.203*1000000</f>
        <v>2203000</v>
      </c>
      <c r="K433">
        <f>105.9</f>
        <v>105.9</v>
      </c>
    </row>
    <row r="434" spans="3:11" x14ac:dyDescent="0.35">
      <c r="C434">
        <f>2.207*1000000</f>
        <v>2207000</v>
      </c>
      <c r="K434">
        <f>105.9</f>
        <v>105.9</v>
      </c>
    </row>
    <row r="435" spans="3:11" x14ac:dyDescent="0.35">
      <c r="C435">
        <f>2.215*1000000</f>
        <v>2215000</v>
      </c>
      <c r="K435">
        <f>100</f>
        <v>100</v>
      </c>
    </row>
    <row r="436" spans="3:11" x14ac:dyDescent="0.35">
      <c r="C436">
        <f>2.214*1000000</f>
        <v>2214000</v>
      </c>
      <c r="K436">
        <f>111.8</f>
        <v>111.8</v>
      </c>
    </row>
    <row r="437" spans="3:11" x14ac:dyDescent="0.35">
      <c r="C437">
        <f>2.222*1000000</f>
        <v>2222000</v>
      </c>
      <c r="K437">
        <f>111.8</f>
        <v>111.8</v>
      </c>
    </row>
    <row r="438" spans="3:11" x14ac:dyDescent="0.35">
      <c r="C438">
        <f>2.233*1000000</f>
        <v>2233000</v>
      </c>
      <c r="K438">
        <f>241.2</f>
        <v>241.2</v>
      </c>
    </row>
    <row r="439" spans="3:11" x14ac:dyDescent="0.35">
      <c r="C439">
        <f>2.247*1000000</f>
        <v>2247000</v>
      </c>
      <c r="K439">
        <f>182.4</f>
        <v>182.4</v>
      </c>
    </row>
    <row r="440" spans="3:11" x14ac:dyDescent="0.35">
      <c r="C440">
        <f>2.251*1000000</f>
        <v>2251000</v>
      </c>
      <c r="K440">
        <f>235.3</f>
        <v>235.3</v>
      </c>
    </row>
    <row r="441" spans="3:11" x14ac:dyDescent="0.35">
      <c r="C441">
        <f>2.263*1000000</f>
        <v>2263000</v>
      </c>
      <c r="K441">
        <f>100</f>
        <v>100</v>
      </c>
    </row>
    <row r="442" spans="3:11" x14ac:dyDescent="0.35">
      <c r="C442">
        <f>2.27*1000000</f>
        <v>2270000</v>
      </c>
      <c r="K442">
        <f>211.8</f>
        <v>211.8</v>
      </c>
    </row>
    <row r="443" spans="3:11" x14ac:dyDescent="0.35">
      <c r="C443">
        <f>2.277*1000000</f>
        <v>2277000</v>
      </c>
      <c r="K443">
        <f>252.9</f>
        <v>252.9</v>
      </c>
    </row>
    <row r="444" spans="3:11" x14ac:dyDescent="0.35">
      <c r="C444">
        <f>2.288*1000000</f>
        <v>2288000</v>
      </c>
      <c r="K444">
        <f>194.1</f>
        <v>194.1</v>
      </c>
    </row>
    <row r="445" spans="3:11" x14ac:dyDescent="0.35">
      <c r="C445">
        <f>2.301*1000000</f>
        <v>2301000</v>
      </c>
      <c r="K445">
        <f>223.5</f>
        <v>223.5</v>
      </c>
    </row>
    <row r="446" spans="3:11" x14ac:dyDescent="0.35">
      <c r="C446">
        <f>2.318*1000000</f>
        <v>2318000</v>
      </c>
      <c r="K446">
        <f>194.4</f>
        <v>194.4</v>
      </c>
    </row>
    <row r="447" spans="3:11" x14ac:dyDescent="0.35">
      <c r="C447">
        <f>2.325*1000000</f>
        <v>2325000</v>
      </c>
      <c r="K447">
        <f>144.4</f>
        <v>144.4</v>
      </c>
    </row>
    <row r="448" spans="3:11" x14ac:dyDescent="0.35">
      <c r="C448">
        <f>2.341*1000000</f>
        <v>2341000</v>
      </c>
      <c r="K448">
        <f>235.3</f>
        <v>235.3</v>
      </c>
    </row>
    <row r="449" spans="3:11" x14ac:dyDescent="0.35">
      <c r="C449">
        <f>2.353*1000000</f>
        <v>2353000</v>
      </c>
      <c r="K449">
        <f>147.1</f>
        <v>147.1</v>
      </c>
    </row>
  </sheetData>
  <phoneticPr fontId="1" type="noConversion"/>
  <pageMargins left="0.7" right="0.7" top="0.75" bottom="0.75" header="0.3" footer="0.3"/>
  <pageSetup paperSize="9" orientation="portrait"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9E908-EBAD-480B-93A8-9B13847CF3E1}">
  <dimension ref="A1:L53"/>
  <sheetViews>
    <sheetView topLeftCell="A8" workbookViewId="0">
      <selection activeCell="I34" sqref="I34"/>
    </sheetView>
  </sheetViews>
  <sheetFormatPr defaultRowHeight="14" x14ac:dyDescent="0.3"/>
  <sheetData>
    <row r="1" spans="1:12" x14ac:dyDescent="0.3">
      <c r="A1" t="s">
        <v>681</v>
      </c>
      <c r="C1" t="s">
        <v>683</v>
      </c>
      <c r="G1" t="s">
        <v>646</v>
      </c>
      <c r="I1" t="s">
        <v>734</v>
      </c>
    </row>
    <row r="3" spans="1:12" x14ac:dyDescent="0.3">
      <c r="A3" t="s">
        <v>682</v>
      </c>
      <c r="B3" t="s">
        <v>696</v>
      </c>
      <c r="C3" t="s">
        <v>705</v>
      </c>
      <c r="D3" t="s">
        <v>706</v>
      </c>
      <c r="E3" t="s">
        <v>733</v>
      </c>
      <c r="H3" t="s">
        <v>682</v>
      </c>
      <c r="I3" t="s">
        <v>696</v>
      </c>
      <c r="J3" t="s">
        <v>705</v>
      </c>
      <c r="K3" t="s">
        <v>706</v>
      </c>
      <c r="L3" t="s">
        <v>735</v>
      </c>
    </row>
    <row r="4" spans="1:12" x14ac:dyDescent="0.3">
      <c r="A4" t="s">
        <v>668</v>
      </c>
      <c r="B4" t="s">
        <v>697</v>
      </c>
      <c r="C4">
        <v>838.9</v>
      </c>
      <c r="D4">
        <f>(C4-400)/8</f>
        <v>54.862499999999997</v>
      </c>
      <c r="E4">
        <f>C4-400</f>
        <v>438.9</v>
      </c>
      <c r="H4">
        <v>2289</v>
      </c>
      <c r="I4">
        <v>564000</v>
      </c>
      <c r="J4">
        <f>1328</f>
        <v>1328</v>
      </c>
      <c r="K4">
        <f>(J4-100)/24</f>
        <v>51.166666666666664</v>
      </c>
      <c r="L4">
        <f>J4-100</f>
        <v>1228</v>
      </c>
    </row>
    <row r="5" spans="1:12" x14ac:dyDescent="0.3">
      <c r="A5" t="s">
        <v>669</v>
      </c>
      <c r="B5" t="s">
        <v>697</v>
      </c>
      <c r="C5">
        <v>900</v>
      </c>
      <c r="D5">
        <f t="shared" ref="D5:D43" si="0">(C5-400)/8</f>
        <v>62.5</v>
      </c>
      <c r="E5">
        <f t="shared" ref="E5:E43" si="1">C5-400</f>
        <v>500</v>
      </c>
      <c r="H5">
        <v>2355</v>
      </c>
      <c r="I5">
        <v>554000</v>
      </c>
      <c r="J5">
        <f>794.1</f>
        <v>794.1</v>
      </c>
      <c r="K5">
        <f t="shared" ref="K5:K31" si="2">(J5-100)/24</f>
        <v>28.920833333333334</v>
      </c>
      <c r="L5">
        <f t="shared" ref="L5:L31" si="3">J5-100</f>
        <v>694.1</v>
      </c>
    </row>
    <row r="6" spans="1:12" x14ac:dyDescent="0.3">
      <c r="A6" t="s">
        <v>670</v>
      </c>
      <c r="B6" t="s">
        <v>697</v>
      </c>
      <c r="C6">
        <v>838.9</v>
      </c>
      <c r="D6">
        <f t="shared" si="0"/>
        <v>54.862499999999997</v>
      </c>
      <c r="E6">
        <f t="shared" si="1"/>
        <v>438.9</v>
      </c>
      <c r="H6">
        <v>1222</v>
      </c>
      <c r="I6">
        <v>753000</v>
      </c>
      <c r="J6">
        <f>829.4</f>
        <v>829.4</v>
      </c>
      <c r="K6">
        <f t="shared" si="2"/>
        <v>30.391666666666666</v>
      </c>
      <c r="L6">
        <f t="shared" si="3"/>
        <v>729.4</v>
      </c>
    </row>
    <row r="7" spans="1:12" x14ac:dyDescent="0.3">
      <c r="A7" t="s">
        <v>671</v>
      </c>
      <c r="B7" t="s">
        <v>697</v>
      </c>
      <c r="C7">
        <v>877.8</v>
      </c>
      <c r="D7">
        <f t="shared" si="0"/>
        <v>59.724999999999994</v>
      </c>
      <c r="E7">
        <f t="shared" si="1"/>
        <v>477.79999999999995</v>
      </c>
      <c r="H7">
        <v>1011</v>
      </c>
      <c r="I7">
        <v>794000</v>
      </c>
      <c r="J7">
        <f>1339</f>
        <v>1339</v>
      </c>
      <c r="K7">
        <f t="shared" si="2"/>
        <v>51.625</v>
      </c>
      <c r="L7">
        <f t="shared" si="3"/>
        <v>1239</v>
      </c>
    </row>
    <row r="8" spans="1:12" x14ac:dyDescent="0.3">
      <c r="A8" t="s">
        <v>672</v>
      </c>
      <c r="B8" t="s">
        <v>697</v>
      </c>
      <c r="C8">
        <v>883.3</v>
      </c>
      <c r="D8">
        <f t="shared" si="0"/>
        <v>60.412499999999994</v>
      </c>
      <c r="E8">
        <f t="shared" si="1"/>
        <v>483.29999999999995</v>
      </c>
      <c r="H8">
        <v>2314</v>
      </c>
      <c r="I8">
        <v>952000</v>
      </c>
      <c r="J8">
        <f>1237</f>
        <v>1237</v>
      </c>
      <c r="K8">
        <f t="shared" si="2"/>
        <v>47.375</v>
      </c>
      <c r="L8">
        <f t="shared" si="3"/>
        <v>1137</v>
      </c>
    </row>
    <row r="9" spans="1:12" x14ac:dyDescent="0.3">
      <c r="A9" t="s">
        <v>673</v>
      </c>
      <c r="B9" t="s">
        <v>697</v>
      </c>
      <c r="C9">
        <v>888.2</v>
      </c>
      <c r="D9">
        <f t="shared" si="0"/>
        <v>61.025000000000006</v>
      </c>
      <c r="E9">
        <f t="shared" si="1"/>
        <v>488.20000000000005</v>
      </c>
      <c r="H9">
        <v>2353</v>
      </c>
      <c r="I9">
        <v>823000</v>
      </c>
      <c r="J9">
        <f>1239</f>
        <v>1239</v>
      </c>
      <c r="K9">
        <f t="shared" si="2"/>
        <v>47.458333333333336</v>
      </c>
      <c r="L9">
        <f t="shared" si="3"/>
        <v>1139</v>
      </c>
    </row>
    <row r="10" spans="1:12" x14ac:dyDescent="0.3">
      <c r="A10" t="s">
        <v>673</v>
      </c>
      <c r="B10" t="s">
        <v>697</v>
      </c>
      <c r="C10">
        <v>888.2</v>
      </c>
      <c r="D10">
        <f t="shared" si="0"/>
        <v>61.025000000000006</v>
      </c>
      <c r="E10">
        <f t="shared" si="1"/>
        <v>488.20000000000005</v>
      </c>
      <c r="H10">
        <v>2331</v>
      </c>
      <c r="I10">
        <v>790000.00000000093</v>
      </c>
      <c r="J10">
        <f>1283</f>
        <v>1283</v>
      </c>
      <c r="K10">
        <f t="shared" si="2"/>
        <v>49.291666666666664</v>
      </c>
      <c r="L10">
        <f t="shared" si="3"/>
        <v>1183</v>
      </c>
    </row>
    <row r="11" spans="1:12" x14ac:dyDescent="0.3">
      <c r="A11" t="s">
        <v>674</v>
      </c>
      <c r="B11" t="s">
        <v>697</v>
      </c>
      <c r="C11">
        <v>855.6</v>
      </c>
      <c r="D11">
        <f t="shared" si="0"/>
        <v>56.95</v>
      </c>
      <c r="E11">
        <f t="shared" si="1"/>
        <v>455.6</v>
      </c>
      <c r="H11">
        <v>2325</v>
      </c>
      <c r="I11">
        <v>985000</v>
      </c>
      <c r="J11">
        <f>1278</f>
        <v>1278</v>
      </c>
      <c r="K11">
        <f t="shared" si="2"/>
        <v>49.083333333333336</v>
      </c>
      <c r="L11">
        <f t="shared" si="3"/>
        <v>1178</v>
      </c>
    </row>
    <row r="12" spans="1:12" x14ac:dyDescent="0.3">
      <c r="A12" t="s">
        <v>674</v>
      </c>
      <c r="B12" t="s">
        <v>698</v>
      </c>
      <c r="C12">
        <v>1076</v>
      </c>
      <c r="D12">
        <f t="shared" si="0"/>
        <v>84.5</v>
      </c>
      <c r="E12">
        <f t="shared" si="1"/>
        <v>676</v>
      </c>
      <c r="H12">
        <v>2338</v>
      </c>
      <c r="I12">
        <v>825000.00000000093</v>
      </c>
      <c r="J12">
        <f>1394</f>
        <v>1394</v>
      </c>
      <c r="K12">
        <f t="shared" si="2"/>
        <v>53.916666666666664</v>
      </c>
      <c r="L12">
        <f t="shared" si="3"/>
        <v>1294</v>
      </c>
    </row>
    <row r="13" spans="1:12" x14ac:dyDescent="0.3">
      <c r="A13" t="s">
        <v>675</v>
      </c>
      <c r="B13" t="s">
        <v>698</v>
      </c>
      <c r="C13">
        <v>1044</v>
      </c>
      <c r="D13">
        <f t="shared" si="0"/>
        <v>80.5</v>
      </c>
      <c r="E13">
        <f t="shared" si="1"/>
        <v>644</v>
      </c>
      <c r="H13">
        <v>2326</v>
      </c>
      <c r="I13">
        <v>868999.99999999907</v>
      </c>
      <c r="J13">
        <f>1222</f>
        <v>1222</v>
      </c>
      <c r="K13">
        <f t="shared" si="2"/>
        <v>46.75</v>
      </c>
      <c r="L13">
        <f t="shared" si="3"/>
        <v>1122</v>
      </c>
    </row>
    <row r="14" spans="1:12" x14ac:dyDescent="0.3">
      <c r="A14" t="s">
        <v>674</v>
      </c>
      <c r="B14" t="s">
        <v>698</v>
      </c>
      <c r="C14">
        <v>1011</v>
      </c>
      <c r="D14">
        <f t="shared" si="0"/>
        <v>76.375</v>
      </c>
      <c r="E14">
        <f t="shared" si="1"/>
        <v>611</v>
      </c>
      <c r="H14">
        <v>2334</v>
      </c>
      <c r="I14">
        <v>817000</v>
      </c>
      <c r="J14">
        <f>1350</f>
        <v>1350</v>
      </c>
      <c r="K14">
        <f t="shared" si="2"/>
        <v>52.083333333333336</v>
      </c>
      <c r="L14">
        <f t="shared" si="3"/>
        <v>1250</v>
      </c>
    </row>
    <row r="15" spans="1:12" x14ac:dyDescent="0.3">
      <c r="A15" t="s">
        <v>676</v>
      </c>
      <c r="B15" t="s">
        <v>698</v>
      </c>
      <c r="C15">
        <v>1072</v>
      </c>
      <c r="D15">
        <f t="shared" si="0"/>
        <v>84</v>
      </c>
      <c r="E15">
        <f t="shared" si="1"/>
        <v>672</v>
      </c>
      <c r="H15">
        <v>2317</v>
      </c>
      <c r="I15">
        <v>946000</v>
      </c>
      <c r="J15">
        <f>1294</f>
        <v>1294</v>
      </c>
      <c r="K15">
        <f t="shared" si="2"/>
        <v>49.75</v>
      </c>
      <c r="L15">
        <f t="shared" si="3"/>
        <v>1194</v>
      </c>
    </row>
    <row r="16" spans="1:12" x14ac:dyDescent="0.3">
      <c r="A16" t="s">
        <v>676</v>
      </c>
      <c r="B16" t="s">
        <v>699</v>
      </c>
      <c r="C16">
        <v>1153</v>
      </c>
      <c r="D16">
        <f t="shared" si="0"/>
        <v>94.125</v>
      </c>
      <c r="E16">
        <f t="shared" si="1"/>
        <v>753</v>
      </c>
      <c r="H16">
        <v>2324</v>
      </c>
      <c r="I16">
        <v>962000</v>
      </c>
      <c r="J16">
        <f>1356</f>
        <v>1356</v>
      </c>
      <c r="K16">
        <f t="shared" si="2"/>
        <v>52.333333333333336</v>
      </c>
      <c r="L16">
        <f t="shared" si="3"/>
        <v>1256</v>
      </c>
    </row>
    <row r="17" spans="1:12" x14ac:dyDescent="0.3">
      <c r="A17" t="s">
        <v>677</v>
      </c>
      <c r="B17" t="s">
        <v>699</v>
      </c>
      <c r="C17">
        <v>1129</v>
      </c>
      <c r="D17">
        <f t="shared" si="0"/>
        <v>91.125</v>
      </c>
      <c r="E17">
        <f t="shared" si="1"/>
        <v>729</v>
      </c>
      <c r="H17">
        <v>2316</v>
      </c>
      <c r="I17">
        <v>900999.99999999907</v>
      </c>
      <c r="J17">
        <f>1300</f>
        <v>1300</v>
      </c>
      <c r="K17">
        <f t="shared" si="2"/>
        <v>50</v>
      </c>
      <c r="L17">
        <f t="shared" si="3"/>
        <v>1200</v>
      </c>
    </row>
    <row r="18" spans="1:12" x14ac:dyDescent="0.3">
      <c r="A18" t="s">
        <v>678</v>
      </c>
      <c r="B18" t="s">
        <v>699</v>
      </c>
      <c r="C18">
        <v>1141</v>
      </c>
      <c r="D18">
        <f t="shared" si="0"/>
        <v>92.625</v>
      </c>
      <c r="E18">
        <f t="shared" si="1"/>
        <v>741</v>
      </c>
      <c r="H18">
        <v>2309</v>
      </c>
      <c r="I18">
        <v>964000</v>
      </c>
      <c r="J18">
        <f>1333</f>
        <v>1333</v>
      </c>
      <c r="K18">
        <f t="shared" si="2"/>
        <v>51.375</v>
      </c>
      <c r="L18">
        <f t="shared" si="3"/>
        <v>1233</v>
      </c>
    </row>
    <row r="19" spans="1:12" x14ac:dyDescent="0.3">
      <c r="A19" t="s">
        <v>679</v>
      </c>
      <c r="B19" t="s">
        <v>699</v>
      </c>
      <c r="C19">
        <v>1124</v>
      </c>
      <c r="D19">
        <f t="shared" si="0"/>
        <v>90.5</v>
      </c>
      <c r="E19">
        <f t="shared" si="1"/>
        <v>724</v>
      </c>
      <c r="H19">
        <v>2311</v>
      </c>
      <c r="I19">
        <v>931000</v>
      </c>
      <c r="J19">
        <f>1417</f>
        <v>1417</v>
      </c>
      <c r="K19">
        <f t="shared" si="2"/>
        <v>54.875</v>
      </c>
      <c r="L19">
        <f t="shared" si="3"/>
        <v>1317</v>
      </c>
    </row>
    <row r="20" spans="1:12" x14ac:dyDescent="0.3">
      <c r="A20" t="s">
        <v>680</v>
      </c>
      <c r="B20" t="s">
        <v>699</v>
      </c>
      <c r="C20">
        <v>1188</v>
      </c>
      <c r="D20">
        <f t="shared" si="0"/>
        <v>98.5</v>
      </c>
      <c r="E20">
        <f t="shared" si="1"/>
        <v>788</v>
      </c>
      <c r="H20">
        <v>2310</v>
      </c>
      <c r="I20">
        <v>1002000</v>
      </c>
      <c r="J20">
        <f>1378</f>
        <v>1378</v>
      </c>
      <c r="K20">
        <f t="shared" si="2"/>
        <v>53.25</v>
      </c>
      <c r="L20">
        <f t="shared" si="3"/>
        <v>1278</v>
      </c>
    </row>
    <row r="21" spans="1:12" x14ac:dyDescent="0.3">
      <c r="A21" t="s">
        <v>684</v>
      </c>
      <c r="B21" t="s">
        <v>700</v>
      </c>
      <c r="C21">
        <v>1100</v>
      </c>
      <c r="D21">
        <f t="shared" si="0"/>
        <v>87.5</v>
      </c>
      <c r="E21">
        <f t="shared" si="1"/>
        <v>700</v>
      </c>
      <c r="H21">
        <v>2310</v>
      </c>
      <c r="I21">
        <v>952000</v>
      </c>
      <c r="J21">
        <f>1206</f>
        <v>1206</v>
      </c>
      <c r="K21">
        <f t="shared" si="2"/>
        <v>46.083333333333336</v>
      </c>
      <c r="L21">
        <f t="shared" si="3"/>
        <v>1106</v>
      </c>
    </row>
    <row r="22" spans="1:12" x14ac:dyDescent="0.3">
      <c r="A22" t="s">
        <v>680</v>
      </c>
      <c r="B22" t="s">
        <v>700</v>
      </c>
      <c r="C22">
        <v>1135</v>
      </c>
      <c r="D22">
        <f t="shared" si="0"/>
        <v>91.875</v>
      </c>
      <c r="E22">
        <f t="shared" si="1"/>
        <v>735</v>
      </c>
      <c r="H22">
        <v>2314</v>
      </c>
      <c r="I22">
        <v>1033000</v>
      </c>
      <c r="J22">
        <f>1189</f>
        <v>1189</v>
      </c>
      <c r="K22">
        <f t="shared" si="2"/>
        <v>45.375</v>
      </c>
      <c r="L22">
        <f t="shared" si="3"/>
        <v>1089</v>
      </c>
    </row>
    <row r="23" spans="1:12" x14ac:dyDescent="0.3">
      <c r="A23" t="s">
        <v>678</v>
      </c>
      <c r="B23" t="s">
        <v>700</v>
      </c>
      <c r="C23">
        <v>1106</v>
      </c>
      <c r="D23">
        <f t="shared" si="0"/>
        <v>88.25</v>
      </c>
      <c r="E23">
        <f t="shared" si="1"/>
        <v>706</v>
      </c>
      <c r="H23">
        <v>2326</v>
      </c>
      <c r="I23">
        <v>1022000</v>
      </c>
      <c r="J23">
        <f>1256</f>
        <v>1256</v>
      </c>
      <c r="K23">
        <f t="shared" si="2"/>
        <v>48.166666666666664</v>
      </c>
      <c r="L23">
        <f t="shared" si="3"/>
        <v>1156</v>
      </c>
    </row>
    <row r="24" spans="1:12" x14ac:dyDescent="0.3">
      <c r="A24" t="s">
        <v>685</v>
      </c>
      <c r="B24" t="s">
        <v>700</v>
      </c>
      <c r="C24">
        <v>1147</v>
      </c>
      <c r="D24">
        <f t="shared" si="0"/>
        <v>93.375</v>
      </c>
      <c r="E24">
        <f t="shared" si="1"/>
        <v>747</v>
      </c>
      <c r="H24">
        <v>2309</v>
      </c>
      <c r="I24">
        <v>1057000</v>
      </c>
      <c r="J24">
        <f>1200</f>
        <v>1200</v>
      </c>
      <c r="K24">
        <f t="shared" si="2"/>
        <v>45.833333333333336</v>
      </c>
      <c r="L24">
        <f t="shared" si="3"/>
        <v>1100</v>
      </c>
    </row>
    <row r="25" spans="1:12" x14ac:dyDescent="0.3">
      <c r="A25" t="s">
        <v>668</v>
      </c>
      <c r="B25" t="s">
        <v>701</v>
      </c>
      <c r="C25">
        <v>1100</v>
      </c>
      <c r="D25">
        <f t="shared" si="0"/>
        <v>87.5</v>
      </c>
      <c r="E25">
        <f t="shared" si="1"/>
        <v>700</v>
      </c>
      <c r="H25">
        <v>2304</v>
      </c>
      <c r="I25">
        <v>1072000</v>
      </c>
      <c r="J25">
        <f>1233</f>
        <v>1233</v>
      </c>
      <c r="K25">
        <f t="shared" si="2"/>
        <v>47.208333333333336</v>
      </c>
      <c r="L25">
        <f t="shared" si="3"/>
        <v>1133</v>
      </c>
    </row>
    <row r="26" spans="1:12" x14ac:dyDescent="0.3">
      <c r="A26" t="s">
        <v>686</v>
      </c>
      <c r="B26" t="s">
        <v>701</v>
      </c>
      <c r="C26">
        <v>1153</v>
      </c>
      <c r="D26">
        <f t="shared" si="0"/>
        <v>94.125</v>
      </c>
      <c r="E26">
        <f t="shared" si="1"/>
        <v>753</v>
      </c>
      <c r="H26">
        <v>2302</v>
      </c>
      <c r="I26">
        <v>1083000</v>
      </c>
      <c r="J26">
        <f>1256</f>
        <v>1256</v>
      </c>
      <c r="K26">
        <f t="shared" si="2"/>
        <v>48.166666666666664</v>
      </c>
      <c r="L26">
        <f t="shared" si="3"/>
        <v>1156</v>
      </c>
    </row>
    <row r="27" spans="1:12" x14ac:dyDescent="0.3">
      <c r="A27" t="s">
        <v>687</v>
      </c>
      <c r="B27" t="s">
        <v>701</v>
      </c>
      <c r="C27">
        <v>1072</v>
      </c>
      <c r="D27">
        <f t="shared" si="0"/>
        <v>84</v>
      </c>
      <c r="E27">
        <f t="shared" si="1"/>
        <v>672</v>
      </c>
      <c r="H27">
        <v>2309</v>
      </c>
      <c r="I27">
        <v>1114000</v>
      </c>
      <c r="J27">
        <f>1311</f>
        <v>1311</v>
      </c>
      <c r="K27">
        <f t="shared" si="2"/>
        <v>50.458333333333336</v>
      </c>
      <c r="L27">
        <f t="shared" si="3"/>
        <v>1211</v>
      </c>
    </row>
    <row r="28" spans="1:12" x14ac:dyDescent="0.3">
      <c r="A28" t="s">
        <v>688</v>
      </c>
      <c r="B28" t="s">
        <v>701</v>
      </c>
      <c r="C28">
        <v>1135</v>
      </c>
      <c r="D28">
        <f t="shared" si="0"/>
        <v>91.875</v>
      </c>
      <c r="E28">
        <f t="shared" si="1"/>
        <v>735</v>
      </c>
      <c r="H28">
        <v>2307</v>
      </c>
      <c r="I28">
        <v>1197000</v>
      </c>
      <c r="J28">
        <f>1335</f>
        <v>1335</v>
      </c>
      <c r="K28">
        <f t="shared" si="2"/>
        <v>51.458333333333336</v>
      </c>
      <c r="L28">
        <f t="shared" si="3"/>
        <v>1235</v>
      </c>
    </row>
    <row r="29" spans="1:12" x14ac:dyDescent="0.3">
      <c r="A29" t="s">
        <v>687</v>
      </c>
      <c r="B29" t="s">
        <v>701</v>
      </c>
      <c r="C29">
        <v>1147</v>
      </c>
      <c r="D29">
        <f t="shared" si="0"/>
        <v>93.375</v>
      </c>
      <c r="E29">
        <f t="shared" si="1"/>
        <v>747</v>
      </c>
      <c r="H29">
        <v>2303</v>
      </c>
      <c r="I29">
        <v>1057000</v>
      </c>
      <c r="J29">
        <f>1412</f>
        <v>1412</v>
      </c>
      <c r="K29">
        <f t="shared" si="2"/>
        <v>54.666666666666664</v>
      </c>
      <c r="L29">
        <f t="shared" si="3"/>
        <v>1312</v>
      </c>
    </row>
    <row r="30" spans="1:12" x14ac:dyDescent="0.3">
      <c r="A30" t="s">
        <v>406</v>
      </c>
      <c r="B30" t="s">
        <v>702</v>
      </c>
      <c r="C30">
        <v>1141</v>
      </c>
      <c r="D30">
        <f t="shared" si="0"/>
        <v>92.625</v>
      </c>
      <c r="E30">
        <f t="shared" si="1"/>
        <v>741</v>
      </c>
      <c r="H30">
        <v>2315</v>
      </c>
      <c r="I30">
        <v>1134000</v>
      </c>
      <c r="J30">
        <f>1276</f>
        <v>1276</v>
      </c>
      <c r="K30">
        <f t="shared" si="2"/>
        <v>49</v>
      </c>
      <c r="L30">
        <f t="shared" si="3"/>
        <v>1176</v>
      </c>
    </row>
    <row r="31" spans="1:12" x14ac:dyDescent="0.3">
      <c r="A31" t="s">
        <v>686</v>
      </c>
      <c r="B31" t="s">
        <v>702</v>
      </c>
      <c r="C31">
        <v>1112</v>
      </c>
      <c r="D31">
        <f t="shared" si="0"/>
        <v>89</v>
      </c>
      <c r="E31">
        <f t="shared" si="1"/>
        <v>712</v>
      </c>
      <c r="H31">
        <v>2341</v>
      </c>
      <c r="I31">
        <v>1090000</v>
      </c>
      <c r="J31">
        <f>666.7</f>
        <v>666.7</v>
      </c>
      <c r="K31">
        <f t="shared" si="2"/>
        <v>23.612500000000001</v>
      </c>
      <c r="L31">
        <f t="shared" si="3"/>
        <v>566.70000000000005</v>
      </c>
    </row>
    <row r="32" spans="1:12" x14ac:dyDescent="0.3">
      <c r="A32" t="s">
        <v>668</v>
      </c>
      <c r="B32" t="s">
        <v>702</v>
      </c>
      <c r="C32">
        <v>1135</v>
      </c>
      <c r="D32">
        <f t="shared" si="0"/>
        <v>91.875</v>
      </c>
      <c r="E32">
        <f t="shared" si="1"/>
        <v>735</v>
      </c>
      <c r="H32">
        <v>1664</v>
      </c>
    </row>
    <row r="33" spans="1:5" x14ac:dyDescent="0.3">
      <c r="A33" t="s">
        <v>668</v>
      </c>
      <c r="B33" t="s">
        <v>702</v>
      </c>
      <c r="C33">
        <v>1128</v>
      </c>
      <c r="D33">
        <f t="shared" si="0"/>
        <v>91</v>
      </c>
      <c r="E33">
        <f t="shared" si="1"/>
        <v>728</v>
      </c>
    </row>
    <row r="34" spans="1:5" x14ac:dyDescent="0.3">
      <c r="A34" t="s">
        <v>689</v>
      </c>
      <c r="B34" t="s">
        <v>702</v>
      </c>
      <c r="C34">
        <v>1078</v>
      </c>
      <c r="D34">
        <f t="shared" si="0"/>
        <v>84.75</v>
      </c>
      <c r="E34">
        <f t="shared" si="1"/>
        <v>678</v>
      </c>
    </row>
    <row r="35" spans="1:5" x14ac:dyDescent="0.3">
      <c r="A35" t="s">
        <v>689</v>
      </c>
      <c r="B35" t="s">
        <v>703</v>
      </c>
      <c r="C35">
        <v>1153</v>
      </c>
      <c r="D35">
        <f t="shared" si="0"/>
        <v>94.125</v>
      </c>
      <c r="E35">
        <f t="shared" si="1"/>
        <v>753</v>
      </c>
    </row>
    <row r="36" spans="1:5" x14ac:dyDescent="0.3">
      <c r="A36" t="s">
        <v>690</v>
      </c>
      <c r="B36" t="s">
        <v>703</v>
      </c>
      <c r="C36">
        <v>1141</v>
      </c>
      <c r="D36">
        <f t="shared" si="0"/>
        <v>92.625</v>
      </c>
      <c r="E36">
        <f t="shared" si="1"/>
        <v>741</v>
      </c>
    </row>
    <row r="37" spans="1:5" x14ac:dyDescent="0.3">
      <c r="A37" t="s">
        <v>691</v>
      </c>
      <c r="B37" t="s">
        <v>703</v>
      </c>
      <c r="C37">
        <v>1078</v>
      </c>
      <c r="D37">
        <f t="shared" si="0"/>
        <v>84.75</v>
      </c>
      <c r="E37">
        <f t="shared" si="1"/>
        <v>678</v>
      </c>
    </row>
    <row r="38" spans="1:5" x14ac:dyDescent="0.3">
      <c r="A38" t="s">
        <v>692</v>
      </c>
      <c r="B38" t="s">
        <v>703</v>
      </c>
      <c r="C38">
        <v>1083</v>
      </c>
      <c r="D38">
        <f t="shared" si="0"/>
        <v>85.375</v>
      </c>
      <c r="E38">
        <f t="shared" si="1"/>
        <v>683</v>
      </c>
    </row>
    <row r="39" spans="1:5" x14ac:dyDescent="0.3">
      <c r="A39" t="s">
        <v>691</v>
      </c>
      <c r="B39" t="s">
        <v>703</v>
      </c>
      <c r="C39">
        <v>1165</v>
      </c>
      <c r="D39">
        <f t="shared" si="0"/>
        <v>95.625</v>
      </c>
      <c r="E39">
        <f t="shared" si="1"/>
        <v>765</v>
      </c>
    </row>
    <row r="40" spans="1:5" x14ac:dyDescent="0.3">
      <c r="A40" t="s">
        <v>693</v>
      </c>
      <c r="B40" t="s">
        <v>703</v>
      </c>
      <c r="C40">
        <v>1094</v>
      </c>
      <c r="D40">
        <f t="shared" si="0"/>
        <v>86.75</v>
      </c>
      <c r="E40">
        <f t="shared" si="1"/>
        <v>694</v>
      </c>
    </row>
    <row r="41" spans="1:5" x14ac:dyDescent="0.3">
      <c r="A41" t="s">
        <v>694</v>
      </c>
      <c r="B41" t="s">
        <v>704</v>
      </c>
      <c r="C41">
        <v>1078</v>
      </c>
      <c r="D41">
        <f t="shared" si="0"/>
        <v>84.75</v>
      </c>
      <c r="E41">
        <f t="shared" si="1"/>
        <v>678</v>
      </c>
    </row>
    <row r="42" spans="1:5" x14ac:dyDescent="0.3">
      <c r="A42" t="s">
        <v>695</v>
      </c>
      <c r="B42" t="s">
        <v>704</v>
      </c>
      <c r="C42">
        <v>1089</v>
      </c>
      <c r="D42">
        <f t="shared" si="0"/>
        <v>86.125</v>
      </c>
      <c r="E42">
        <f t="shared" si="1"/>
        <v>689</v>
      </c>
    </row>
    <row r="43" spans="1:5" x14ac:dyDescent="0.3">
      <c r="B43" t="s">
        <v>704</v>
      </c>
      <c r="C43">
        <v>738.9</v>
      </c>
      <c r="D43">
        <f t="shared" si="0"/>
        <v>42.362499999999997</v>
      </c>
      <c r="E43">
        <f t="shared" si="1"/>
        <v>338.9</v>
      </c>
    </row>
    <row r="46" spans="1:5" x14ac:dyDescent="0.3">
      <c r="A46" t="s">
        <v>707</v>
      </c>
    </row>
    <row r="47" spans="1:5" x14ac:dyDescent="0.3">
      <c r="B47" t="s">
        <v>714</v>
      </c>
    </row>
    <row r="48" spans="1:5" x14ac:dyDescent="0.3">
      <c r="B48" t="s">
        <v>708</v>
      </c>
    </row>
    <row r="49" spans="2:2" x14ac:dyDescent="0.3">
      <c r="B49" t="s">
        <v>713</v>
      </c>
    </row>
    <row r="51" spans="2:2" x14ac:dyDescent="0.3">
      <c r="B51" t="s">
        <v>709</v>
      </c>
    </row>
    <row r="52" spans="2:2" x14ac:dyDescent="0.3">
      <c r="B52" t="s">
        <v>710</v>
      </c>
    </row>
    <row r="53" spans="2:2" x14ac:dyDescent="0.3">
      <c r="B53" t="s">
        <v>712</v>
      </c>
    </row>
  </sheetData>
  <phoneticPr fontId="1" type="noConversion"/>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0B69E-68D2-45EE-9A26-B88CF933CEE3}">
  <dimension ref="A2:H5"/>
  <sheetViews>
    <sheetView workbookViewId="0">
      <selection activeCell="A2" sqref="A2:H5"/>
    </sheetView>
  </sheetViews>
  <sheetFormatPr defaultRowHeight="14" x14ac:dyDescent="0.3"/>
  <sheetData>
    <row r="2" spans="1:8" x14ac:dyDescent="0.3">
      <c r="B2" t="s">
        <v>736</v>
      </c>
      <c r="C2" t="s">
        <v>737</v>
      </c>
      <c r="D2" t="s">
        <v>738</v>
      </c>
    </row>
    <row r="3" spans="1:8" x14ac:dyDescent="0.3">
      <c r="A3" t="s">
        <v>216</v>
      </c>
      <c r="B3">
        <v>2440552</v>
      </c>
      <c r="C3">
        <v>395150</v>
      </c>
      <c r="F3" s="31" t="s">
        <v>739</v>
      </c>
      <c r="G3" s="31"/>
      <c r="H3" s="31"/>
    </row>
    <row r="4" spans="1:8" x14ac:dyDescent="0.3">
      <c r="A4" t="s">
        <v>217</v>
      </c>
      <c r="B4">
        <v>647864</v>
      </c>
      <c r="C4">
        <v>189223</v>
      </c>
      <c r="D4">
        <v>150844</v>
      </c>
      <c r="F4" s="31"/>
      <c r="G4" s="31"/>
      <c r="H4" s="31"/>
    </row>
    <row r="5" spans="1:8" x14ac:dyDescent="0.3">
      <c r="A5" t="s">
        <v>223</v>
      </c>
      <c r="B5">
        <v>632562</v>
      </c>
      <c r="C5">
        <v>75155</v>
      </c>
      <c r="D5">
        <v>373282</v>
      </c>
    </row>
  </sheetData>
  <mergeCells count="1">
    <mergeCell ref="F3:H4"/>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7AD29-2C35-4B12-BCAD-6A5B1D20D787}">
  <sheetPr codeName="Sheet2"/>
  <dimension ref="A4:F14"/>
  <sheetViews>
    <sheetView zoomScale="70" zoomScaleNormal="70" workbookViewId="0">
      <selection activeCell="L18" sqref="L18"/>
    </sheetView>
  </sheetViews>
  <sheetFormatPr defaultRowHeight="14" x14ac:dyDescent="0.3"/>
  <cols>
    <col min="4" max="4" width="11.83203125" customWidth="1"/>
  </cols>
  <sheetData>
    <row r="4" spans="1:6" x14ac:dyDescent="0.3">
      <c r="B4" t="s">
        <v>161</v>
      </c>
      <c r="C4" t="s">
        <v>163</v>
      </c>
      <c r="D4" t="s">
        <v>164</v>
      </c>
      <c r="E4" t="s">
        <v>165</v>
      </c>
      <c r="F4" t="s">
        <v>162</v>
      </c>
    </row>
    <row r="5" spans="1:6" x14ac:dyDescent="0.3">
      <c r="B5">
        <v>100</v>
      </c>
      <c r="C5">
        <v>300</v>
      </c>
      <c r="D5">
        <v>50</v>
      </c>
      <c r="E5">
        <v>400</v>
      </c>
      <c r="F5">
        <v>2500</v>
      </c>
    </row>
    <row r="6" spans="1:6" x14ac:dyDescent="0.3">
      <c r="A6" s="5"/>
      <c r="B6">
        <v>100</v>
      </c>
      <c r="C6">
        <v>300</v>
      </c>
      <c r="D6">
        <v>50</v>
      </c>
      <c r="E6">
        <v>400</v>
      </c>
      <c r="F6">
        <v>2500</v>
      </c>
    </row>
    <row r="7" spans="1:6" x14ac:dyDescent="0.3">
      <c r="A7" s="5"/>
      <c r="B7">
        <v>100</v>
      </c>
      <c r="C7">
        <v>500</v>
      </c>
      <c r="D7">
        <v>1800</v>
      </c>
      <c r="E7">
        <v>2000</v>
      </c>
      <c r="F7">
        <v>2500</v>
      </c>
    </row>
    <row r="8" spans="1:6" x14ac:dyDescent="0.3">
      <c r="B8">
        <v>100</v>
      </c>
      <c r="C8">
        <v>500</v>
      </c>
      <c r="D8">
        <v>1800</v>
      </c>
      <c r="E8">
        <v>2000</v>
      </c>
      <c r="F8">
        <v>2500</v>
      </c>
    </row>
    <row r="10" spans="1:6" x14ac:dyDescent="0.3">
      <c r="B10" t="s">
        <v>161</v>
      </c>
      <c r="C10" t="s">
        <v>163</v>
      </c>
      <c r="D10" t="s">
        <v>164</v>
      </c>
      <c r="E10" t="s">
        <v>165</v>
      </c>
      <c r="F10" t="s">
        <v>162</v>
      </c>
    </row>
    <row r="11" spans="1:6" x14ac:dyDescent="0.3">
      <c r="B11">
        <v>75</v>
      </c>
      <c r="C11">
        <v>300</v>
      </c>
      <c r="D11">
        <v>50</v>
      </c>
      <c r="E11">
        <v>400</v>
      </c>
      <c r="F11">
        <v>2475</v>
      </c>
    </row>
    <row r="12" spans="1:6" x14ac:dyDescent="0.3">
      <c r="B12">
        <v>50</v>
      </c>
      <c r="C12">
        <v>200</v>
      </c>
      <c r="D12">
        <v>1750</v>
      </c>
      <c r="E12">
        <v>1600</v>
      </c>
      <c r="F12">
        <v>50</v>
      </c>
    </row>
    <row r="13" spans="1:6" x14ac:dyDescent="0.3">
      <c r="B13">
        <v>100</v>
      </c>
      <c r="C13">
        <v>300</v>
      </c>
      <c r="D13">
        <v>50</v>
      </c>
      <c r="E13">
        <v>400</v>
      </c>
      <c r="F13">
        <v>2500</v>
      </c>
    </row>
    <row r="14" spans="1:6" x14ac:dyDescent="0.3">
      <c r="B14">
        <v>100</v>
      </c>
      <c r="C14">
        <v>500</v>
      </c>
      <c r="D14">
        <v>1800</v>
      </c>
      <c r="E14">
        <v>2000</v>
      </c>
      <c r="F14">
        <v>2500</v>
      </c>
    </row>
  </sheetData>
  <phoneticPr fontId="1" type="noConversion"/>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F63DB-B0B7-4778-A853-21ACEDFF7344}">
  <sheetPr codeName="Sheet3"/>
  <dimension ref="A1:R41"/>
  <sheetViews>
    <sheetView zoomScale="85" zoomScaleNormal="85" workbookViewId="0">
      <selection activeCell="B41" sqref="B41:G41"/>
    </sheetView>
  </sheetViews>
  <sheetFormatPr defaultRowHeight="14" x14ac:dyDescent="0.3"/>
  <cols>
    <col min="1" max="1" width="12" customWidth="1"/>
    <col min="5" max="5" width="8.9140625" customWidth="1"/>
    <col min="6" max="6" width="9.83203125" customWidth="1"/>
    <col min="7" max="7" width="11.1640625" customWidth="1"/>
  </cols>
  <sheetData>
    <row r="1" spans="1:11" x14ac:dyDescent="0.3">
      <c r="A1" t="s">
        <v>166</v>
      </c>
      <c r="B1" t="s">
        <v>167</v>
      </c>
      <c r="E1" t="s">
        <v>170</v>
      </c>
    </row>
    <row r="2" spans="1:11" x14ac:dyDescent="0.3">
      <c r="D2" t="s">
        <v>169</v>
      </c>
      <c r="E2" t="s">
        <v>450</v>
      </c>
      <c r="F2" t="s">
        <v>563</v>
      </c>
      <c r="G2" t="s">
        <v>7</v>
      </c>
      <c r="H2" t="s">
        <v>451</v>
      </c>
      <c r="I2" t="s">
        <v>160</v>
      </c>
      <c r="J2" t="s">
        <v>455</v>
      </c>
      <c r="K2" t="s">
        <v>633</v>
      </c>
    </row>
    <row r="3" spans="1:11" x14ac:dyDescent="0.3">
      <c r="D3" s="7" t="s">
        <v>168</v>
      </c>
      <c r="E3" s="7">
        <v>82</v>
      </c>
      <c r="F3" s="7">
        <v>80</v>
      </c>
      <c r="H3" s="7">
        <v>83</v>
      </c>
      <c r="J3" s="7">
        <v>79</v>
      </c>
    </row>
    <row r="4" spans="1:11" x14ac:dyDescent="0.3">
      <c r="D4" s="7" t="s">
        <v>17</v>
      </c>
      <c r="E4" s="7">
        <v>121</v>
      </c>
      <c r="F4" s="7">
        <v>110</v>
      </c>
      <c r="H4" s="7">
        <v>128</v>
      </c>
      <c r="J4" s="7">
        <v>148</v>
      </c>
    </row>
    <row r="5" spans="1:11" x14ac:dyDescent="0.3">
      <c r="D5" s="7" t="s">
        <v>13</v>
      </c>
      <c r="E5" s="7">
        <v>185</v>
      </c>
      <c r="F5" s="7">
        <v>110</v>
      </c>
      <c r="G5" s="7">
        <v>16.5</v>
      </c>
      <c r="H5" s="7">
        <v>192</v>
      </c>
      <c r="I5" s="7">
        <v>44</v>
      </c>
      <c r="J5" s="7">
        <v>305</v>
      </c>
      <c r="K5" s="7">
        <v>30</v>
      </c>
    </row>
    <row r="6" spans="1:11" x14ac:dyDescent="0.3">
      <c r="D6" s="7" t="s">
        <v>14</v>
      </c>
      <c r="E6" s="7">
        <v>255</v>
      </c>
      <c r="F6" s="7">
        <v>110</v>
      </c>
      <c r="G6" s="7">
        <v>36</v>
      </c>
      <c r="H6" s="7">
        <v>240</v>
      </c>
      <c r="I6" s="7">
        <v>91</v>
      </c>
      <c r="J6" s="7">
        <v>527</v>
      </c>
      <c r="K6" s="7">
        <v>65</v>
      </c>
    </row>
    <row r="7" spans="1:11" x14ac:dyDescent="0.3">
      <c r="D7" s="7" t="s">
        <v>119</v>
      </c>
      <c r="E7" s="7">
        <v>278</v>
      </c>
      <c r="F7" s="7">
        <v>110</v>
      </c>
      <c r="G7" s="7">
        <v>84</v>
      </c>
      <c r="H7" s="7">
        <v>283</v>
      </c>
      <c r="I7" s="7">
        <v>175</v>
      </c>
      <c r="J7" s="7">
        <v>894</v>
      </c>
      <c r="K7" s="7">
        <v>131</v>
      </c>
    </row>
    <row r="8" spans="1:11" x14ac:dyDescent="0.3">
      <c r="C8">
        <v>320</v>
      </c>
      <c r="D8" t="s">
        <v>15</v>
      </c>
      <c r="E8" s="7">
        <v>1417</v>
      </c>
      <c r="F8">
        <v>110</v>
      </c>
      <c r="G8">
        <v>326</v>
      </c>
      <c r="H8" s="7">
        <v>1420</v>
      </c>
      <c r="I8">
        <v>334</v>
      </c>
      <c r="J8" s="7">
        <v>1379</v>
      </c>
      <c r="K8" s="7">
        <v>315</v>
      </c>
    </row>
    <row r="9" spans="1:11" x14ac:dyDescent="0.3">
      <c r="C9">
        <v>581</v>
      </c>
      <c r="D9" t="s">
        <v>96</v>
      </c>
      <c r="E9" s="7">
        <v>1694</v>
      </c>
      <c r="F9">
        <v>110</v>
      </c>
      <c r="G9">
        <v>574</v>
      </c>
      <c r="H9" s="7">
        <v>1670</v>
      </c>
      <c r="I9">
        <v>600</v>
      </c>
      <c r="J9" s="7">
        <v>1529</v>
      </c>
      <c r="K9" s="7">
        <v>577</v>
      </c>
    </row>
    <row r="10" spans="1:11" x14ac:dyDescent="0.3">
      <c r="C10">
        <v>889</v>
      </c>
      <c r="D10" t="s">
        <v>19</v>
      </c>
      <c r="E10" s="7">
        <v>1862</v>
      </c>
      <c r="F10">
        <v>110</v>
      </c>
      <c r="G10">
        <v>904</v>
      </c>
      <c r="H10" s="7">
        <v>1817</v>
      </c>
      <c r="I10">
        <v>979</v>
      </c>
      <c r="J10" s="7">
        <v>1589</v>
      </c>
      <c r="K10" s="7">
        <v>930</v>
      </c>
    </row>
    <row r="11" spans="1:11" x14ac:dyDescent="0.3">
      <c r="C11">
        <v>1285</v>
      </c>
      <c r="D11" t="s">
        <v>171</v>
      </c>
      <c r="E11" s="7">
        <v>1980</v>
      </c>
      <c r="F11">
        <v>110</v>
      </c>
      <c r="G11">
        <v>1267</v>
      </c>
      <c r="H11" s="7">
        <v>1859</v>
      </c>
      <c r="I11">
        <v>1485</v>
      </c>
      <c r="J11" s="7">
        <v>1666</v>
      </c>
      <c r="K11" s="7">
        <v>1467</v>
      </c>
    </row>
    <row r="12" spans="1:11" x14ac:dyDescent="0.3">
      <c r="C12">
        <v>1565</v>
      </c>
      <c r="D12" t="s">
        <v>172</v>
      </c>
      <c r="E12" s="7">
        <v>2025</v>
      </c>
      <c r="F12">
        <v>110</v>
      </c>
      <c r="G12">
        <v>1632</v>
      </c>
      <c r="H12" s="7">
        <v>2009</v>
      </c>
      <c r="I12">
        <v>1988</v>
      </c>
      <c r="J12" s="7">
        <v>1666</v>
      </c>
      <c r="K12" s="7">
        <v>1829</v>
      </c>
    </row>
    <row r="13" spans="1:11" x14ac:dyDescent="0.3">
      <c r="C13">
        <v>1935</v>
      </c>
      <c r="D13" t="s">
        <v>173</v>
      </c>
      <c r="E13" s="7">
        <v>2035</v>
      </c>
      <c r="F13">
        <v>110</v>
      </c>
      <c r="G13">
        <v>1866</v>
      </c>
      <c r="H13" s="7">
        <v>1985</v>
      </c>
      <c r="I13">
        <v>2285</v>
      </c>
      <c r="J13" s="7">
        <v>1666</v>
      </c>
      <c r="K13" s="7">
        <v>1974</v>
      </c>
    </row>
    <row r="14" spans="1:11" x14ac:dyDescent="0.3">
      <c r="C14">
        <v>2089</v>
      </c>
      <c r="D14" t="s">
        <v>174</v>
      </c>
      <c r="E14" s="7">
        <v>2049</v>
      </c>
      <c r="F14">
        <v>110</v>
      </c>
      <c r="G14">
        <v>2059</v>
      </c>
      <c r="H14" s="7">
        <v>1990</v>
      </c>
      <c r="I14">
        <v>2294</v>
      </c>
      <c r="J14" s="7">
        <v>1666</v>
      </c>
      <c r="K14" s="7">
        <v>2156</v>
      </c>
    </row>
    <row r="15" spans="1:11" x14ac:dyDescent="0.3">
      <c r="C15">
        <v>2200</v>
      </c>
      <c r="D15" t="s">
        <v>412</v>
      </c>
      <c r="E15" s="7">
        <v>2060</v>
      </c>
      <c r="F15">
        <v>110</v>
      </c>
      <c r="G15">
        <v>2176</v>
      </c>
      <c r="H15" s="7">
        <v>1983</v>
      </c>
      <c r="I15">
        <v>2270</v>
      </c>
      <c r="J15" s="7">
        <v>1666</v>
      </c>
      <c r="K15" s="7">
        <v>2200</v>
      </c>
    </row>
    <row r="16" spans="1:11" x14ac:dyDescent="0.3">
      <c r="C16">
        <v>2200</v>
      </c>
      <c r="D16" t="s">
        <v>335</v>
      </c>
      <c r="E16" s="7">
        <v>2021</v>
      </c>
      <c r="F16">
        <v>110</v>
      </c>
      <c r="G16">
        <v>2235</v>
      </c>
      <c r="H16" s="7">
        <v>2009</v>
      </c>
      <c r="I16">
        <v>2280</v>
      </c>
      <c r="J16" s="7">
        <v>1666</v>
      </c>
      <c r="K16" s="7">
        <v>2246</v>
      </c>
    </row>
    <row r="17" spans="1:18" x14ac:dyDescent="0.3">
      <c r="D17" t="s">
        <v>453</v>
      </c>
    </row>
    <row r="18" spans="1:18" x14ac:dyDescent="0.3">
      <c r="D18" t="s">
        <v>452</v>
      </c>
    </row>
    <row r="19" spans="1:18" x14ac:dyDescent="0.3">
      <c r="D19" t="s">
        <v>454</v>
      </c>
    </row>
    <row r="23" spans="1:18" x14ac:dyDescent="0.3">
      <c r="A23" t="s">
        <v>200</v>
      </c>
      <c r="B23" t="s">
        <v>186</v>
      </c>
      <c r="C23" t="s">
        <v>187</v>
      </c>
      <c r="D23" t="s">
        <v>188</v>
      </c>
      <c r="E23" t="s">
        <v>189</v>
      </c>
    </row>
    <row r="24" spans="1:18" x14ac:dyDescent="0.3">
      <c r="B24">
        <v>1</v>
      </c>
      <c r="C24" s="6" t="s">
        <v>190</v>
      </c>
      <c r="D24" s="6" t="s">
        <v>191</v>
      </c>
      <c r="E24" s="6" t="s">
        <v>192</v>
      </c>
      <c r="R24" s="11"/>
    </row>
    <row r="25" spans="1:18" x14ac:dyDescent="0.3">
      <c r="B25">
        <v>4</v>
      </c>
      <c r="C25" s="6" t="s">
        <v>190</v>
      </c>
      <c r="D25" s="6" t="s">
        <v>193</v>
      </c>
      <c r="E25" s="6" t="s">
        <v>194</v>
      </c>
    </row>
    <row r="26" spans="1:18" x14ac:dyDescent="0.3">
      <c r="B26">
        <v>8</v>
      </c>
      <c r="C26" s="6" t="s">
        <v>190</v>
      </c>
      <c r="D26" s="6" t="s">
        <v>195</v>
      </c>
      <c r="E26" s="6" t="s">
        <v>196</v>
      </c>
    </row>
    <row r="27" spans="1:18" x14ac:dyDescent="0.3">
      <c r="B27">
        <v>16</v>
      </c>
      <c r="C27" s="6" t="s">
        <v>197</v>
      </c>
      <c r="D27" s="6" t="s">
        <v>195</v>
      </c>
      <c r="E27" s="6" t="s">
        <v>198</v>
      </c>
    </row>
    <row r="28" spans="1:18" x14ac:dyDescent="0.3">
      <c r="B28">
        <v>32</v>
      </c>
      <c r="C28" s="6" t="s">
        <v>199</v>
      </c>
      <c r="D28" s="6" t="s">
        <v>195</v>
      </c>
      <c r="E28" s="6" t="s">
        <v>198</v>
      </c>
    </row>
    <row r="30" spans="1:18" x14ac:dyDescent="0.3">
      <c r="A30" t="s">
        <v>201</v>
      </c>
      <c r="B30" t="s">
        <v>213</v>
      </c>
      <c r="C30" s="6" t="s">
        <v>619</v>
      </c>
      <c r="D30" t="s">
        <v>214</v>
      </c>
      <c r="E30" t="s">
        <v>215</v>
      </c>
      <c r="F30" t="s">
        <v>425</v>
      </c>
      <c r="G30" t="s">
        <v>424</v>
      </c>
    </row>
    <row r="31" spans="1:18" x14ac:dyDescent="0.3">
      <c r="A31" t="s">
        <v>7</v>
      </c>
      <c r="B31" s="6">
        <v>300</v>
      </c>
      <c r="C31">
        <v>611</v>
      </c>
      <c r="D31" s="6">
        <v>1100</v>
      </c>
      <c r="E31" s="6">
        <v>1800</v>
      </c>
      <c r="F31" s="6">
        <v>2300</v>
      </c>
      <c r="G31" s="6">
        <v>2300</v>
      </c>
    </row>
    <row r="32" spans="1:18" x14ac:dyDescent="0.3">
      <c r="A32" t="s">
        <v>202</v>
      </c>
      <c r="B32" s="6">
        <v>300</v>
      </c>
      <c r="D32" s="6">
        <v>850</v>
      </c>
      <c r="E32" s="6">
        <v>1300</v>
      </c>
      <c r="F32" s="6">
        <v>1300</v>
      </c>
      <c r="G32" s="6">
        <v>1300</v>
      </c>
    </row>
    <row r="33" spans="1:7" x14ac:dyDescent="0.3">
      <c r="A33" t="s">
        <v>160</v>
      </c>
      <c r="B33">
        <v>306</v>
      </c>
      <c r="D33">
        <v>1069</v>
      </c>
      <c r="E33">
        <v>2037</v>
      </c>
      <c r="F33">
        <v>2310</v>
      </c>
      <c r="G33">
        <v>2327</v>
      </c>
    </row>
    <row r="34" spans="1:7" x14ac:dyDescent="0.3">
      <c r="A34" t="s">
        <v>618</v>
      </c>
      <c r="B34">
        <v>311</v>
      </c>
      <c r="C34">
        <v>585</v>
      </c>
      <c r="D34">
        <v>1083</v>
      </c>
      <c r="E34">
        <v>1906</v>
      </c>
      <c r="F34">
        <v>1880</v>
      </c>
      <c r="G34">
        <v>1876</v>
      </c>
    </row>
    <row r="37" spans="1:7" x14ac:dyDescent="0.3">
      <c r="A37" t="s">
        <v>546</v>
      </c>
    </row>
    <row r="39" spans="1:7" x14ac:dyDescent="0.3">
      <c r="A39" t="s">
        <v>746</v>
      </c>
      <c r="B39" t="s">
        <v>213</v>
      </c>
      <c r="C39" s="6" t="s">
        <v>619</v>
      </c>
      <c r="D39" t="s">
        <v>214</v>
      </c>
      <c r="E39" t="s">
        <v>215</v>
      </c>
      <c r="F39" t="s">
        <v>425</v>
      </c>
      <c r="G39" t="s">
        <v>424</v>
      </c>
    </row>
    <row r="40" spans="1:7" x14ac:dyDescent="0.3">
      <c r="A40" t="s">
        <v>7</v>
      </c>
      <c r="B40">
        <v>16</v>
      </c>
      <c r="C40">
        <v>26</v>
      </c>
      <c r="D40">
        <v>44</v>
      </c>
      <c r="E40">
        <v>59</v>
      </c>
      <c r="F40">
        <v>90</v>
      </c>
      <c r="G40">
        <v>92</v>
      </c>
    </row>
    <row r="41" spans="1:7" x14ac:dyDescent="0.3">
      <c r="B41">
        <v>32</v>
      </c>
      <c r="C41">
        <v>50</v>
      </c>
      <c r="D41">
        <v>63</v>
      </c>
      <c r="E41">
        <v>70</v>
      </c>
      <c r="F41">
        <v>87</v>
      </c>
      <c r="G41">
        <v>75</v>
      </c>
    </row>
  </sheetData>
  <phoneticPr fontId="1" type="noConversion"/>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5A95F-99E6-4716-98A8-16B041129218}">
  <sheetPr codeName="Sheet4"/>
  <dimension ref="A3:AB104"/>
  <sheetViews>
    <sheetView topLeftCell="F75" zoomScale="70" zoomScaleNormal="70" workbookViewId="0">
      <selection activeCell="Y85" sqref="Y85"/>
    </sheetView>
  </sheetViews>
  <sheetFormatPr defaultRowHeight="14" x14ac:dyDescent="0.3"/>
  <sheetData>
    <row r="3" spans="2:3" x14ac:dyDescent="0.3">
      <c r="C3" t="s">
        <v>180</v>
      </c>
    </row>
    <row r="4" spans="2:3" x14ac:dyDescent="0.3">
      <c r="B4" t="s">
        <v>175</v>
      </c>
      <c r="C4">
        <v>350</v>
      </c>
    </row>
    <row r="5" spans="2:3" x14ac:dyDescent="0.3">
      <c r="B5" t="s">
        <v>176</v>
      </c>
      <c r="C5">
        <f>1100/4</f>
        <v>275</v>
      </c>
    </row>
    <row r="6" spans="2:3" x14ac:dyDescent="0.3">
      <c r="B6" t="s">
        <v>177</v>
      </c>
      <c r="C6">
        <f>4000/16</f>
        <v>250</v>
      </c>
    </row>
    <row r="7" spans="2:3" x14ac:dyDescent="0.3">
      <c r="B7" t="s">
        <v>178</v>
      </c>
      <c r="C7">
        <v>234</v>
      </c>
    </row>
    <row r="8" spans="2:3" x14ac:dyDescent="0.3">
      <c r="B8" t="s">
        <v>179</v>
      </c>
      <c r="C8">
        <v>240</v>
      </c>
    </row>
    <row r="22" spans="1:11" x14ac:dyDescent="0.3">
      <c r="B22" t="s">
        <v>476</v>
      </c>
      <c r="F22" t="s">
        <v>479</v>
      </c>
    </row>
    <row r="23" spans="1:11" x14ac:dyDescent="0.3">
      <c r="A23" s="34" t="s">
        <v>481</v>
      </c>
      <c r="B23" t="s">
        <v>461</v>
      </c>
      <c r="C23">
        <v>100</v>
      </c>
      <c r="D23">
        <v>256</v>
      </c>
      <c r="E23">
        <v>512</v>
      </c>
      <c r="F23">
        <v>1024</v>
      </c>
      <c r="G23" t="s">
        <v>462</v>
      </c>
      <c r="H23" t="s">
        <v>463</v>
      </c>
      <c r="I23" t="s">
        <v>477</v>
      </c>
      <c r="J23" t="s">
        <v>478</v>
      </c>
      <c r="K23" t="s">
        <v>480</v>
      </c>
    </row>
    <row r="24" spans="1:11" x14ac:dyDescent="0.3">
      <c r="A24" s="34"/>
      <c r="B24" t="s">
        <v>467</v>
      </c>
      <c r="C24">
        <v>18301</v>
      </c>
      <c r="D24">
        <v>18396</v>
      </c>
      <c r="E24">
        <v>18362</v>
      </c>
      <c r="F24">
        <v>18974</v>
      </c>
      <c r="G24">
        <v>16147</v>
      </c>
      <c r="H24">
        <v>15049</v>
      </c>
      <c r="I24">
        <v>14219</v>
      </c>
      <c r="J24">
        <v>11053</v>
      </c>
      <c r="K24">
        <v>749</v>
      </c>
    </row>
    <row r="25" spans="1:11" x14ac:dyDescent="0.3">
      <c r="A25" s="34"/>
      <c r="B25" t="s">
        <v>465</v>
      </c>
      <c r="C25">
        <v>492249</v>
      </c>
      <c r="D25">
        <v>457006</v>
      </c>
      <c r="E25">
        <v>417023</v>
      </c>
      <c r="F25">
        <v>369296</v>
      </c>
      <c r="G25">
        <v>270073</v>
      </c>
      <c r="H25">
        <v>179578</v>
      </c>
      <c r="I25">
        <v>113465</v>
      </c>
      <c r="J25">
        <v>62996</v>
      </c>
      <c r="K25">
        <v>1112</v>
      </c>
    </row>
    <row r="26" spans="1:11" x14ac:dyDescent="0.3">
      <c r="A26" s="34"/>
      <c r="B26" t="s">
        <v>466</v>
      </c>
      <c r="C26">
        <v>479989</v>
      </c>
      <c r="D26">
        <v>458691</v>
      </c>
      <c r="E26">
        <v>412596</v>
      </c>
      <c r="F26">
        <v>344778</v>
      </c>
      <c r="G26">
        <v>262745</v>
      </c>
      <c r="H26">
        <v>178548</v>
      </c>
      <c r="I26">
        <v>112293</v>
      </c>
      <c r="J26">
        <v>64418</v>
      </c>
      <c r="K26">
        <v>1026</v>
      </c>
    </row>
    <row r="27" spans="1:11" x14ac:dyDescent="0.3">
      <c r="A27" s="34"/>
      <c r="B27" t="s">
        <v>464</v>
      </c>
      <c r="C27">
        <v>505632</v>
      </c>
      <c r="D27">
        <v>478617</v>
      </c>
      <c r="E27">
        <v>434069</v>
      </c>
      <c r="F27">
        <v>382145</v>
      </c>
      <c r="G27">
        <v>303180</v>
      </c>
      <c r="H27">
        <v>203864</v>
      </c>
      <c r="I27">
        <v>123132</v>
      </c>
      <c r="J27">
        <v>69790</v>
      </c>
      <c r="K27">
        <v>1334</v>
      </c>
    </row>
    <row r="29" spans="1:11" x14ac:dyDescent="0.3">
      <c r="A29" s="36" t="s">
        <v>484</v>
      </c>
      <c r="B29" t="s">
        <v>461</v>
      </c>
      <c r="C29">
        <v>100</v>
      </c>
      <c r="D29">
        <v>256</v>
      </c>
      <c r="E29">
        <v>512</v>
      </c>
      <c r="F29">
        <v>1024</v>
      </c>
      <c r="G29" t="s">
        <v>462</v>
      </c>
      <c r="H29" t="s">
        <v>463</v>
      </c>
      <c r="I29" t="s">
        <v>477</v>
      </c>
      <c r="J29" t="s">
        <v>478</v>
      </c>
      <c r="K29" t="s">
        <v>480</v>
      </c>
    </row>
    <row r="30" spans="1:11" x14ac:dyDescent="0.3">
      <c r="A30" s="36"/>
      <c r="B30" t="s">
        <v>573</v>
      </c>
      <c r="C30">
        <v>2.2000000000000002</v>
      </c>
      <c r="D30">
        <v>5</v>
      </c>
      <c r="E30">
        <v>9.5</v>
      </c>
      <c r="F30">
        <v>19</v>
      </c>
      <c r="G30">
        <v>32</v>
      </c>
      <c r="H30">
        <v>59.2</v>
      </c>
      <c r="I30">
        <v>111.5</v>
      </c>
      <c r="J30">
        <v>173</v>
      </c>
      <c r="K30">
        <v>749</v>
      </c>
    </row>
    <row r="31" spans="1:11" x14ac:dyDescent="0.3">
      <c r="A31" s="36"/>
      <c r="B31" t="s">
        <v>575</v>
      </c>
      <c r="C31">
        <v>60.1</v>
      </c>
      <c r="D31">
        <v>123.8</v>
      </c>
      <c r="E31">
        <v>214.8</v>
      </c>
      <c r="F31">
        <v>370.5</v>
      </c>
      <c r="G31">
        <v>534.70000000000005</v>
      </c>
      <c r="H31">
        <v>706.3</v>
      </c>
      <c r="I31">
        <v>889.5</v>
      </c>
      <c r="J31">
        <v>986</v>
      </c>
      <c r="K31">
        <v>1112</v>
      </c>
    </row>
    <row r="32" spans="1:11" x14ac:dyDescent="0.3">
      <c r="A32" s="36"/>
      <c r="B32" t="s">
        <v>466</v>
      </c>
      <c r="C32">
        <v>58.6</v>
      </c>
      <c r="D32">
        <v>124.2</v>
      </c>
      <c r="E32">
        <v>212.5</v>
      </c>
      <c r="F32">
        <v>345.9</v>
      </c>
      <c r="G32">
        <v>520.20000000000005</v>
      </c>
      <c r="H32">
        <v>702.2</v>
      </c>
      <c r="I32">
        <v>880.3</v>
      </c>
      <c r="J32">
        <v>1008.3</v>
      </c>
      <c r="K32">
        <v>1026.4000000000001</v>
      </c>
    </row>
    <row r="33" spans="1:15" x14ac:dyDescent="0.3">
      <c r="A33" s="36"/>
      <c r="B33" t="s">
        <v>574</v>
      </c>
      <c r="C33">
        <v>61.7</v>
      </c>
      <c r="D33">
        <v>129.6</v>
      </c>
      <c r="E33">
        <v>223.5</v>
      </c>
      <c r="F33">
        <v>383.4</v>
      </c>
      <c r="G33">
        <v>600.20000000000005</v>
      </c>
      <c r="H33">
        <v>801.8</v>
      </c>
      <c r="I33">
        <v>965.3</v>
      </c>
      <c r="J33">
        <v>1092.3</v>
      </c>
      <c r="K33">
        <v>1334.5</v>
      </c>
    </row>
    <row r="35" spans="1:15" x14ac:dyDescent="0.3">
      <c r="A35" s="36" t="s">
        <v>483</v>
      </c>
      <c r="B35" t="s">
        <v>461</v>
      </c>
      <c r="C35">
        <v>100</v>
      </c>
      <c r="D35">
        <v>256</v>
      </c>
      <c r="E35">
        <v>512</v>
      </c>
      <c r="F35">
        <v>1024</v>
      </c>
      <c r="G35" t="s">
        <v>462</v>
      </c>
      <c r="H35" t="s">
        <v>334</v>
      </c>
      <c r="I35" t="s">
        <v>477</v>
      </c>
      <c r="J35" t="s">
        <v>478</v>
      </c>
      <c r="K35" t="s">
        <v>480</v>
      </c>
    </row>
    <row r="36" spans="1:15" x14ac:dyDescent="0.3">
      <c r="A36" s="36"/>
      <c r="B36" t="s">
        <v>467</v>
      </c>
      <c r="C36">
        <f>1000000/C24</f>
        <v>54.641822851210314</v>
      </c>
      <c r="D36">
        <f t="shared" ref="D36:K36" si="0">1000000/D24</f>
        <v>54.359643400739294</v>
      </c>
      <c r="E36">
        <f t="shared" si="0"/>
        <v>54.460298442435466</v>
      </c>
      <c r="F36">
        <f t="shared" si="0"/>
        <v>52.703699799725939</v>
      </c>
      <c r="G36">
        <f t="shared" si="0"/>
        <v>61.93100885613427</v>
      </c>
      <c r="H36">
        <f t="shared" si="0"/>
        <v>66.449597979932221</v>
      </c>
      <c r="I36">
        <f t="shared" si="0"/>
        <v>70.328433785779595</v>
      </c>
      <c r="J36">
        <f t="shared" si="0"/>
        <v>90.473174703700352</v>
      </c>
      <c r="K36">
        <f t="shared" si="0"/>
        <v>1335.1134846461948</v>
      </c>
    </row>
    <row r="37" spans="1:15" x14ac:dyDescent="0.3">
      <c r="A37" s="36"/>
      <c r="B37" t="s">
        <v>465</v>
      </c>
      <c r="C37">
        <f t="shared" ref="C37:K37" si="1">1000000/C25</f>
        <v>2.0314921919597602</v>
      </c>
      <c r="D37">
        <f t="shared" si="1"/>
        <v>2.1881550789267536</v>
      </c>
      <c r="E37">
        <f t="shared" si="1"/>
        <v>2.3979492737810624</v>
      </c>
      <c r="F37">
        <f t="shared" si="1"/>
        <v>2.7078549456262726</v>
      </c>
      <c r="G37">
        <f t="shared" si="1"/>
        <v>3.7027026026296594</v>
      </c>
      <c r="H37">
        <f t="shared" si="1"/>
        <v>5.5686108543362769</v>
      </c>
      <c r="I37">
        <f t="shared" si="1"/>
        <v>8.8132904419865152</v>
      </c>
      <c r="J37">
        <f t="shared" si="1"/>
        <v>15.874023747539526</v>
      </c>
      <c r="K37">
        <f t="shared" si="1"/>
        <v>899.2805755395683</v>
      </c>
    </row>
    <row r="38" spans="1:15" x14ac:dyDescent="0.3">
      <c r="A38" s="36"/>
      <c r="B38" t="s">
        <v>466</v>
      </c>
      <c r="C38">
        <f t="shared" ref="C38:K38" si="2">1000000/C26</f>
        <v>2.0833810774830255</v>
      </c>
      <c r="D38">
        <f t="shared" si="2"/>
        <v>2.1801168978680638</v>
      </c>
      <c r="E38">
        <f t="shared" si="2"/>
        <v>2.4236783681858283</v>
      </c>
      <c r="F38">
        <f t="shared" si="2"/>
        <v>2.9004170799761004</v>
      </c>
      <c r="G38">
        <f t="shared" si="2"/>
        <v>3.8059715693923768</v>
      </c>
      <c r="H38">
        <f t="shared" si="2"/>
        <v>5.6007348164079129</v>
      </c>
      <c r="I38">
        <f t="shared" si="2"/>
        <v>8.9052745941421101</v>
      </c>
      <c r="J38">
        <f t="shared" si="2"/>
        <v>15.523611412959111</v>
      </c>
      <c r="K38">
        <f t="shared" si="2"/>
        <v>974.65886939571146</v>
      </c>
    </row>
    <row r="39" spans="1:15" x14ac:dyDescent="0.3">
      <c r="A39" s="36"/>
      <c r="B39" t="s">
        <v>464</v>
      </c>
      <c r="C39">
        <f t="shared" ref="C39:K39" si="3">1000000/C27</f>
        <v>1.9777229289285487</v>
      </c>
      <c r="D39">
        <f t="shared" si="3"/>
        <v>2.0893532824784744</v>
      </c>
      <c r="E39">
        <f t="shared" si="3"/>
        <v>2.3037811960771215</v>
      </c>
      <c r="F39">
        <f t="shared" si="3"/>
        <v>2.6168077562181895</v>
      </c>
      <c r="G39">
        <f t="shared" si="3"/>
        <v>3.298370604921169</v>
      </c>
      <c r="H39">
        <f t="shared" si="3"/>
        <v>4.9052309382725738</v>
      </c>
      <c r="I39">
        <f t="shared" si="3"/>
        <v>8.1213656888542385</v>
      </c>
      <c r="J39">
        <f t="shared" si="3"/>
        <v>14.32870038687491</v>
      </c>
      <c r="K39">
        <f t="shared" si="3"/>
        <v>749.62518740629685</v>
      </c>
    </row>
    <row r="41" spans="1:15" x14ac:dyDescent="0.3">
      <c r="B41" t="s">
        <v>485</v>
      </c>
      <c r="D41" t="s">
        <v>486</v>
      </c>
    </row>
    <row r="42" spans="1:15" x14ac:dyDescent="0.3">
      <c r="B42" t="s">
        <v>482</v>
      </c>
      <c r="C42" t="s">
        <v>490</v>
      </c>
      <c r="D42" t="s">
        <v>487</v>
      </c>
      <c r="E42" t="s">
        <v>488</v>
      </c>
      <c r="F42" t="s">
        <v>489</v>
      </c>
      <c r="L42" t="s">
        <v>492</v>
      </c>
      <c r="N42" t="s">
        <v>496</v>
      </c>
    </row>
    <row r="43" spans="1:15" x14ac:dyDescent="0.3">
      <c r="C43">
        <v>1</v>
      </c>
      <c r="D43">
        <v>0.105</v>
      </c>
      <c r="E43">
        <v>0.14499999999999999</v>
      </c>
      <c r="L43" t="s">
        <v>493</v>
      </c>
      <c r="M43">
        <v>1893443</v>
      </c>
      <c r="N43" t="s">
        <v>499</v>
      </c>
      <c r="O43" t="s">
        <v>500</v>
      </c>
    </row>
    <row r="44" spans="1:15" x14ac:dyDescent="0.3">
      <c r="C44">
        <v>8</v>
      </c>
      <c r="D44">
        <v>6.3E-2</v>
      </c>
      <c r="E44">
        <v>9.1999999999999998E-2</v>
      </c>
      <c r="L44" t="s">
        <v>498</v>
      </c>
      <c r="M44">
        <v>472449</v>
      </c>
      <c r="N44" t="s">
        <v>495</v>
      </c>
      <c r="O44" t="s">
        <v>497</v>
      </c>
    </row>
    <row r="45" spans="1:15" x14ac:dyDescent="0.3">
      <c r="C45">
        <v>32</v>
      </c>
      <c r="D45">
        <v>6.0999999999999999E-2</v>
      </c>
      <c r="E45">
        <v>0.09</v>
      </c>
      <c r="L45" t="s">
        <v>494</v>
      </c>
    </row>
    <row r="46" spans="1:15" x14ac:dyDescent="0.3">
      <c r="C46">
        <v>128</v>
      </c>
      <c r="D46">
        <v>6.2E-2</v>
      </c>
      <c r="E46">
        <v>9.4E-2</v>
      </c>
      <c r="L46" t="s">
        <v>493</v>
      </c>
      <c r="M46">
        <v>1811963</v>
      </c>
      <c r="N46">
        <v>0.55200000000000005</v>
      </c>
      <c r="O46">
        <v>221.2</v>
      </c>
    </row>
    <row r="47" spans="1:15" x14ac:dyDescent="0.3">
      <c r="C47">
        <v>1000</v>
      </c>
      <c r="D47">
        <v>7.0000000000000007E-2</v>
      </c>
      <c r="E47">
        <v>0.13100000000000001</v>
      </c>
      <c r="L47" t="s">
        <v>498</v>
      </c>
      <c r="M47">
        <v>598550</v>
      </c>
      <c r="N47">
        <v>6.6790000000000003</v>
      </c>
      <c r="O47">
        <v>73.099999999999994</v>
      </c>
    </row>
    <row r="48" spans="1:15" x14ac:dyDescent="0.3">
      <c r="L48" t="s">
        <v>501</v>
      </c>
    </row>
    <row r="49" spans="1:15" x14ac:dyDescent="0.3">
      <c r="B49" t="s">
        <v>491</v>
      </c>
      <c r="L49" t="s">
        <v>493</v>
      </c>
      <c r="M49">
        <v>1761104</v>
      </c>
      <c r="N49">
        <v>0.56799999999999995</v>
      </c>
      <c r="O49">
        <v>215</v>
      </c>
    </row>
    <row r="50" spans="1:15" x14ac:dyDescent="0.3">
      <c r="C50" t="s">
        <v>490</v>
      </c>
      <c r="D50">
        <v>128</v>
      </c>
      <c r="E50" t="s">
        <v>488</v>
      </c>
      <c r="L50" t="s">
        <v>498</v>
      </c>
      <c r="M50">
        <v>649014</v>
      </c>
      <c r="N50">
        <v>6.16</v>
      </c>
      <c r="O50">
        <v>79.2</v>
      </c>
    </row>
    <row r="51" spans="1:15" x14ac:dyDescent="0.3">
      <c r="C51">
        <v>1</v>
      </c>
      <c r="D51">
        <v>0.52500000000000002</v>
      </c>
      <c r="E51">
        <v>0.99</v>
      </c>
    </row>
    <row r="52" spans="1:15" x14ac:dyDescent="0.3">
      <c r="C52">
        <v>4</v>
      </c>
      <c r="D52">
        <v>0.32700000000000001</v>
      </c>
      <c r="E52">
        <v>1.0760000000000001</v>
      </c>
    </row>
    <row r="53" spans="1:15" x14ac:dyDescent="0.3">
      <c r="C53">
        <v>16</v>
      </c>
      <c r="D53">
        <v>0.29399999999999998</v>
      </c>
      <c r="E53">
        <v>1.0229999999999999</v>
      </c>
    </row>
    <row r="54" spans="1:15" x14ac:dyDescent="0.3">
      <c r="C54">
        <v>64</v>
      </c>
      <c r="D54">
        <v>0.27700000000000002</v>
      </c>
      <c r="E54">
        <v>1.0129999999999999</v>
      </c>
    </row>
    <row r="55" spans="1:15" x14ac:dyDescent="0.3">
      <c r="C55">
        <v>256</v>
      </c>
      <c r="D55">
        <v>0.27100000000000002</v>
      </c>
      <c r="E55">
        <v>1.0609999999999999</v>
      </c>
    </row>
    <row r="56" spans="1:15" x14ac:dyDescent="0.3">
      <c r="A56" s="38" t="s">
        <v>515</v>
      </c>
      <c r="B56" s="38"/>
      <c r="C56" s="38"/>
      <c r="D56" s="38"/>
      <c r="E56" s="38"/>
      <c r="F56" s="38"/>
      <c r="G56" s="38"/>
      <c r="H56" s="38"/>
      <c r="I56" s="38"/>
      <c r="J56" s="38"/>
      <c r="K56" s="38"/>
      <c r="L56" s="38"/>
    </row>
    <row r="57" spans="1:15" x14ac:dyDescent="0.3">
      <c r="A57" s="38"/>
      <c r="B57" s="38"/>
      <c r="C57" s="38"/>
      <c r="D57" s="38"/>
      <c r="E57" s="38"/>
      <c r="F57" s="38"/>
      <c r="G57" s="38"/>
      <c r="H57" s="38"/>
      <c r="I57" s="38"/>
      <c r="J57" s="38"/>
      <c r="K57" s="38"/>
      <c r="L57" s="38"/>
    </row>
    <row r="58" spans="1:15" x14ac:dyDescent="0.3">
      <c r="A58" s="30" t="s">
        <v>502</v>
      </c>
      <c r="B58" s="30"/>
      <c r="C58" s="30"/>
      <c r="D58" s="30"/>
    </row>
    <row r="59" spans="1:15" x14ac:dyDescent="0.3">
      <c r="A59" s="30"/>
      <c r="B59" s="30"/>
      <c r="C59" s="30"/>
      <c r="D59" s="30"/>
    </row>
    <row r="60" spans="1:15" ht="14" customHeight="1" x14ac:dyDescent="0.3">
      <c r="A60" s="30" t="s">
        <v>523</v>
      </c>
      <c r="B60" t="s">
        <v>503</v>
      </c>
      <c r="C60" s="31" t="s">
        <v>504</v>
      </c>
      <c r="D60" s="31"/>
      <c r="E60" t="s">
        <v>514</v>
      </c>
      <c r="F60" s="31" t="s">
        <v>513</v>
      </c>
      <c r="G60" s="31"/>
      <c r="H60" s="35" t="s">
        <v>510</v>
      </c>
      <c r="I60" s="35"/>
      <c r="J60" s="35"/>
      <c r="K60" s="35"/>
      <c r="L60" s="35"/>
    </row>
    <row r="61" spans="1:15" ht="14" customHeight="1" x14ac:dyDescent="0.3">
      <c r="A61" s="30"/>
      <c r="B61" t="s">
        <v>516</v>
      </c>
      <c r="C61" t="s">
        <v>481</v>
      </c>
      <c r="D61" t="s">
        <v>517</v>
      </c>
      <c r="E61" t="s">
        <v>516</v>
      </c>
      <c r="F61" t="s">
        <v>481</v>
      </c>
      <c r="G61" t="s">
        <v>517</v>
      </c>
      <c r="H61" s="35"/>
      <c r="I61" s="35"/>
      <c r="J61" s="35"/>
      <c r="K61" s="35"/>
      <c r="L61" s="35"/>
    </row>
    <row r="62" spans="1:15" x14ac:dyDescent="0.3">
      <c r="A62" t="s">
        <v>505</v>
      </c>
      <c r="B62" s="6">
        <v>1.81</v>
      </c>
      <c r="C62">
        <v>552602</v>
      </c>
      <c r="D62">
        <v>67.5</v>
      </c>
      <c r="E62">
        <v>1.843</v>
      </c>
      <c r="F62">
        <v>542721</v>
      </c>
      <c r="G62" s="1">
        <v>532.1</v>
      </c>
      <c r="H62" s="35"/>
      <c r="I62" s="35"/>
      <c r="J62" s="35"/>
      <c r="K62" s="35"/>
      <c r="L62" s="35"/>
    </row>
    <row r="63" spans="1:15" x14ac:dyDescent="0.3">
      <c r="A63" t="s">
        <v>507</v>
      </c>
      <c r="B63">
        <v>10.597</v>
      </c>
      <c r="C63">
        <v>377405</v>
      </c>
      <c r="D63">
        <v>46.1</v>
      </c>
      <c r="E63">
        <v>11.93</v>
      </c>
      <c r="F63">
        <v>335222</v>
      </c>
      <c r="G63" s="1">
        <v>328.6</v>
      </c>
      <c r="H63" s="35"/>
      <c r="I63" s="35"/>
      <c r="J63" s="35"/>
      <c r="K63" s="35"/>
      <c r="L63" s="35"/>
      <c r="M63" t="s">
        <v>620</v>
      </c>
    </row>
    <row r="64" spans="1:15" x14ac:dyDescent="0.3">
      <c r="A64" t="s">
        <v>506</v>
      </c>
      <c r="B64">
        <v>20.484000000000002</v>
      </c>
      <c r="C64">
        <v>390470</v>
      </c>
      <c r="D64">
        <v>47.7</v>
      </c>
      <c r="E64">
        <v>22.099</v>
      </c>
      <c r="F64">
        <v>361905</v>
      </c>
      <c r="G64" s="1">
        <v>354.8</v>
      </c>
      <c r="H64" s="35"/>
      <c r="I64" s="35"/>
      <c r="J64" s="35"/>
      <c r="K64" s="35"/>
      <c r="L64" s="35"/>
    </row>
    <row r="65" spans="1:28" x14ac:dyDescent="0.3">
      <c r="A65" t="s">
        <v>511</v>
      </c>
      <c r="B65">
        <v>38.585999999999999</v>
      </c>
      <c r="C65">
        <v>414632</v>
      </c>
      <c r="D65">
        <v>50.6</v>
      </c>
      <c r="E65">
        <v>42.487000000000002</v>
      </c>
      <c r="F65">
        <v>376417</v>
      </c>
      <c r="G65">
        <v>369</v>
      </c>
      <c r="H65" s="35"/>
      <c r="I65" s="35"/>
      <c r="J65" s="35"/>
      <c r="K65" s="35"/>
      <c r="L65" s="35"/>
    </row>
    <row r="66" spans="1:28" x14ac:dyDescent="0.3">
      <c r="A66" t="s">
        <v>509</v>
      </c>
      <c r="B66">
        <v>8.8160000000000007</v>
      </c>
      <c r="C66">
        <v>453610</v>
      </c>
      <c r="D66">
        <v>55.4</v>
      </c>
      <c r="E66">
        <v>8.9830000000000005</v>
      </c>
      <c r="F66">
        <v>445138</v>
      </c>
      <c r="G66" s="1">
        <v>436.4</v>
      </c>
      <c r="H66" s="35"/>
      <c r="I66" s="35"/>
      <c r="J66" s="35"/>
      <c r="K66" s="35"/>
      <c r="L66" s="35"/>
    </row>
    <row r="67" spans="1:28" x14ac:dyDescent="0.3">
      <c r="A67" t="s">
        <v>508</v>
      </c>
      <c r="B67">
        <v>11.398</v>
      </c>
      <c r="C67">
        <v>701275</v>
      </c>
      <c r="D67">
        <v>85.6</v>
      </c>
      <c r="E67">
        <v>13.196999999999999</v>
      </c>
      <c r="F67">
        <v>605932</v>
      </c>
      <c r="G67">
        <v>594</v>
      </c>
      <c r="N67" t="s">
        <v>531</v>
      </c>
    </row>
    <row r="68" spans="1:28" x14ac:dyDescent="0.3">
      <c r="A68" t="s">
        <v>512</v>
      </c>
      <c r="B68">
        <v>15.577</v>
      </c>
      <c r="C68">
        <v>1024914</v>
      </c>
      <c r="D68">
        <v>125.1</v>
      </c>
      <c r="E68">
        <v>21.513000000000002</v>
      </c>
      <c r="F68">
        <v>742486</v>
      </c>
      <c r="G68">
        <v>727.9</v>
      </c>
    </row>
    <row r="69" spans="1:28" x14ac:dyDescent="0.3">
      <c r="A69" t="s">
        <v>528</v>
      </c>
      <c r="B69">
        <v>1.861</v>
      </c>
      <c r="C69">
        <f>537244*4</f>
        <v>2148976</v>
      </c>
      <c r="D69">
        <f>65.6*4</f>
        <v>262.39999999999998</v>
      </c>
      <c r="E69">
        <v>2.1819999999999999</v>
      </c>
      <c r="F69">
        <f>458367*4</f>
        <v>1833468</v>
      </c>
      <c r="G69">
        <f>449.4*4</f>
        <v>1797.6</v>
      </c>
    </row>
    <row r="70" spans="1:28" x14ac:dyDescent="0.3">
      <c r="A70" t="s">
        <v>529</v>
      </c>
      <c r="B70">
        <v>2.2050000000000001</v>
      </c>
      <c r="C70">
        <f>453476*8</f>
        <v>3627808</v>
      </c>
      <c r="D70">
        <f>55.4*8</f>
        <v>443.2</v>
      </c>
      <c r="E70">
        <v>2.5150000000000001</v>
      </c>
      <c r="F70">
        <f>397658*8</f>
        <v>3181264</v>
      </c>
      <c r="G70">
        <f>389.9*8</f>
        <v>3119.2</v>
      </c>
    </row>
    <row r="71" spans="1:28" x14ac:dyDescent="0.3">
      <c r="A71" t="s">
        <v>530</v>
      </c>
      <c r="B71">
        <v>2.569</v>
      </c>
      <c r="C71">
        <f>389208*16</f>
        <v>6227328</v>
      </c>
      <c r="D71">
        <f>47.5*16</f>
        <v>760</v>
      </c>
      <c r="E71">
        <v>3.0710000000000002</v>
      </c>
      <c r="F71">
        <f>325591*16</f>
        <v>5209456</v>
      </c>
      <c r="G71">
        <f>319.2*16</f>
        <v>5107.2</v>
      </c>
    </row>
    <row r="73" spans="1:28" x14ac:dyDescent="0.3">
      <c r="A73" s="30" t="s">
        <v>522</v>
      </c>
      <c r="B73" s="31" t="s">
        <v>564</v>
      </c>
      <c r="C73" s="31"/>
      <c r="D73" s="31"/>
      <c r="E73" s="31" t="s">
        <v>565</v>
      </c>
      <c r="F73" s="31"/>
      <c r="G73" s="31"/>
    </row>
    <row r="74" spans="1:28" x14ac:dyDescent="0.3">
      <c r="A74" s="30"/>
      <c r="B74" t="s">
        <v>516</v>
      </c>
      <c r="C74" t="s">
        <v>481</v>
      </c>
      <c r="D74" t="s">
        <v>517</v>
      </c>
      <c r="E74" t="s">
        <v>516</v>
      </c>
      <c r="F74" t="s">
        <v>481</v>
      </c>
      <c r="G74" t="s">
        <v>517</v>
      </c>
      <c r="I74" t="s">
        <v>518</v>
      </c>
    </row>
    <row r="75" spans="1:28" x14ac:dyDescent="0.3">
      <c r="A75" t="s">
        <v>505</v>
      </c>
      <c r="B75">
        <v>2.0539999999999998</v>
      </c>
      <c r="C75">
        <v>486925</v>
      </c>
      <c r="D75">
        <v>59.4</v>
      </c>
      <c r="E75">
        <v>2.8759999999999999</v>
      </c>
      <c r="F75">
        <v>347643</v>
      </c>
      <c r="G75">
        <v>340.8</v>
      </c>
    </row>
    <row r="76" spans="1:28" x14ac:dyDescent="0.3">
      <c r="A76" t="s">
        <v>498</v>
      </c>
      <c r="B76">
        <v>8.3629999999999995</v>
      </c>
      <c r="C76">
        <v>475641</v>
      </c>
      <c r="D76">
        <v>58.1</v>
      </c>
      <c r="E76">
        <v>12.643000000000001</v>
      </c>
      <c r="F76">
        <v>312719</v>
      </c>
      <c r="G76">
        <v>306.60000000000002</v>
      </c>
      <c r="I76" t="s">
        <v>521</v>
      </c>
    </row>
    <row r="77" spans="1:28" x14ac:dyDescent="0.3">
      <c r="A77" t="s">
        <v>519</v>
      </c>
      <c r="B77">
        <v>11.88</v>
      </c>
      <c r="C77">
        <v>664322</v>
      </c>
      <c r="D77">
        <v>81.099999999999994</v>
      </c>
      <c r="E77">
        <v>21.56</v>
      </c>
      <c r="F77">
        <v>368553</v>
      </c>
      <c r="G77">
        <v>361.3</v>
      </c>
    </row>
    <row r="78" spans="1:28" x14ac:dyDescent="0.3">
      <c r="A78" t="s">
        <v>520</v>
      </c>
      <c r="B78">
        <v>19.297999999999998</v>
      </c>
      <c r="C78">
        <v>825529</v>
      </c>
      <c r="D78">
        <v>100.8</v>
      </c>
      <c r="E78">
        <v>39.31</v>
      </c>
      <c r="F78">
        <v>404099</v>
      </c>
      <c r="G78">
        <v>396.2</v>
      </c>
    </row>
    <row r="79" spans="1:28" x14ac:dyDescent="0.3">
      <c r="A79" t="s">
        <v>547</v>
      </c>
      <c r="B79">
        <v>3.1880000000000002</v>
      </c>
      <c r="C79">
        <f>313667*4</f>
        <v>1254668</v>
      </c>
      <c r="D79">
        <f>38.3*4</f>
        <v>153.19999999999999</v>
      </c>
      <c r="E79">
        <v>4.5910000000000002</v>
      </c>
      <c r="F79">
        <f>217827*4</f>
        <v>871308</v>
      </c>
      <c r="G79">
        <f>213.6*4</f>
        <v>854.4</v>
      </c>
      <c r="O79" s="31" t="s">
        <v>566</v>
      </c>
      <c r="P79" s="31"/>
      <c r="Q79" s="31"/>
      <c r="R79" s="31" t="s">
        <v>567</v>
      </c>
      <c r="S79" s="31"/>
      <c r="T79" s="31"/>
      <c r="V79" s="3"/>
      <c r="W79" t="s">
        <v>503</v>
      </c>
      <c r="X79" s="31" t="s">
        <v>504</v>
      </c>
      <c r="Y79" s="31"/>
      <c r="Z79" t="s">
        <v>335</v>
      </c>
      <c r="AA79" s="31" t="s">
        <v>513</v>
      </c>
      <c r="AB79" s="31"/>
    </row>
    <row r="80" spans="1:28" x14ac:dyDescent="0.3">
      <c r="A80" t="s">
        <v>548</v>
      </c>
      <c r="B80">
        <v>7.3890000000000002</v>
      </c>
      <c r="C80">
        <f>135342*8</f>
        <v>1082736</v>
      </c>
      <c r="D80">
        <f>16.5*8</f>
        <v>132</v>
      </c>
      <c r="E80">
        <v>8.2129999999999992</v>
      </c>
      <c r="F80">
        <f>121757*8</f>
        <v>974056</v>
      </c>
      <c r="G80">
        <f>119.4*8</f>
        <v>955.2</v>
      </c>
      <c r="O80" t="s">
        <v>568</v>
      </c>
      <c r="P80" t="s">
        <v>605</v>
      </c>
      <c r="Q80" t="s">
        <v>569</v>
      </c>
      <c r="R80" t="s">
        <v>568</v>
      </c>
      <c r="S80" t="s">
        <v>606</v>
      </c>
      <c r="T80" t="s">
        <v>569</v>
      </c>
      <c r="V80" s="3"/>
      <c r="W80" t="s">
        <v>516</v>
      </c>
      <c r="X80" t="s">
        <v>504</v>
      </c>
      <c r="Y80" t="s">
        <v>517</v>
      </c>
      <c r="Z80" t="s">
        <v>516</v>
      </c>
      <c r="AA80" t="s">
        <v>570</v>
      </c>
      <c r="AB80" t="s">
        <v>517</v>
      </c>
    </row>
    <row r="81" spans="1:28" x14ac:dyDescent="0.3">
      <c r="A81" t="s">
        <v>549</v>
      </c>
      <c r="B81">
        <v>15.3</v>
      </c>
      <c r="C81">
        <f>65359*16</f>
        <v>1045744</v>
      </c>
      <c r="D81">
        <f>8*16</f>
        <v>128</v>
      </c>
      <c r="E81">
        <v>19.367000000000001</v>
      </c>
      <c r="F81">
        <f>51634*16</f>
        <v>826144</v>
      </c>
      <c r="G81">
        <f>50.6*16</f>
        <v>809.6</v>
      </c>
      <c r="N81" t="s">
        <v>542</v>
      </c>
      <c r="O81">
        <v>2.0539999999999998</v>
      </c>
      <c r="P81">
        <v>487</v>
      </c>
      <c r="Q81">
        <v>59.4</v>
      </c>
      <c r="R81">
        <v>2.8759999999999999</v>
      </c>
      <c r="S81">
        <v>348</v>
      </c>
      <c r="T81">
        <v>340.8</v>
      </c>
      <c r="V81" t="s">
        <v>542</v>
      </c>
      <c r="W81" s="6">
        <v>1.81</v>
      </c>
      <c r="X81">
        <v>553</v>
      </c>
      <c r="Y81">
        <v>67.5</v>
      </c>
      <c r="Z81">
        <v>1.843</v>
      </c>
      <c r="AA81">
        <v>543</v>
      </c>
      <c r="AB81" s="1">
        <v>532.1</v>
      </c>
    </row>
    <row r="82" spans="1:28" x14ac:dyDescent="0.3">
      <c r="N82" t="s">
        <v>615</v>
      </c>
      <c r="O82">
        <v>8.3629999999999995</v>
      </c>
      <c r="P82">
        <v>476</v>
      </c>
      <c r="Q82">
        <v>58.1</v>
      </c>
      <c r="R82">
        <v>12.643000000000001</v>
      </c>
      <c r="S82">
        <v>313</v>
      </c>
      <c r="T82">
        <v>306.60000000000002</v>
      </c>
      <c r="V82" t="s">
        <v>615</v>
      </c>
      <c r="W82">
        <v>8.8160000000000007</v>
      </c>
      <c r="X82">
        <v>454</v>
      </c>
      <c r="Y82">
        <v>55.4</v>
      </c>
      <c r="Z82">
        <v>8.9830000000000005</v>
      </c>
      <c r="AA82">
        <v>445</v>
      </c>
      <c r="AB82" s="1">
        <v>436.4</v>
      </c>
    </row>
    <row r="83" spans="1:28" x14ac:dyDescent="0.3">
      <c r="A83" s="30" t="s">
        <v>526</v>
      </c>
      <c r="B83" t="s">
        <v>503</v>
      </c>
      <c r="C83" s="31" t="s">
        <v>504</v>
      </c>
      <c r="D83" s="31"/>
      <c r="E83" t="s">
        <v>514</v>
      </c>
      <c r="F83" s="31" t="s">
        <v>513</v>
      </c>
      <c r="G83" s="31"/>
      <c r="N83" t="s">
        <v>614</v>
      </c>
      <c r="O83">
        <v>11.88</v>
      </c>
      <c r="P83">
        <v>664</v>
      </c>
      <c r="Q83">
        <v>81.099999999999994</v>
      </c>
      <c r="R83">
        <v>21.56</v>
      </c>
      <c r="S83">
        <v>368</v>
      </c>
      <c r="T83">
        <v>361.3</v>
      </c>
      <c r="V83" t="s">
        <v>614</v>
      </c>
      <c r="W83">
        <v>11.398</v>
      </c>
      <c r="X83">
        <v>701</v>
      </c>
      <c r="Y83">
        <v>85.6</v>
      </c>
      <c r="Z83">
        <v>13.196999999999999</v>
      </c>
      <c r="AA83">
        <v>604</v>
      </c>
      <c r="AB83">
        <v>594</v>
      </c>
    </row>
    <row r="84" spans="1:28" x14ac:dyDescent="0.3">
      <c r="A84" s="30"/>
      <c r="B84" t="s">
        <v>516</v>
      </c>
      <c r="C84" t="s">
        <v>481</v>
      </c>
      <c r="D84" t="s">
        <v>517</v>
      </c>
      <c r="E84" t="s">
        <v>516</v>
      </c>
      <c r="F84" t="s">
        <v>481</v>
      </c>
      <c r="G84" t="s">
        <v>517</v>
      </c>
      <c r="I84" t="s">
        <v>524</v>
      </c>
      <c r="N84" t="s">
        <v>613</v>
      </c>
      <c r="O84">
        <v>19.297999999999998</v>
      </c>
      <c r="P84">
        <v>826</v>
      </c>
      <c r="Q84">
        <v>100.8</v>
      </c>
      <c r="R84">
        <v>39.31</v>
      </c>
      <c r="S84">
        <v>404</v>
      </c>
      <c r="T84">
        <v>396.2</v>
      </c>
      <c r="V84" t="s">
        <v>613</v>
      </c>
      <c r="W84">
        <v>15.577</v>
      </c>
      <c r="X84">
        <v>1025</v>
      </c>
      <c r="Y84">
        <v>125.1</v>
      </c>
      <c r="Z84">
        <v>21.513000000000002</v>
      </c>
      <c r="AA84">
        <v>742</v>
      </c>
      <c r="AB84">
        <v>727.9</v>
      </c>
    </row>
    <row r="85" spans="1:28" x14ac:dyDescent="0.3">
      <c r="A85" t="s">
        <v>505</v>
      </c>
      <c r="B85">
        <v>3.504</v>
      </c>
      <c r="C85">
        <v>285417</v>
      </c>
      <c r="D85">
        <v>34.799999999999997</v>
      </c>
      <c r="E85">
        <v>5.218</v>
      </c>
      <c r="F85">
        <v>191632</v>
      </c>
      <c r="G85">
        <v>187.9</v>
      </c>
      <c r="I85" t="s">
        <v>525</v>
      </c>
      <c r="N85" t="s">
        <v>610</v>
      </c>
      <c r="O85">
        <v>3.1880000000000002</v>
      </c>
      <c r="P85">
        <v>1254</v>
      </c>
      <c r="Q85">
        <v>153.19999999999999</v>
      </c>
      <c r="R85">
        <v>4.5910000000000002</v>
      </c>
      <c r="S85">
        <v>871</v>
      </c>
      <c r="T85">
        <v>854.4</v>
      </c>
      <c r="V85" t="s">
        <v>609</v>
      </c>
      <c r="W85">
        <v>1.861</v>
      </c>
      <c r="X85">
        <v>2149</v>
      </c>
      <c r="Y85">
        <f>65.6*4</f>
        <v>262.39999999999998</v>
      </c>
      <c r="Z85">
        <v>2.1819999999999999</v>
      </c>
      <c r="AA85">
        <v>1833</v>
      </c>
      <c r="AB85">
        <f>449.4*4</f>
        <v>1797.6</v>
      </c>
    </row>
    <row r="86" spans="1:28" x14ac:dyDescent="0.3">
      <c r="A86" t="s">
        <v>498</v>
      </c>
      <c r="B86">
        <v>12.422000000000001</v>
      </c>
      <c r="C86">
        <v>321874</v>
      </c>
      <c r="D86">
        <v>39.299999999999997</v>
      </c>
      <c r="E86">
        <v>16.434999999999999</v>
      </c>
      <c r="F86">
        <v>243340</v>
      </c>
      <c r="G86">
        <v>238.6</v>
      </c>
      <c r="N86" t="s">
        <v>611</v>
      </c>
      <c r="O86">
        <v>7.3890000000000002</v>
      </c>
      <c r="P86">
        <v>1082</v>
      </c>
      <c r="Q86">
        <v>132</v>
      </c>
      <c r="R86">
        <v>8.2129999999999992</v>
      </c>
      <c r="S86">
        <v>974</v>
      </c>
      <c r="T86">
        <v>955.2</v>
      </c>
      <c r="V86" t="s">
        <v>608</v>
      </c>
      <c r="W86">
        <v>2.2050000000000001</v>
      </c>
      <c r="X86">
        <v>3628</v>
      </c>
      <c r="Y86">
        <f>55.4*8</f>
        <v>443.2</v>
      </c>
      <c r="Z86">
        <v>2.5150000000000001</v>
      </c>
      <c r="AA86">
        <v>3181</v>
      </c>
      <c r="AB86">
        <f>389.9*8</f>
        <v>3119.2</v>
      </c>
    </row>
    <row r="87" spans="1:28" x14ac:dyDescent="0.3">
      <c r="A87" t="s">
        <v>519</v>
      </c>
      <c r="B87">
        <v>15.691000000000001</v>
      </c>
      <c r="C87">
        <v>509073</v>
      </c>
      <c r="D87">
        <v>62.1</v>
      </c>
      <c r="E87">
        <v>27.181999999999999</v>
      </c>
      <c r="F87">
        <v>293959</v>
      </c>
      <c r="G87">
        <v>288.2</v>
      </c>
      <c r="N87" t="s">
        <v>612</v>
      </c>
      <c r="O87">
        <v>15.3</v>
      </c>
      <c r="P87">
        <v>1046</v>
      </c>
      <c r="Q87">
        <v>128</v>
      </c>
      <c r="R87">
        <v>19.367000000000001</v>
      </c>
      <c r="S87">
        <v>826</v>
      </c>
      <c r="T87">
        <v>809.6</v>
      </c>
      <c r="V87" t="s">
        <v>607</v>
      </c>
      <c r="W87">
        <v>2.569</v>
      </c>
      <c r="X87">
        <v>6227</v>
      </c>
      <c r="Y87">
        <f>47.5*16</f>
        <v>760</v>
      </c>
      <c r="Z87">
        <v>3.0710000000000002</v>
      </c>
      <c r="AA87">
        <v>5209</v>
      </c>
      <c r="AB87">
        <f>319.2*16</f>
        <v>5107.2</v>
      </c>
    </row>
    <row r="88" spans="1:28" x14ac:dyDescent="0.3">
      <c r="A88" t="s">
        <v>520</v>
      </c>
      <c r="B88">
        <v>23.587</v>
      </c>
      <c r="C88">
        <v>677270</v>
      </c>
      <c r="D88">
        <v>82.7</v>
      </c>
      <c r="E88">
        <v>45.101999999999997</v>
      </c>
      <c r="F88">
        <v>354291</v>
      </c>
      <c r="G88">
        <v>347.3</v>
      </c>
    </row>
    <row r="89" spans="1:28" x14ac:dyDescent="0.3">
      <c r="A89" t="s">
        <v>527</v>
      </c>
    </row>
    <row r="90" spans="1:28" x14ac:dyDescent="0.3">
      <c r="A90">
        <v>4</v>
      </c>
      <c r="B90">
        <v>17.666</v>
      </c>
      <c r="C90">
        <v>225851</v>
      </c>
      <c r="D90">
        <v>27.6</v>
      </c>
      <c r="E90">
        <v>19.184999999999999</v>
      </c>
      <c r="F90">
        <v>207633</v>
      </c>
      <c r="G90">
        <v>203.6</v>
      </c>
    </row>
    <row r="91" spans="1:28" x14ac:dyDescent="0.3">
      <c r="A91">
        <v>8</v>
      </c>
      <c r="B91">
        <v>31.859000000000002</v>
      </c>
      <c r="C91">
        <v>250104</v>
      </c>
      <c r="D91">
        <v>30.5</v>
      </c>
      <c r="E91">
        <v>38.799999999999997</v>
      </c>
      <c r="F91">
        <v>205068</v>
      </c>
      <c r="G91">
        <v>201</v>
      </c>
    </row>
    <row r="92" spans="1:28" x14ac:dyDescent="0.3">
      <c r="A92">
        <v>16</v>
      </c>
      <c r="B92">
        <v>54.289000000000001</v>
      </c>
      <c r="C92">
        <v>294189</v>
      </c>
      <c r="D92">
        <v>35.9</v>
      </c>
      <c r="E92">
        <v>72.445999999999998</v>
      </c>
      <c r="F92">
        <v>219026</v>
      </c>
      <c r="G92">
        <v>214.7</v>
      </c>
    </row>
    <row r="95" spans="1:28" ht="14.5" thickBot="1" x14ac:dyDescent="0.35"/>
    <row r="96" spans="1:28" ht="14.5" thickBot="1" x14ac:dyDescent="0.35">
      <c r="A96" s="15" t="s">
        <v>590</v>
      </c>
      <c r="B96" s="16" t="s">
        <v>542</v>
      </c>
      <c r="C96" s="16" t="s">
        <v>543</v>
      </c>
      <c r="D96" s="16" t="s">
        <v>544</v>
      </c>
      <c r="E96" s="16" t="s">
        <v>545</v>
      </c>
    </row>
    <row r="97" spans="1:5" ht="27.5" thickBot="1" x14ac:dyDescent="0.35">
      <c r="A97" s="19" t="s">
        <v>592</v>
      </c>
      <c r="B97" s="18">
        <v>285</v>
      </c>
      <c r="C97" s="18">
        <v>322</v>
      </c>
      <c r="D97" s="18">
        <v>509</v>
      </c>
      <c r="E97" s="18">
        <v>677</v>
      </c>
    </row>
    <row r="98" spans="1:5" ht="27.5" thickBot="1" x14ac:dyDescent="0.35">
      <c r="A98" s="19" t="s">
        <v>593</v>
      </c>
      <c r="B98" s="17">
        <v>131</v>
      </c>
      <c r="C98" s="17">
        <v>464</v>
      </c>
      <c r="D98" s="17">
        <v>856</v>
      </c>
      <c r="E98" s="18">
        <v>1362</v>
      </c>
    </row>
    <row r="99" spans="1:5" ht="27.5" thickBot="1" x14ac:dyDescent="0.35">
      <c r="A99" s="19" t="s">
        <v>594</v>
      </c>
      <c r="B99" s="18">
        <v>171</v>
      </c>
      <c r="C99" s="18">
        <v>182</v>
      </c>
      <c r="D99" s="18">
        <v>175</v>
      </c>
      <c r="E99" s="18">
        <v>182</v>
      </c>
    </row>
    <row r="100" spans="1:5" ht="27.5" thickBot="1" x14ac:dyDescent="0.35">
      <c r="A100" s="19" t="s">
        <v>595</v>
      </c>
      <c r="B100" s="17">
        <v>0.16</v>
      </c>
      <c r="C100" s="18">
        <v>0.26</v>
      </c>
      <c r="D100" s="17">
        <v>0.31</v>
      </c>
      <c r="E100" s="23">
        <v>0.35</v>
      </c>
    </row>
    <row r="101" spans="1:5" ht="14.5" thickBot="1" x14ac:dyDescent="0.35">
      <c r="A101" s="15" t="s">
        <v>591</v>
      </c>
      <c r="B101" s="16" t="s">
        <v>542</v>
      </c>
      <c r="C101" s="16" t="s">
        <v>543</v>
      </c>
      <c r="D101" s="16" t="s">
        <v>544</v>
      </c>
      <c r="E101" s="16" t="s">
        <v>545</v>
      </c>
    </row>
    <row r="103" spans="1:5" x14ac:dyDescent="0.3">
      <c r="A103" s="22" t="s">
        <v>596</v>
      </c>
      <c r="B103" t="s">
        <v>597</v>
      </c>
      <c r="D103" s="25">
        <v>216</v>
      </c>
    </row>
    <row r="104" spans="1:5" x14ac:dyDescent="0.3">
      <c r="D104" s="25">
        <v>329</v>
      </c>
    </row>
  </sheetData>
  <mergeCells count="19">
    <mergeCell ref="X79:Y79"/>
    <mergeCell ref="AA79:AB79"/>
    <mergeCell ref="A23:A27"/>
    <mergeCell ref="A29:A33"/>
    <mergeCell ref="A35:A39"/>
    <mergeCell ref="A58:D59"/>
    <mergeCell ref="A56:L57"/>
    <mergeCell ref="A73:A74"/>
    <mergeCell ref="A60:A61"/>
    <mergeCell ref="H60:L66"/>
    <mergeCell ref="C60:D60"/>
    <mergeCell ref="F60:G60"/>
    <mergeCell ref="B73:D73"/>
    <mergeCell ref="E73:G73"/>
    <mergeCell ref="A83:A84"/>
    <mergeCell ref="C83:D83"/>
    <mergeCell ref="F83:G83"/>
    <mergeCell ref="R79:T79"/>
    <mergeCell ref="O79:Q79"/>
  </mergeCells>
  <phoneticPr fontId="1" type="noConversion"/>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97FCC-2F19-40DD-910E-A479B245C229}">
  <sheetPr codeName="Sheet5"/>
  <dimension ref="A1:G14"/>
  <sheetViews>
    <sheetView topLeftCell="A28" workbookViewId="0">
      <selection activeCell="G20" sqref="G20"/>
    </sheetView>
  </sheetViews>
  <sheetFormatPr defaultRowHeight="14" x14ac:dyDescent="0.3"/>
  <sheetData>
    <row r="1" spans="1:7" x14ac:dyDescent="0.3">
      <c r="A1" t="s">
        <v>181</v>
      </c>
      <c r="B1" t="s">
        <v>203</v>
      </c>
      <c r="C1" t="s">
        <v>207</v>
      </c>
      <c r="D1" t="s">
        <v>182</v>
      </c>
      <c r="E1" t="s">
        <v>206</v>
      </c>
      <c r="F1" t="s">
        <v>204</v>
      </c>
      <c r="G1" t="s">
        <v>205</v>
      </c>
    </row>
    <row r="2" spans="1:7" x14ac:dyDescent="0.3">
      <c r="A2" t="s">
        <v>183</v>
      </c>
      <c r="B2">
        <v>47</v>
      </c>
      <c r="C2">
        <v>51</v>
      </c>
      <c r="D2">
        <v>36</v>
      </c>
      <c r="E2">
        <v>50</v>
      </c>
      <c r="F2">
        <v>126</v>
      </c>
      <c r="G2">
        <v>149</v>
      </c>
    </row>
    <row r="3" spans="1:7" x14ac:dyDescent="0.3">
      <c r="A3" t="s">
        <v>184</v>
      </c>
      <c r="B3">
        <v>154</v>
      </c>
      <c r="C3">
        <v>160</v>
      </c>
      <c r="D3">
        <v>145</v>
      </c>
      <c r="E3">
        <v>190</v>
      </c>
      <c r="F3">
        <v>586</v>
      </c>
      <c r="G3">
        <v>836</v>
      </c>
    </row>
    <row r="4" spans="1:7" x14ac:dyDescent="0.3">
      <c r="A4" t="s">
        <v>185</v>
      </c>
      <c r="B4">
        <v>211</v>
      </c>
      <c r="C4">
        <v>216</v>
      </c>
      <c r="D4">
        <v>230</v>
      </c>
      <c r="E4">
        <v>280</v>
      </c>
      <c r="F4">
        <v>891</v>
      </c>
      <c r="G4">
        <v>1487</v>
      </c>
    </row>
    <row r="6" spans="1:7" x14ac:dyDescent="0.3">
      <c r="A6" s="35" t="s">
        <v>208</v>
      </c>
      <c r="B6" s="39"/>
      <c r="C6" s="39"/>
      <c r="D6" s="39"/>
      <c r="E6" s="39"/>
      <c r="F6" s="39"/>
      <c r="G6" s="39"/>
    </row>
    <row r="7" spans="1:7" x14ac:dyDescent="0.3">
      <c r="A7" s="39"/>
      <c r="B7" s="39"/>
      <c r="C7" s="39"/>
      <c r="D7" s="39"/>
      <c r="E7" s="39"/>
      <c r="F7" s="39"/>
      <c r="G7" s="39"/>
    </row>
    <row r="8" spans="1:7" x14ac:dyDescent="0.3">
      <c r="A8" s="39"/>
      <c r="B8" s="39"/>
      <c r="C8" s="39"/>
      <c r="D8" s="39"/>
      <c r="E8" s="39"/>
      <c r="F8" s="39"/>
      <c r="G8" s="39"/>
    </row>
    <row r="9" spans="1:7" x14ac:dyDescent="0.3">
      <c r="A9" s="39"/>
      <c r="B9" s="39"/>
      <c r="C9" s="39"/>
      <c r="D9" s="39"/>
      <c r="E9" s="39"/>
      <c r="F9" s="39"/>
      <c r="G9" s="39"/>
    </row>
    <row r="10" spans="1:7" x14ac:dyDescent="0.3">
      <c r="A10" s="39"/>
      <c r="B10" s="39"/>
      <c r="C10" s="39"/>
      <c r="D10" s="39"/>
      <c r="E10" s="39"/>
      <c r="F10" s="39"/>
      <c r="G10" s="39"/>
    </row>
    <row r="11" spans="1:7" x14ac:dyDescent="0.3">
      <c r="A11" s="39"/>
      <c r="B11" s="39"/>
      <c r="C11" s="39"/>
      <c r="D11" s="39"/>
      <c r="E11" s="39"/>
      <c r="F11" s="39"/>
      <c r="G11" s="39"/>
    </row>
    <row r="12" spans="1:7" x14ac:dyDescent="0.3">
      <c r="A12" s="39"/>
      <c r="B12" s="39"/>
      <c r="C12" s="39"/>
      <c r="D12" s="39"/>
      <c r="E12" s="39"/>
      <c r="F12" s="39"/>
      <c r="G12" s="39"/>
    </row>
    <row r="13" spans="1:7" x14ac:dyDescent="0.3">
      <c r="A13" s="39"/>
      <c r="B13" s="39"/>
      <c r="C13" s="39"/>
      <c r="D13" s="39"/>
      <c r="E13" s="39"/>
      <c r="F13" s="39"/>
      <c r="G13" s="39"/>
    </row>
    <row r="14" spans="1:7" x14ac:dyDescent="0.3">
      <c r="A14" s="39"/>
      <c r="B14" s="39"/>
      <c r="C14" s="39"/>
      <c r="D14" s="39"/>
      <c r="E14" s="39"/>
      <c r="F14" s="39"/>
      <c r="G14" s="39"/>
    </row>
  </sheetData>
  <mergeCells count="1">
    <mergeCell ref="A6:G14"/>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ED166-AAB2-48D8-B3B2-F08162FBEDBA}">
  <sheetPr codeName="Sheet6"/>
  <dimension ref="A1:R73"/>
  <sheetViews>
    <sheetView tabSelected="1" topLeftCell="A61" zoomScale="85" zoomScaleNormal="85" workbookViewId="0">
      <selection activeCell="D62" sqref="D62"/>
    </sheetView>
  </sheetViews>
  <sheetFormatPr defaultRowHeight="14" x14ac:dyDescent="0.3"/>
  <sheetData>
    <row r="1" spans="1:18" x14ac:dyDescent="0.3">
      <c r="A1" t="s">
        <v>209</v>
      </c>
      <c r="C1" t="s">
        <v>218</v>
      </c>
      <c r="E1" t="s">
        <v>219</v>
      </c>
    </row>
    <row r="2" spans="1:18" x14ac:dyDescent="0.3">
      <c r="J2" t="s">
        <v>228</v>
      </c>
    </row>
    <row r="3" spans="1:18" x14ac:dyDescent="0.3">
      <c r="A3" t="s">
        <v>216</v>
      </c>
      <c r="B3" t="s">
        <v>210</v>
      </c>
      <c r="C3" t="s">
        <v>211</v>
      </c>
      <c r="D3" t="s">
        <v>212</v>
      </c>
    </row>
    <row r="4" spans="1:18" x14ac:dyDescent="0.3">
      <c r="A4" t="s">
        <v>213</v>
      </c>
      <c r="B4">
        <v>52</v>
      </c>
      <c r="C4">
        <v>178</v>
      </c>
      <c r="D4">
        <v>257</v>
      </c>
      <c r="N4" t="s">
        <v>349</v>
      </c>
    </row>
    <row r="5" spans="1:18" x14ac:dyDescent="0.3">
      <c r="A5" t="s">
        <v>214</v>
      </c>
      <c r="B5">
        <v>124</v>
      </c>
      <c r="C5">
        <v>544</v>
      </c>
      <c r="D5">
        <v>743</v>
      </c>
      <c r="O5" t="s">
        <v>216</v>
      </c>
      <c r="P5" t="s">
        <v>183</v>
      </c>
      <c r="Q5" t="s">
        <v>184</v>
      </c>
      <c r="R5" t="s">
        <v>185</v>
      </c>
    </row>
    <row r="6" spans="1:18" x14ac:dyDescent="0.3">
      <c r="A6" t="s">
        <v>215</v>
      </c>
      <c r="B6">
        <v>132</v>
      </c>
      <c r="C6">
        <v>727</v>
      </c>
      <c r="D6">
        <v>1170</v>
      </c>
      <c r="O6" t="s">
        <v>213</v>
      </c>
      <c r="P6">
        <v>52</v>
      </c>
      <c r="Q6">
        <v>180</v>
      </c>
      <c r="R6">
        <v>247</v>
      </c>
    </row>
    <row r="7" spans="1:18" x14ac:dyDescent="0.3">
      <c r="O7" t="s">
        <v>214</v>
      </c>
      <c r="P7">
        <v>137</v>
      </c>
      <c r="Q7">
        <v>558</v>
      </c>
      <c r="R7">
        <v>756</v>
      </c>
    </row>
    <row r="8" spans="1:18" x14ac:dyDescent="0.3">
      <c r="A8" t="s">
        <v>217</v>
      </c>
      <c r="B8" t="s">
        <v>210</v>
      </c>
      <c r="C8" t="s">
        <v>211</v>
      </c>
      <c r="D8" t="s">
        <v>212</v>
      </c>
      <c r="O8" t="s">
        <v>215</v>
      </c>
      <c r="P8">
        <v>150</v>
      </c>
      <c r="Q8">
        <v>828</v>
      </c>
      <c r="R8">
        <v>1395</v>
      </c>
    </row>
    <row r="9" spans="1:18" x14ac:dyDescent="0.3">
      <c r="A9" t="s">
        <v>213</v>
      </c>
      <c r="B9">
        <v>35</v>
      </c>
      <c r="C9">
        <v>67</v>
      </c>
      <c r="D9">
        <v>66</v>
      </c>
      <c r="O9" t="s">
        <v>350</v>
      </c>
      <c r="P9">
        <v>128</v>
      </c>
      <c r="Q9">
        <v>859</v>
      </c>
      <c r="R9">
        <v>1690</v>
      </c>
    </row>
    <row r="10" spans="1:18" x14ac:dyDescent="0.3">
      <c r="A10" t="s">
        <v>214</v>
      </c>
      <c r="B10">
        <v>109</v>
      </c>
      <c r="C10">
        <v>219</v>
      </c>
      <c r="D10">
        <v>248</v>
      </c>
    </row>
    <row r="11" spans="1:18" x14ac:dyDescent="0.3">
      <c r="A11" t="s">
        <v>215</v>
      </c>
      <c r="B11">
        <v>157</v>
      </c>
      <c r="C11">
        <v>399</v>
      </c>
      <c r="D11">
        <v>451</v>
      </c>
      <c r="O11" t="s">
        <v>217</v>
      </c>
      <c r="P11" t="s">
        <v>183</v>
      </c>
      <c r="Q11" t="s">
        <v>184</v>
      </c>
      <c r="R11" t="s">
        <v>185</v>
      </c>
    </row>
    <row r="12" spans="1:18" x14ac:dyDescent="0.3">
      <c r="O12" t="s">
        <v>213</v>
      </c>
      <c r="P12">
        <v>35</v>
      </c>
      <c r="Q12">
        <v>65</v>
      </c>
      <c r="R12">
        <v>73</v>
      </c>
    </row>
    <row r="13" spans="1:18" x14ac:dyDescent="0.3">
      <c r="A13" t="s">
        <v>220</v>
      </c>
      <c r="C13" t="s">
        <v>221</v>
      </c>
      <c r="O13" t="s">
        <v>214</v>
      </c>
      <c r="P13">
        <v>107</v>
      </c>
      <c r="Q13">
        <v>226</v>
      </c>
      <c r="R13">
        <v>246</v>
      </c>
    </row>
    <row r="14" spans="1:18" x14ac:dyDescent="0.3">
      <c r="O14" t="s">
        <v>215</v>
      </c>
      <c r="P14">
        <v>162</v>
      </c>
      <c r="Q14">
        <v>417</v>
      </c>
      <c r="R14">
        <v>439</v>
      </c>
    </row>
    <row r="15" spans="1:18" x14ac:dyDescent="0.3">
      <c r="A15" t="s">
        <v>222</v>
      </c>
      <c r="B15" t="s">
        <v>224</v>
      </c>
      <c r="O15" t="s">
        <v>350</v>
      </c>
      <c r="P15">
        <v>164</v>
      </c>
      <c r="Q15">
        <v>551</v>
      </c>
      <c r="R15">
        <v>645</v>
      </c>
    </row>
    <row r="16" spans="1:18" x14ac:dyDescent="0.3">
      <c r="A16" t="s">
        <v>213</v>
      </c>
      <c r="B16">
        <v>476</v>
      </c>
    </row>
    <row r="17" spans="1:5" x14ac:dyDescent="0.3">
      <c r="A17" t="s">
        <v>214</v>
      </c>
      <c r="B17">
        <v>370</v>
      </c>
    </row>
    <row r="18" spans="1:5" x14ac:dyDescent="0.3">
      <c r="A18" t="s">
        <v>215</v>
      </c>
      <c r="B18">
        <v>313</v>
      </c>
    </row>
    <row r="20" spans="1:5" x14ac:dyDescent="0.3">
      <c r="A20" t="s">
        <v>223</v>
      </c>
      <c r="B20" t="s">
        <v>210</v>
      </c>
      <c r="C20" t="s">
        <v>211</v>
      </c>
      <c r="D20" t="s">
        <v>212</v>
      </c>
    </row>
    <row r="21" spans="1:5" x14ac:dyDescent="0.3">
      <c r="A21" t="s">
        <v>213</v>
      </c>
      <c r="B21">
        <v>19</v>
      </c>
      <c r="C21">
        <v>54</v>
      </c>
      <c r="D21">
        <v>57</v>
      </c>
    </row>
    <row r="22" spans="1:5" x14ac:dyDescent="0.3">
      <c r="A22" t="s">
        <v>214</v>
      </c>
      <c r="B22">
        <v>24</v>
      </c>
      <c r="C22">
        <v>72</v>
      </c>
      <c r="D22">
        <v>86</v>
      </c>
    </row>
    <row r="23" spans="1:5" x14ac:dyDescent="0.3">
      <c r="A23" t="s">
        <v>215</v>
      </c>
      <c r="B23">
        <v>141</v>
      </c>
      <c r="C23">
        <v>368</v>
      </c>
      <c r="D23">
        <v>468</v>
      </c>
      <c r="E23" t="s">
        <v>225</v>
      </c>
    </row>
    <row r="40" spans="1:6" x14ac:dyDescent="0.3">
      <c r="C40" t="s">
        <v>306</v>
      </c>
      <c r="D40" t="s">
        <v>312</v>
      </c>
      <c r="E40" t="s">
        <v>310</v>
      </c>
      <c r="F40" t="s">
        <v>316</v>
      </c>
    </row>
    <row r="41" spans="1:6" x14ac:dyDescent="0.3">
      <c r="A41" s="34" t="s">
        <v>314</v>
      </c>
      <c r="B41" t="s">
        <v>307</v>
      </c>
      <c r="C41">
        <v>26.5</v>
      </c>
      <c r="D41">
        <v>29</v>
      </c>
      <c r="E41">
        <v>25</v>
      </c>
      <c r="F41">
        <v>26</v>
      </c>
    </row>
    <row r="42" spans="1:6" x14ac:dyDescent="0.3">
      <c r="A42" s="34"/>
      <c r="B42" t="s">
        <v>308</v>
      </c>
      <c r="C42">
        <v>77.2</v>
      </c>
      <c r="D42">
        <v>87</v>
      </c>
      <c r="E42">
        <v>82</v>
      </c>
      <c r="F42">
        <v>96</v>
      </c>
    </row>
    <row r="43" spans="1:6" x14ac:dyDescent="0.3">
      <c r="A43" s="34"/>
      <c r="B43" t="s">
        <v>309</v>
      </c>
      <c r="C43">
        <v>141.19999999999999</v>
      </c>
      <c r="D43">
        <v>161</v>
      </c>
      <c r="E43">
        <v>150</v>
      </c>
      <c r="F43">
        <v>160</v>
      </c>
    </row>
    <row r="44" spans="1:6" x14ac:dyDescent="0.3">
      <c r="A44" s="34" t="s">
        <v>315</v>
      </c>
      <c r="B44" t="s">
        <v>307</v>
      </c>
      <c r="C44">
        <v>26</v>
      </c>
    </row>
    <row r="45" spans="1:6" x14ac:dyDescent="0.3">
      <c r="A45" s="34"/>
      <c r="B45" t="s">
        <v>308</v>
      </c>
      <c r="C45">
        <v>96</v>
      </c>
    </row>
    <row r="46" spans="1:6" x14ac:dyDescent="0.3">
      <c r="A46" s="34"/>
      <c r="B46" t="s">
        <v>309</v>
      </c>
      <c r="C46">
        <v>160</v>
      </c>
    </row>
    <row r="47" spans="1:6" x14ac:dyDescent="0.3">
      <c r="A47" s="34" t="s">
        <v>311</v>
      </c>
      <c r="B47" t="s">
        <v>307</v>
      </c>
      <c r="C47">
        <v>25</v>
      </c>
    </row>
    <row r="48" spans="1:6" x14ac:dyDescent="0.3">
      <c r="A48" s="34"/>
      <c r="B48" t="s">
        <v>308</v>
      </c>
      <c r="C48">
        <v>82</v>
      </c>
    </row>
    <row r="49" spans="1:14" x14ac:dyDescent="0.3">
      <c r="A49" s="34"/>
      <c r="B49" t="s">
        <v>309</v>
      </c>
      <c r="C49">
        <v>150</v>
      </c>
    </row>
    <row r="50" spans="1:14" x14ac:dyDescent="0.3">
      <c r="A50" s="34" t="s">
        <v>313</v>
      </c>
      <c r="B50" t="s">
        <v>307</v>
      </c>
      <c r="C50">
        <v>29</v>
      </c>
    </row>
    <row r="51" spans="1:14" x14ac:dyDescent="0.3">
      <c r="A51" s="34"/>
      <c r="B51" t="s">
        <v>308</v>
      </c>
      <c r="C51">
        <v>87</v>
      </c>
    </row>
    <row r="52" spans="1:14" x14ac:dyDescent="0.3">
      <c r="A52" s="34"/>
      <c r="B52" t="s">
        <v>309</v>
      </c>
      <c r="C52">
        <v>161</v>
      </c>
    </row>
    <row r="55" spans="1:14" x14ac:dyDescent="0.3">
      <c r="A55" t="s">
        <v>426</v>
      </c>
      <c r="B55" t="s">
        <v>427</v>
      </c>
    </row>
    <row r="57" spans="1:14" x14ac:dyDescent="0.3">
      <c r="B57" t="s">
        <v>428</v>
      </c>
      <c r="C57" t="s">
        <v>428</v>
      </c>
      <c r="E57" t="s">
        <v>434</v>
      </c>
      <c r="K57" t="s">
        <v>428</v>
      </c>
    </row>
    <row r="58" spans="1:14" x14ac:dyDescent="0.3">
      <c r="A58" t="s">
        <v>429</v>
      </c>
      <c r="B58">
        <v>4.5</v>
      </c>
      <c r="C58">
        <v>6.7</v>
      </c>
      <c r="E58" t="s">
        <v>435</v>
      </c>
      <c r="F58">
        <v>6.8</v>
      </c>
      <c r="G58" t="s">
        <v>444</v>
      </c>
      <c r="H58">
        <v>16.2</v>
      </c>
      <c r="K58" t="s">
        <v>435</v>
      </c>
      <c r="L58">
        <v>6.7</v>
      </c>
      <c r="M58" t="s">
        <v>444</v>
      </c>
      <c r="N58">
        <v>6.8</v>
      </c>
    </row>
    <row r="59" spans="1:14" x14ac:dyDescent="0.3">
      <c r="A59" t="s">
        <v>430</v>
      </c>
      <c r="B59">
        <v>16.2</v>
      </c>
      <c r="C59">
        <v>23.4</v>
      </c>
      <c r="E59" t="s">
        <v>436</v>
      </c>
      <c r="F59">
        <v>25.6</v>
      </c>
      <c r="G59" t="s">
        <v>445</v>
      </c>
      <c r="H59">
        <v>24.9</v>
      </c>
      <c r="K59" t="s">
        <v>436</v>
      </c>
      <c r="L59">
        <v>23.4</v>
      </c>
      <c r="M59" t="s">
        <v>445</v>
      </c>
      <c r="N59">
        <v>5.8</v>
      </c>
    </row>
    <row r="60" spans="1:14" x14ac:dyDescent="0.3">
      <c r="A60" t="s">
        <v>431</v>
      </c>
      <c r="B60">
        <v>31.1</v>
      </c>
      <c r="C60">
        <v>41.5</v>
      </c>
      <c r="E60" t="s">
        <v>437</v>
      </c>
      <c r="F60">
        <v>45</v>
      </c>
      <c r="G60" t="s">
        <v>446</v>
      </c>
      <c r="H60">
        <v>50.6</v>
      </c>
      <c r="K60" t="s">
        <v>437</v>
      </c>
      <c r="L60">
        <v>41.5</v>
      </c>
      <c r="M60" t="s">
        <v>446</v>
      </c>
    </row>
    <row r="61" spans="1:14" x14ac:dyDescent="0.3">
      <c r="A61" t="s">
        <v>432</v>
      </c>
      <c r="B61">
        <v>48.5</v>
      </c>
      <c r="C61">
        <v>62.9</v>
      </c>
      <c r="E61" t="s">
        <v>438</v>
      </c>
      <c r="F61">
        <v>112</v>
      </c>
      <c r="G61" t="s">
        <v>447</v>
      </c>
      <c r="H61">
        <v>62</v>
      </c>
      <c r="K61" t="s">
        <v>438</v>
      </c>
      <c r="M61" t="s">
        <v>447</v>
      </c>
    </row>
    <row r="62" spans="1:14" x14ac:dyDescent="0.3">
      <c r="A62" t="s">
        <v>441</v>
      </c>
      <c r="B62">
        <v>62.1</v>
      </c>
      <c r="C62">
        <v>62.4</v>
      </c>
      <c r="E62" t="s">
        <v>440</v>
      </c>
      <c r="F62">
        <v>189</v>
      </c>
      <c r="G62" t="s">
        <v>448</v>
      </c>
      <c r="H62">
        <v>97</v>
      </c>
      <c r="K62" t="s">
        <v>440</v>
      </c>
      <c r="M62" t="s">
        <v>448</v>
      </c>
    </row>
    <row r="63" spans="1:14" x14ac:dyDescent="0.3">
      <c r="B63" t="s">
        <v>442</v>
      </c>
      <c r="C63" t="s">
        <v>443</v>
      </c>
      <c r="E63" t="s">
        <v>439</v>
      </c>
      <c r="F63">
        <v>340</v>
      </c>
      <c r="G63" t="s">
        <v>449</v>
      </c>
      <c r="H63">
        <v>187</v>
      </c>
      <c r="K63" t="s">
        <v>439</v>
      </c>
      <c r="M63" t="s">
        <v>449</v>
      </c>
    </row>
    <row r="65" spans="1:16" x14ac:dyDescent="0.3">
      <c r="A65" t="s">
        <v>433</v>
      </c>
      <c r="B65">
        <v>163.9</v>
      </c>
      <c r="C65">
        <v>62.8</v>
      </c>
    </row>
    <row r="66" spans="1:16" x14ac:dyDescent="0.3">
      <c r="J66" t="s">
        <v>428</v>
      </c>
      <c r="K66" t="s">
        <v>457</v>
      </c>
      <c r="L66" t="s">
        <v>553</v>
      </c>
      <c r="O66" t="s">
        <v>428</v>
      </c>
      <c r="P66" t="s">
        <v>434</v>
      </c>
    </row>
    <row r="67" spans="1:16" x14ac:dyDescent="0.3">
      <c r="I67" t="s">
        <v>550</v>
      </c>
      <c r="J67">
        <v>6.7</v>
      </c>
      <c r="K67">
        <v>25.6</v>
      </c>
      <c r="L67">
        <v>45</v>
      </c>
      <c r="N67" t="s">
        <v>213</v>
      </c>
      <c r="O67">
        <v>6.7</v>
      </c>
      <c r="P67">
        <v>6.8</v>
      </c>
    </row>
    <row r="68" spans="1:16" x14ac:dyDescent="0.3">
      <c r="I68" t="s">
        <v>551</v>
      </c>
      <c r="J68">
        <v>24.9</v>
      </c>
      <c r="K68">
        <v>97</v>
      </c>
      <c r="L68">
        <v>189</v>
      </c>
      <c r="N68" t="s">
        <v>214</v>
      </c>
      <c r="O68">
        <v>23.4</v>
      </c>
      <c r="P68">
        <v>25.6</v>
      </c>
    </row>
    <row r="69" spans="1:16" x14ac:dyDescent="0.3">
      <c r="I69" t="s">
        <v>552</v>
      </c>
      <c r="J69">
        <v>50.6</v>
      </c>
      <c r="K69">
        <v>187</v>
      </c>
      <c r="L69">
        <v>340</v>
      </c>
      <c r="N69" t="s">
        <v>215</v>
      </c>
      <c r="O69">
        <v>41.5</v>
      </c>
      <c r="P69">
        <v>45</v>
      </c>
    </row>
    <row r="70" spans="1:16" x14ac:dyDescent="0.3">
      <c r="D70" t="s">
        <v>439</v>
      </c>
    </row>
    <row r="71" spans="1:16" x14ac:dyDescent="0.3">
      <c r="B71">
        <v>166.7</v>
      </c>
    </row>
    <row r="72" spans="1:16" x14ac:dyDescent="0.3">
      <c r="B72">
        <v>269.39999999999998</v>
      </c>
    </row>
    <row r="73" spans="1:16" x14ac:dyDescent="0.3">
      <c r="B73">
        <v>465</v>
      </c>
    </row>
  </sheetData>
  <mergeCells count="4">
    <mergeCell ref="A41:A43"/>
    <mergeCell ref="A44:A46"/>
    <mergeCell ref="A47:A49"/>
    <mergeCell ref="A50:A52"/>
  </mergeCells>
  <phoneticPr fontId="1" type="noConversion"/>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3A84F-C926-413B-AFDF-95F57513392A}">
  <sheetPr codeName="Sheet7"/>
  <dimension ref="A1:AK268"/>
  <sheetViews>
    <sheetView topLeftCell="J209" zoomScale="70" zoomScaleNormal="70" workbookViewId="0">
      <selection activeCell="A257" sqref="A257"/>
    </sheetView>
  </sheetViews>
  <sheetFormatPr defaultRowHeight="14" x14ac:dyDescent="0.3"/>
  <cols>
    <col min="1" max="1" width="19.83203125" customWidth="1"/>
    <col min="2" max="2" width="10.83203125" customWidth="1"/>
  </cols>
  <sheetData>
    <row r="1" spans="1:16" x14ac:dyDescent="0.3">
      <c r="A1" t="s">
        <v>226</v>
      </c>
      <c r="I1" t="s">
        <v>413</v>
      </c>
    </row>
    <row r="2" spans="1:16" x14ac:dyDescent="0.3">
      <c r="C2" t="s">
        <v>230</v>
      </c>
      <c r="D2" t="s">
        <v>231</v>
      </c>
    </row>
    <row r="3" spans="1:16" x14ac:dyDescent="0.3">
      <c r="B3" s="31" t="s">
        <v>327</v>
      </c>
      <c r="C3" s="31"/>
      <c r="D3" s="31" t="s">
        <v>328</v>
      </c>
      <c r="E3" s="31"/>
      <c r="F3" s="31" t="s">
        <v>329</v>
      </c>
      <c r="G3" s="31"/>
      <c r="H3" s="31" t="s">
        <v>330</v>
      </c>
      <c r="I3" s="31"/>
      <c r="J3" s="31" t="s">
        <v>331</v>
      </c>
      <c r="K3" s="31"/>
      <c r="L3" s="31" t="s">
        <v>332</v>
      </c>
      <c r="M3" s="31"/>
    </row>
    <row r="4" spans="1:16" x14ac:dyDescent="0.3">
      <c r="A4" t="s">
        <v>325</v>
      </c>
      <c r="B4" s="31" t="s">
        <v>256</v>
      </c>
      <c r="C4" s="31"/>
      <c r="D4" s="31" t="s">
        <v>256</v>
      </c>
      <c r="E4" s="31"/>
      <c r="F4" s="31" t="s">
        <v>256</v>
      </c>
      <c r="G4" s="31"/>
      <c r="H4" s="31" t="s">
        <v>254</v>
      </c>
      <c r="I4" s="31"/>
      <c r="J4" s="31" t="s">
        <v>255</v>
      </c>
      <c r="K4" s="31"/>
      <c r="L4" s="31" t="s">
        <v>256</v>
      </c>
      <c r="M4" s="31"/>
    </row>
    <row r="5" spans="1:16" x14ac:dyDescent="0.3">
      <c r="A5" t="s">
        <v>326</v>
      </c>
      <c r="B5" s="31" t="s">
        <v>246</v>
      </c>
      <c r="C5" s="31"/>
      <c r="D5" s="31" t="s">
        <v>247</v>
      </c>
      <c r="E5" s="31"/>
      <c r="F5" s="31" t="s">
        <v>248</v>
      </c>
      <c r="G5" s="31"/>
      <c r="H5" s="31" t="s">
        <v>249</v>
      </c>
      <c r="I5" s="31"/>
      <c r="J5" s="31" t="s">
        <v>250</v>
      </c>
      <c r="K5" s="31"/>
      <c r="L5" s="31" t="s">
        <v>251</v>
      </c>
      <c r="M5" s="31"/>
      <c r="P5" t="s">
        <v>259</v>
      </c>
    </row>
    <row r="6" spans="1:16" x14ac:dyDescent="0.3">
      <c r="B6" t="s">
        <v>227</v>
      </c>
      <c r="C6" t="s">
        <v>235</v>
      </c>
      <c r="D6" t="s">
        <v>236</v>
      </c>
      <c r="E6" t="s">
        <v>237</v>
      </c>
      <c r="F6" t="s">
        <v>239</v>
      </c>
      <c r="G6" t="s">
        <v>238</v>
      </c>
      <c r="H6" t="s">
        <v>240</v>
      </c>
      <c r="I6" t="s">
        <v>241</v>
      </c>
      <c r="J6" t="s">
        <v>242</v>
      </c>
      <c r="K6" s="7" t="s">
        <v>243</v>
      </c>
      <c r="L6" t="s">
        <v>244</v>
      </c>
      <c r="M6" t="s">
        <v>245</v>
      </c>
    </row>
    <row r="7" spans="1:16" x14ac:dyDescent="0.3">
      <c r="A7" t="s">
        <v>229</v>
      </c>
      <c r="B7">
        <v>35</v>
      </c>
      <c r="C7">
        <v>25</v>
      </c>
      <c r="D7">
        <v>34</v>
      </c>
      <c r="E7">
        <v>26</v>
      </c>
      <c r="F7">
        <v>37</v>
      </c>
      <c r="G7">
        <v>26</v>
      </c>
      <c r="H7">
        <v>38</v>
      </c>
      <c r="I7">
        <v>43</v>
      </c>
      <c r="J7">
        <v>38</v>
      </c>
      <c r="K7" s="7">
        <v>355</v>
      </c>
      <c r="L7">
        <v>35</v>
      </c>
      <c r="M7">
        <v>26</v>
      </c>
    </row>
    <row r="8" spans="1:16" x14ac:dyDescent="0.3">
      <c r="A8" t="s">
        <v>232</v>
      </c>
      <c r="B8">
        <v>76</v>
      </c>
      <c r="C8">
        <v>56</v>
      </c>
      <c r="D8">
        <v>82</v>
      </c>
      <c r="E8">
        <v>63</v>
      </c>
      <c r="F8">
        <v>80</v>
      </c>
      <c r="G8">
        <v>45</v>
      </c>
      <c r="H8">
        <v>80</v>
      </c>
      <c r="I8">
        <v>99</v>
      </c>
      <c r="J8">
        <v>80</v>
      </c>
      <c r="K8" s="7">
        <v>355</v>
      </c>
      <c r="L8">
        <v>81</v>
      </c>
      <c r="M8">
        <v>48</v>
      </c>
      <c r="P8">
        <v>476</v>
      </c>
    </row>
    <row r="9" spans="1:16" x14ac:dyDescent="0.3">
      <c r="A9" t="s">
        <v>233</v>
      </c>
      <c r="B9">
        <v>127</v>
      </c>
      <c r="C9">
        <v>105</v>
      </c>
      <c r="D9">
        <v>117</v>
      </c>
      <c r="E9">
        <v>97</v>
      </c>
      <c r="F9">
        <v>116</v>
      </c>
      <c r="G9">
        <v>92</v>
      </c>
      <c r="H9">
        <v>126</v>
      </c>
      <c r="I9">
        <v>162</v>
      </c>
      <c r="J9">
        <v>114</v>
      </c>
      <c r="K9" s="7">
        <v>216</v>
      </c>
      <c r="L9">
        <v>111</v>
      </c>
      <c r="M9">
        <v>104</v>
      </c>
    </row>
    <row r="10" spans="1:16" x14ac:dyDescent="0.3">
      <c r="A10" t="s">
        <v>234</v>
      </c>
      <c r="B10">
        <v>320</v>
      </c>
      <c r="C10">
        <v>224</v>
      </c>
      <c r="D10">
        <v>318</v>
      </c>
      <c r="E10">
        <v>225</v>
      </c>
      <c r="F10">
        <v>325</v>
      </c>
      <c r="G10">
        <v>256</v>
      </c>
      <c r="H10">
        <v>333</v>
      </c>
      <c r="I10">
        <v>349</v>
      </c>
      <c r="J10">
        <v>319</v>
      </c>
      <c r="K10" s="7">
        <v>221</v>
      </c>
      <c r="L10">
        <v>318</v>
      </c>
      <c r="M10">
        <v>203</v>
      </c>
      <c r="P10">
        <v>370</v>
      </c>
    </row>
    <row r="11" spans="1:16" x14ac:dyDescent="0.3">
      <c r="A11" t="s">
        <v>252</v>
      </c>
      <c r="B11">
        <v>197</v>
      </c>
      <c r="C11">
        <v>191</v>
      </c>
      <c r="D11">
        <v>187</v>
      </c>
      <c r="E11">
        <v>184</v>
      </c>
      <c r="F11">
        <v>162</v>
      </c>
      <c r="G11">
        <v>160</v>
      </c>
      <c r="H11">
        <v>179</v>
      </c>
      <c r="I11">
        <v>307</v>
      </c>
      <c r="J11">
        <v>166</v>
      </c>
      <c r="K11" s="7">
        <v>121</v>
      </c>
      <c r="L11">
        <v>180</v>
      </c>
      <c r="M11">
        <v>176</v>
      </c>
    </row>
    <row r="12" spans="1:16" x14ac:dyDescent="0.3">
      <c r="A12" t="s">
        <v>253</v>
      </c>
      <c r="B12">
        <v>590</v>
      </c>
      <c r="C12">
        <v>363</v>
      </c>
      <c r="D12">
        <v>629</v>
      </c>
      <c r="E12">
        <v>456</v>
      </c>
      <c r="F12">
        <v>668</v>
      </c>
      <c r="G12">
        <v>429</v>
      </c>
      <c r="H12">
        <v>636</v>
      </c>
      <c r="I12">
        <v>682</v>
      </c>
      <c r="J12">
        <v>507</v>
      </c>
      <c r="K12" s="7">
        <v>129</v>
      </c>
      <c r="L12">
        <v>651</v>
      </c>
      <c r="M12">
        <v>318</v>
      </c>
      <c r="P12">
        <v>313</v>
      </c>
    </row>
    <row r="14" spans="1:16" x14ac:dyDescent="0.3">
      <c r="C14" s="31" t="s">
        <v>257</v>
      </c>
      <c r="D14" s="31"/>
      <c r="E14" s="31"/>
      <c r="F14" s="31"/>
      <c r="G14" s="31"/>
      <c r="H14" s="31"/>
    </row>
    <row r="15" spans="1:16" x14ac:dyDescent="0.3">
      <c r="C15" s="31" t="s">
        <v>258</v>
      </c>
      <c r="D15" s="31"/>
      <c r="E15" s="31"/>
      <c r="F15" s="31"/>
      <c r="G15" s="31"/>
      <c r="H15" s="31"/>
    </row>
    <row r="33" spans="1:23" x14ac:dyDescent="0.3">
      <c r="A33" t="s">
        <v>226</v>
      </c>
      <c r="I33" t="s">
        <v>228</v>
      </c>
    </row>
    <row r="34" spans="1:23" x14ac:dyDescent="0.3">
      <c r="C34" t="s">
        <v>230</v>
      </c>
      <c r="D34" t="s">
        <v>231</v>
      </c>
    </row>
    <row r="35" spans="1:23" x14ac:dyDescent="0.3">
      <c r="B35" s="31" t="s">
        <v>327</v>
      </c>
      <c r="C35" s="31"/>
      <c r="D35" s="31" t="s">
        <v>328</v>
      </c>
      <c r="E35" s="31"/>
      <c r="F35" s="31" t="s">
        <v>329</v>
      </c>
      <c r="G35" s="31"/>
      <c r="H35" s="31" t="s">
        <v>330</v>
      </c>
      <c r="I35" s="31"/>
      <c r="J35" s="31" t="s">
        <v>331</v>
      </c>
      <c r="K35" s="31"/>
      <c r="L35" s="31" t="s">
        <v>332</v>
      </c>
      <c r="M35" s="31"/>
    </row>
    <row r="36" spans="1:23" x14ac:dyDescent="0.3">
      <c r="A36" t="s">
        <v>325</v>
      </c>
      <c r="B36" s="31" t="s">
        <v>256</v>
      </c>
      <c r="C36" s="31"/>
      <c r="D36" s="31" t="s">
        <v>256</v>
      </c>
      <c r="E36" s="31"/>
      <c r="F36" s="31" t="s">
        <v>256</v>
      </c>
      <c r="G36" s="31"/>
      <c r="H36" s="31" t="s">
        <v>254</v>
      </c>
      <c r="I36" s="31"/>
      <c r="J36" s="31" t="s">
        <v>255</v>
      </c>
      <c r="K36" s="31"/>
      <c r="L36" s="31" t="s">
        <v>256</v>
      </c>
      <c r="M36" s="31"/>
      <c r="V36">
        <v>2352</v>
      </c>
      <c r="W36">
        <f>V36*1000*124/1024/1024</f>
        <v>278.13720703125</v>
      </c>
    </row>
    <row r="37" spans="1:23" x14ac:dyDescent="0.3">
      <c r="A37" t="s">
        <v>326</v>
      </c>
      <c r="B37" s="31" t="s">
        <v>246</v>
      </c>
      <c r="C37" s="31"/>
      <c r="D37" s="31" t="s">
        <v>247</v>
      </c>
      <c r="E37" s="31"/>
      <c r="F37" s="31" t="s">
        <v>248</v>
      </c>
      <c r="G37" s="31"/>
      <c r="H37" s="31" t="s">
        <v>249</v>
      </c>
      <c r="I37" s="31"/>
      <c r="J37" s="31" t="s">
        <v>250</v>
      </c>
      <c r="K37" s="31"/>
      <c r="L37" s="31" t="s">
        <v>251</v>
      </c>
      <c r="M37" s="31"/>
      <c r="P37" t="s">
        <v>382</v>
      </c>
      <c r="Q37" t="s">
        <v>380</v>
      </c>
      <c r="V37">
        <v>348</v>
      </c>
      <c r="W37">
        <f t="shared" ref="W37:W58" si="0">V37*1000*124/1024/1024</f>
        <v>41.1529541015625</v>
      </c>
    </row>
    <row r="38" spans="1:23" x14ac:dyDescent="0.3">
      <c r="B38" t="s">
        <v>227</v>
      </c>
      <c r="C38" t="s">
        <v>235</v>
      </c>
      <c r="D38" t="s">
        <v>236</v>
      </c>
      <c r="E38" t="s">
        <v>237</v>
      </c>
      <c r="F38" t="s">
        <v>239</v>
      </c>
      <c r="G38" t="s">
        <v>238</v>
      </c>
      <c r="H38" t="s">
        <v>240</v>
      </c>
      <c r="I38" t="s">
        <v>241</v>
      </c>
      <c r="J38" t="s">
        <v>242</v>
      </c>
      <c r="K38" s="7" t="s">
        <v>243</v>
      </c>
      <c r="L38" t="s">
        <v>244</v>
      </c>
      <c r="M38" t="s">
        <v>245</v>
      </c>
      <c r="P38" t="s">
        <v>381</v>
      </c>
      <c r="Q38" t="s">
        <v>381</v>
      </c>
      <c r="V38">
        <v>83</v>
      </c>
      <c r="W38">
        <f t="shared" si="0"/>
        <v>9.815216064453125</v>
      </c>
    </row>
    <row r="39" spans="1:23" x14ac:dyDescent="0.3">
      <c r="A39" t="s">
        <v>229</v>
      </c>
      <c r="B39">
        <v>38</v>
      </c>
      <c r="C39">
        <v>23</v>
      </c>
      <c r="D39">
        <v>39</v>
      </c>
      <c r="E39">
        <v>26</v>
      </c>
      <c r="F39">
        <v>31</v>
      </c>
      <c r="G39">
        <v>26</v>
      </c>
      <c r="H39">
        <v>38</v>
      </c>
      <c r="I39">
        <v>41</v>
      </c>
      <c r="J39">
        <v>37</v>
      </c>
      <c r="K39" s="7">
        <v>343</v>
      </c>
      <c r="L39">
        <v>38</v>
      </c>
      <c r="M39">
        <v>23</v>
      </c>
      <c r="N39" t="s">
        <v>409</v>
      </c>
      <c r="O39" s="8" t="s">
        <v>383</v>
      </c>
      <c r="P39" s="8">
        <v>43185</v>
      </c>
      <c r="Q39">
        <v>46718</v>
      </c>
      <c r="W39">
        <f t="shared" si="0"/>
        <v>0</v>
      </c>
    </row>
    <row r="40" spans="1:23" x14ac:dyDescent="0.3">
      <c r="A40" t="s">
        <v>233</v>
      </c>
      <c r="B40">
        <v>132</v>
      </c>
      <c r="C40">
        <v>97</v>
      </c>
      <c r="D40">
        <v>121</v>
      </c>
      <c r="E40">
        <v>93</v>
      </c>
      <c r="F40">
        <v>132</v>
      </c>
      <c r="G40">
        <v>88</v>
      </c>
      <c r="H40">
        <v>125</v>
      </c>
      <c r="I40">
        <v>154</v>
      </c>
      <c r="J40">
        <v>130</v>
      </c>
      <c r="K40" s="7">
        <v>227</v>
      </c>
      <c r="L40">
        <v>126</v>
      </c>
      <c r="M40">
        <v>97</v>
      </c>
      <c r="N40" t="s">
        <v>353</v>
      </c>
      <c r="O40" s="8" t="s">
        <v>384</v>
      </c>
      <c r="P40" s="8">
        <v>27833</v>
      </c>
      <c r="Q40">
        <v>59310</v>
      </c>
      <c r="V40">
        <v>1141</v>
      </c>
      <c r="W40">
        <f t="shared" si="0"/>
        <v>134.92965698242188</v>
      </c>
    </row>
    <row r="41" spans="1:23" x14ac:dyDescent="0.3">
      <c r="A41" t="s">
        <v>252</v>
      </c>
      <c r="B41">
        <v>166</v>
      </c>
      <c r="C41">
        <v>176</v>
      </c>
      <c r="D41">
        <v>161</v>
      </c>
      <c r="E41">
        <v>175</v>
      </c>
      <c r="F41">
        <v>225</v>
      </c>
      <c r="G41">
        <v>145</v>
      </c>
      <c r="H41">
        <v>162</v>
      </c>
      <c r="I41">
        <v>259</v>
      </c>
      <c r="J41">
        <v>164</v>
      </c>
      <c r="K41" s="7">
        <v>122</v>
      </c>
      <c r="L41">
        <v>189</v>
      </c>
      <c r="M41">
        <v>179</v>
      </c>
      <c r="N41" t="s">
        <v>410</v>
      </c>
      <c r="O41" s="8" t="s">
        <v>385</v>
      </c>
      <c r="P41" s="8">
        <v>16984</v>
      </c>
      <c r="Q41">
        <v>51884</v>
      </c>
      <c r="V41">
        <v>460</v>
      </c>
      <c r="W41">
        <f t="shared" si="0"/>
        <v>54.3975830078125</v>
      </c>
    </row>
    <row r="42" spans="1:23" x14ac:dyDescent="0.3">
      <c r="A42" t="s">
        <v>232</v>
      </c>
      <c r="B42">
        <v>85</v>
      </c>
      <c r="C42">
        <v>54</v>
      </c>
      <c r="D42">
        <v>82</v>
      </c>
      <c r="E42">
        <v>61</v>
      </c>
      <c r="F42">
        <v>79</v>
      </c>
      <c r="G42">
        <v>52</v>
      </c>
      <c r="H42">
        <v>84</v>
      </c>
      <c r="I42">
        <v>96</v>
      </c>
      <c r="J42">
        <v>88</v>
      </c>
      <c r="K42" s="7">
        <v>346</v>
      </c>
      <c r="L42">
        <v>87</v>
      </c>
      <c r="M42">
        <v>49</v>
      </c>
      <c r="O42" s="7"/>
      <c r="P42" s="7"/>
      <c r="V42">
        <v>113</v>
      </c>
      <c r="W42">
        <f t="shared" si="0"/>
        <v>13.362884521484375</v>
      </c>
    </row>
    <row r="43" spans="1:23" x14ac:dyDescent="0.3">
      <c r="A43" t="s">
        <v>234</v>
      </c>
      <c r="B43">
        <v>348</v>
      </c>
      <c r="C43">
        <v>215</v>
      </c>
      <c r="D43">
        <v>333</v>
      </c>
      <c r="E43">
        <v>232</v>
      </c>
      <c r="F43">
        <v>311</v>
      </c>
      <c r="G43">
        <v>193</v>
      </c>
      <c r="H43">
        <v>294</v>
      </c>
      <c r="I43">
        <v>313</v>
      </c>
      <c r="J43">
        <v>307</v>
      </c>
      <c r="K43" s="7">
        <v>222</v>
      </c>
      <c r="L43">
        <v>325</v>
      </c>
      <c r="M43">
        <v>183</v>
      </c>
      <c r="W43">
        <f t="shared" si="0"/>
        <v>0</v>
      </c>
    </row>
    <row r="44" spans="1:23" x14ac:dyDescent="0.3">
      <c r="A44" t="s">
        <v>253</v>
      </c>
      <c r="B44">
        <v>548</v>
      </c>
      <c r="C44">
        <v>311</v>
      </c>
      <c r="D44">
        <v>688</v>
      </c>
      <c r="E44">
        <v>341</v>
      </c>
      <c r="F44">
        <v>714</v>
      </c>
      <c r="G44">
        <v>397</v>
      </c>
      <c r="H44">
        <v>691</v>
      </c>
      <c r="I44">
        <v>537</v>
      </c>
      <c r="J44">
        <v>683</v>
      </c>
      <c r="K44" s="7">
        <v>118</v>
      </c>
      <c r="L44">
        <v>541</v>
      </c>
      <c r="M44">
        <v>314</v>
      </c>
      <c r="O44" s="7"/>
      <c r="P44" s="7"/>
      <c r="V44">
        <v>855</v>
      </c>
      <c r="W44">
        <f t="shared" si="0"/>
        <v>101.10855102539063</v>
      </c>
    </row>
    <row r="45" spans="1:23" x14ac:dyDescent="0.3">
      <c r="V45">
        <v>485</v>
      </c>
      <c r="W45">
        <f t="shared" si="0"/>
        <v>57.353973388671875</v>
      </c>
    </row>
    <row r="46" spans="1:23" x14ac:dyDescent="0.3">
      <c r="V46">
        <v>287</v>
      </c>
      <c r="W46">
        <f t="shared" si="0"/>
        <v>33.939361572265625</v>
      </c>
    </row>
    <row r="47" spans="1:23" x14ac:dyDescent="0.3">
      <c r="W47">
        <f t="shared" si="0"/>
        <v>0</v>
      </c>
    </row>
    <row r="48" spans="1:23" x14ac:dyDescent="0.3">
      <c r="V48">
        <v>861</v>
      </c>
      <c r="W48">
        <f t="shared" si="0"/>
        <v>101.81808471679688</v>
      </c>
    </row>
    <row r="49" spans="1:23" x14ac:dyDescent="0.3">
      <c r="V49">
        <v>614</v>
      </c>
      <c r="W49">
        <f t="shared" si="0"/>
        <v>72.60894775390625</v>
      </c>
    </row>
    <row r="50" spans="1:23" x14ac:dyDescent="0.3">
      <c r="V50">
        <v>305</v>
      </c>
      <c r="W50">
        <f t="shared" si="0"/>
        <v>36.067962646484375</v>
      </c>
    </row>
    <row r="51" spans="1:23" x14ac:dyDescent="0.3">
      <c r="W51">
        <f t="shared" si="0"/>
        <v>0</v>
      </c>
    </row>
    <row r="52" spans="1:23" x14ac:dyDescent="0.3">
      <c r="V52">
        <v>758</v>
      </c>
      <c r="W52">
        <f t="shared" si="0"/>
        <v>89.63775634765625</v>
      </c>
    </row>
    <row r="53" spans="1:23" x14ac:dyDescent="0.3">
      <c r="V53">
        <v>483</v>
      </c>
      <c r="W53">
        <f t="shared" si="0"/>
        <v>57.117462158203125</v>
      </c>
    </row>
    <row r="54" spans="1:23" x14ac:dyDescent="0.3">
      <c r="V54">
        <v>215</v>
      </c>
      <c r="W54">
        <f t="shared" si="0"/>
        <v>25.424957275390625</v>
      </c>
    </row>
    <row r="55" spans="1:23" x14ac:dyDescent="0.3">
      <c r="W55">
        <f t="shared" si="0"/>
        <v>0</v>
      </c>
    </row>
    <row r="56" spans="1:23" x14ac:dyDescent="0.3">
      <c r="V56">
        <v>1032</v>
      </c>
      <c r="W56">
        <f t="shared" si="0"/>
        <v>122.039794921875</v>
      </c>
    </row>
    <row r="57" spans="1:23" x14ac:dyDescent="0.3">
      <c r="V57">
        <v>498</v>
      </c>
      <c r="W57">
        <f t="shared" si="0"/>
        <v>58.89129638671875</v>
      </c>
    </row>
    <row r="58" spans="1:23" x14ac:dyDescent="0.3">
      <c r="V58">
        <v>145</v>
      </c>
      <c r="W58">
        <f t="shared" si="0"/>
        <v>17.147064208984375</v>
      </c>
    </row>
    <row r="64" spans="1:23" x14ac:dyDescent="0.3">
      <c r="A64" t="s">
        <v>416</v>
      </c>
      <c r="C64" t="s">
        <v>417</v>
      </c>
      <c r="D64" t="s">
        <v>418</v>
      </c>
      <c r="E64" s="34" t="s">
        <v>355</v>
      </c>
      <c r="F64" s="34"/>
      <c r="G64" s="34"/>
      <c r="H64" s="34"/>
      <c r="I64" s="34"/>
      <c r="J64" s="34"/>
      <c r="K64" s="34"/>
      <c r="L64" s="34"/>
      <c r="M64" s="34"/>
    </row>
    <row r="65" spans="1:37" x14ac:dyDescent="0.3">
      <c r="A65" t="s">
        <v>230</v>
      </c>
      <c r="B65" t="s">
        <v>231</v>
      </c>
      <c r="E65" s="34"/>
      <c r="F65" s="34"/>
      <c r="G65" s="34"/>
      <c r="H65" s="34"/>
      <c r="I65" s="34"/>
      <c r="J65" s="34"/>
      <c r="K65" s="34"/>
      <c r="L65" s="34"/>
      <c r="M65" s="34"/>
    </row>
    <row r="66" spans="1:37" x14ac:dyDescent="0.3">
      <c r="A66" t="s">
        <v>422</v>
      </c>
      <c r="B66" t="s">
        <v>421</v>
      </c>
      <c r="C66" t="s">
        <v>419</v>
      </c>
      <c r="D66" t="s">
        <v>421</v>
      </c>
      <c r="E66" t="s">
        <v>419</v>
      </c>
      <c r="F66" t="s">
        <v>421</v>
      </c>
      <c r="G66" t="s">
        <v>419</v>
      </c>
      <c r="H66" t="s">
        <v>421</v>
      </c>
      <c r="I66" t="s">
        <v>419</v>
      </c>
      <c r="J66" t="s">
        <v>421</v>
      </c>
      <c r="K66" t="s">
        <v>420</v>
      </c>
      <c r="L66" t="s">
        <v>421</v>
      </c>
      <c r="M66" t="s">
        <v>419</v>
      </c>
    </row>
    <row r="67" spans="1:37" x14ac:dyDescent="0.3">
      <c r="B67" s="31" t="s">
        <v>327</v>
      </c>
      <c r="C67" s="31"/>
      <c r="D67" s="31" t="s">
        <v>328</v>
      </c>
      <c r="E67" s="31"/>
      <c r="F67" s="31" t="s">
        <v>329</v>
      </c>
      <c r="G67" s="31"/>
      <c r="H67" s="31" t="s">
        <v>330</v>
      </c>
      <c r="I67" s="31"/>
      <c r="J67" s="31" t="s">
        <v>331</v>
      </c>
      <c r="K67" s="31"/>
      <c r="L67" s="31" t="s">
        <v>332</v>
      </c>
      <c r="M67" s="31"/>
    </row>
    <row r="68" spans="1:37" x14ac:dyDescent="0.3">
      <c r="A68" t="s">
        <v>325</v>
      </c>
      <c r="B68" s="31" t="s">
        <v>256</v>
      </c>
      <c r="C68" s="31"/>
      <c r="D68" s="31" t="s">
        <v>256</v>
      </c>
      <c r="E68" s="31"/>
      <c r="F68" s="31" t="s">
        <v>256</v>
      </c>
      <c r="G68" s="31"/>
      <c r="H68" s="31" t="s">
        <v>254</v>
      </c>
      <c r="I68" s="31"/>
      <c r="J68" s="31" t="s">
        <v>255</v>
      </c>
      <c r="K68" s="31"/>
      <c r="L68" s="31" t="s">
        <v>256</v>
      </c>
      <c r="M68" s="31"/>
    </row>
    <row r="69" spans="1:37" x14ac:dyDescent="0.3">
      <c r="A69" t="s">
        <v>326</v>
      </c>
      <c r="B69" s="31" t="s">
        <v>246</v>
      </c>
      <c r="C69" s="31"/>
      <c r="D69" s="31" t="s">
        <v>247</v>
      </c>
      <c r="E69" s="31"/>
      <c r="F69" s="31" t="s">
        <v>248</v>
      </c>
      <c r="G69" s="31"/>
      <c r="H69" s="31" t="s">
        <v>249</v>
      </c>
      <c r="I69" s="31"/>
      <c r="J69" s="31" t="s">
        <v>250</v>
      </c>
      <c r="K69" s="31"/>
      <c r="L69" s="31" t="s">
        <v>251</v>
      </c>
      <c r="M69" s="31"/>
    </row>
    <row r="70" spans="1:37" x14ac:dyDescent="0.3">
      <c r="B70" s="9" t="s">
        <v>227</v>
      </c>
      <c r="C70" s="9" t="s">
        <v>235</v>
      </c>
      <c r="D70" s="9" t="s">
        <v>236</v>
      </c>
      <c r="E70" s="9" t="s">
        <v>237</v>
      </c>
      <c r="F70" s="9" t="s">
        <v>239</v>
      </c>
      <c r="G70" s="9" t="s">
        <v>238</v>
      </c>
      <c r="H70" s="9" t="s">
        <v>240</v>
      </c>
      <c r="I70" s="9" t="s">
        <v>241</v>
      </c>
      <c r="J70" s="9" t="s">
        <v>242</v>
      </c>
      <c r="K70" s="9" t="s">
        <v>243</v>
      </c>
      <c r="L70" s="9" t="s">
        <v>244</v>
      </c>
      <c r="M70" s="9" t="s">
        <v>245</v>
      </c>
    </row>
    <row r="71" spans="1:37" x14ac:dyDescent="0.3">
      <c r="A71" t="s">
        <v>229</v>
      </c>
      <c r="B71">
        <v>260748</v>
      </c>
      <c r="C71">
        <v>106419</v>
      </c>
      <c r="D71">
        <v>270001</v>
      </c>
      <c r="E71">
        <v>95871</v>
      </c>
      <c r="F71">
        <v>276147</v>
      </c>
      <c r="G71">
        <v>91765</v>
      </c>
      <c r="H71">
        <v>275879</v>
      </c>
      <c r="I71">
        <v>155322</v>
      </c>
      <c r="J71">
        <v>257502</v>
      </c>
      <c r="K71">
        <v>19940</v>
      </c>
      <c r="L71">
        <v>267669</v>
      </c>
      <c r="M71">
        <v>99539</v>
      </c>
    </row>
    <row r="72" spans="1:37" x14ac:dyDescent="0.3">
      <c r="A72" t="s">
        <v>233</v>
      </c>
      <c r="B72">
        <v>800315</v>
      </c>
      <c r="C72">
        <v>386891</v>
      </c>
      <c r="D72">
        <v>808236</v>
      </c>
      <c r="E72">
        <v>351941</v>
      </c>
      <c r="F72">
        <v>795078</v>
      </c>
      <c r="G72">
        <v>338264</v>
      </c>
      <c r="H72">
        <v>805591</v>
      </c>
      <c r="I72">
        <v>544644</v>
      </c>
      <c r="J72">
        <v>828453</v>
      </c>
      <c r="K72">
        <v>22046</v>
      </c>
      <c r="L72">
        <v>837313</v>
      </c>
      <c r="M72">
        <v>352951</v>
      </c>
    </row>
    <row r="73" spans="1:37" x14ac:dyDescent="0.3">
      <c r="A73" t="s">
        <v>252</v>
      </c>
      <c r="B73">
        <v>1239986</v>
      </c>
      <c r="C73">
        <v>607874</v>
      </c>
      <c r="D73">
        <v>1243895</v>
      </c>
      <c r="E73">
        <v>597381</v>
      </c>
      <c r="F73">
        <v>1256925</v>
      </c>
      <c r="G73">
        <v>549819</v>
      </c>
      <c r="H73">
        <v>1216593</v>
      </c>
      <c r="I73">
        <v>1025063</v>
      </c>
      <c r="J73">
        <v>1255669</v>
      </c>
      <c r="K73">
        <v>16556</v>
      </c>
      <c r="L73">
        <v>1272880</v>
      </c>
      <c r="M73">
        <v>630498</v>
      </c>
    </row>
    <row r="74" spans="1:37" x14ac:dyDescent="0.3">
      <c r="A74" t="s">
        <v>414</v>
      </c>
      <c r="B74">
        <v>1301662</v>
      </c>
      <c r="C74">
        <v>990971</v>
      </c>
      <c r="D74">
        <v>1314291</v>
      </c>
      <c r="E74">
        <v>939173</v>
      </c>
      <c r="F74">
        <v>1311637</v>
      </c>
      <c r="G74">
        <v>865584</v>
      </c>
      <c r="H74">
        <v>1299983</v>
      </c>
      <c r="I74">
        <v>1724363</v>
      </c>
      <c r="J74">
        <v>1439012</v>
      </c>
      <c r="K74">
        <v>16922</v>
      </c>
      <c r="L74">
        <v>1299428</v>
      </c>
      <c r="M74">
        <v>934337</v>
      </c>
    </row>
    <row r="75" spans="1:37" x14ac:dyDescent="0.3">
      <c r="A75" t="s">
        <v>232</v>
      </c>
      <c r="B75">
        <v>530872</v>
      </c>
      <c r="C75">
        <v>112940</v>
      </c>
      <c r="D75">
        <v>540848</v>
      </c>
      <c r="E75">
        <v>93063</v>
      </c>
      <c r="F75">
        <v>527057</v>
      </c>
      <c r="G75">
        <v>100959</v>
      </c>
      <c r="H75">
        <v>524624</v>
      </c>
      <c r="I75">
        <v>150695</v>
      </c>
      <c r="J75">
        <v>545861</v>
      </c>
      <c r="K75">
        <v>21746</v>
      </c>
      <c r="L75">
        <v>533671</v>
      </c>
      <c r="M75">
        <v>93947</v>
      </c>
    </row>
    <row r="76" spans="1:37" x14ac:dyDescent="0.3">
      <c r="A76" t="s">
        <v>234</v>
      </c>
      <c r="B76">
        <v>1527171</v>
      </c>
      <c r="C76">
        <v>353945</v>
      </c>
      <c r="D76">
        <v>1565328</v>
      </c>
      <c r="E76">
        <v>311994</v>
      </c>
      <c r="F76">
        <v>1519400</v>
      </c>
      <c r="G76">
        <v>289043</v>
      </c>
      <c r="H76">
        <v>1552221</v>
      </c>
      <c r="I76">
        <v>435199</v>
      </c>
      <c r="J76">
        <v>1592064</v>
      </c>
      <c r="K76">
        <v>24311</v>
      </c>
      <c r="L76">
        <v>1572966</v>
      </c>
      <c r="M76">
        <v>329462</v>
      </c>
      <c r="Z76" s="31" t="s">
        <v>532</v>
      </c>
      <c r="AA76" s="31"/>
      <c r="AB76" s="31"/>
    </row>
    <row r="77" spans="1:37" x14ac:dyDescent="0.3">
      <c r="A77" t="s">
        <v>253</v>
      </c>
      <c r="B77">
        <v>2588150</v>
      </c>
      <c r="C77">
        <v>556914</v>
      </c>
      <c r="D77">
        <v>2431288</v>
      </c>
      <c r="E77">
        <v>525771</v>
      </c>
      <c r="F77">
        <v>2666329</v>
      </c>
      <c r="G77">
        <v>496369</v>
      </c>
      <c r="H77">
        <v>2639206</v>
      </c>
      <c r="I77">
        <v>721003</v>
      </c>
      <c r="J77">
        <v>2468186</v>
      </c>
      <c r="K77">
        <v>20716</v>
      </c>
      <c r="L77">
        <v>2577925</v>
      </c>
      <c r="M77">
        <v>561586</v>
      </c>
      <c r="Z77" s="14" t="s">
        <v>227</v>
      </c>
      <c r="AA77" s="14" t="s">
        <v>235</v>
      </c>
      <c r="AB77" s="14" t="s">
        <v>236</v>
      </c>
      <c r="AC77" s="14" t="s">
        <v>237</v>
      </c>
      <c r="AD77" s="14" t="s">
        <v>239</v>
      </c>
      <c r="AE77" s="14" t="s">
        <v>238</v>
      </c>
      <c r="AF77" s="14" t="s">
        <v>240</v>
      </c>
      <c r="AG77" s="14" t="s">
        <v>241</v>
      </c>
      <c r="AH77" s="14" t="s">
        <v>242</v>
      </c>
      <c r="AI77" s="14" t="s">
        <v>243</v>
      </c>
      <c r="AJ77" s="14" t="s">
        <v>244</v>
      </c>
      <c r="AK77" s="14" t="s">
        <v>245</v>
      </c>
    </row>
    <row r="78" spans="1:37" x14ac:dyDescent="0.3">
      <c r="A78" t="s">
        <v>415</v>
      </c>
      <c r="B78">
        <v>3290685</v>
      </c>
      <c r="C78">
        <v>656245</v>
      </c>
      <c r="D78">
        <v>3261233</v>
      </c>
      <c r="E78">
        <v>593237</v>
      </c>
      <c r="F78">
        <v>3247793</v>
      </c>
      <c r="G78">
        <v>582886</v>
      </c>
      <c r="H78">
        <v>2611403</v>
      </c>
      <c r="I78">
        <v>1048406</v>
      </c>
      <c r="J78">
        <v>3117648</v>
      </c>
      <c r="K78">
        <v>21217</v>
      </c>
      <c r="L78">
        <v>3214723</v>
      </c>
      <c r="M78">
        <v>698692</v>
      </c>
      <c r="Y78" t="s">
        <v>229</v>
      </c>
      <c r="Z78">
        <v>230129</v>
      </c>
      <c r="AA78">
        <v>40463</v>
      </c>
      <c r="AB78">
        <v>235452</v>
      </c>
      <c r="AC78">
        <v>45539</v>
      </c>
    </row>
    <row r="79" spans="1:37" x14ac:dyDescent="0.3">
      <c r="Y79" t="s">
        <v>233</v>
      </c>
      <c r="Z79">
        <v>441281</v>
      </c>
      <c r="AA79">
        <v>140112</v>
      </c>
      <c r="AB79">
        <v>476111</v>
      </c>
      <c r="AC79">
        <v>109244</v>
      </c>
    </row>
    <row r="80" spans="1:37" x14ac:dyDescent="0.3">
      <c r="B80" s="10" t="s">
        <v>227</v>
      </c>
      <c r="C80" s="10" t="s">
        <v>235</v>
      </c>
      <c r="D80" s="10" t="s">
        <v>236</v>
      </c>
      <c r="E80" s="10" t="s">
        <v>237</v>
      </c>
      <c r="F80" s="10" t="s">
        <v>239</v>
      </c>
      <c r="G80" s="10" t="s">
        <v>238</v>
      </c>
      <c r="H80" s="10" t="s">
        <v>240</v>
      </c>
      <c r="I80" s="10" t="s">
        <v>241</v>
      </c>
      <c r="J80" s="10" t="s">
        <v>242</v>
      </c>
      <c r="K80" s="10" t="s">
        <v>243</v>
      </c>
      <c r="L80" s="10" t="s">
        <v>244</v>
      </c>
      <c r="M80" s="10" t="s">
        <v>245</v>
      </c>
      <c r="Y80" t="s">
        <v>252</v>
      </c>
      <c r="Z80">
        <v>568422</v>
      </c>
      <c r="AA80">
        <v>210842</v>
      </c>
      <c r="AB80">
        <v>493041</v>
      </c>
      <c r="AC80" t="s">
        <v>533</v>
      </c>
    </row>
    <row r="81" spans="1:27" x14ac:dyDescent="0.3">
      <c r="A81" t="s">
        <v>229</v>
      </c>
      <c r="B81">
        <v>268157</v>
      </c>
      <c r="C81">
        <v>101023</v>
      </c>
      <c r="D81">
        <v>272431</v>
      </c>
      <c r="E81">
        <v>90107</v>
      </c>
      <c r="F81">
        <v>271630</v>
      </c>
      <c r="G81">
        <v>90271</v>
      </c>
      <c r="H81">
        <v>279415</v>
      </c>
      <c r="I81">
        <v>139242</v>
      </c>
      <c r="J81">
        <v>280784</v>
      </c>
      <c r="K81">
        <v>21679</v>
      </c>
      <c r="L81">
        <v>272163</v>
      </c>
      <c r="M81">
        <v>90782</v>
      </c>
      <c r="Y81" t="s">
        <v>232</v>
      </c>
      <c r="Z81">
        <v>268979</v>
      </c>
      <c r="AA81">
        <v>169766</v>
      </c>
    </row>
    <row r="82" spans="1:27" x14ac:dyDescent="0.3">
      <c r="A82" t="s">
        <v>233</v>
      </c>
      <c r="B82">
        <v>800436</v>
      </c>
      <c r="C82">
        <v>354107</v>
      </c>
      <c r="D82">
        <v>818942</v>
      </c>
      <c r="E82">
        <v>322352</v>
      </c>
      <c r="F82">
        <v>794166</v>
      </c>
      <c r="G82">
        <v>299626</v>
      </c>
      <c r="H82">
        <v>797715</v>
      </c>
      <c r="I82">
        <v>488520</v>
      </c>
      <c r="J82">
        <v>824321</v>
      </c>
      <c r="K82">
        <v>21830</v>
      </c>
      <c r="L82">
        <v>800407</v>
      </c>
      <c r="M82">
        <v>320674</v>
      </c>
      <c r="Y82" t="s">
        <v>234</v>
      </c>
      <c r="Z82">
        <v>465359</v>
      </c>
      <c r="AA82">
        <v>254949</v>
      </c>
    </row>
    <row r="83" spans="1:27" x14ac:dyDescent="0.3">
      <c r="A83" t="s">
        <v>252</v>
      </c>
      <c r="B83">
        <v>1265968</v>
      </c>
      <c r="C83">
        <v>568649</v>
      </c>
      <c r="D83">
        <v>1203190</v>
      </c>
      <c r="E83">
        <v>583201</v>
      </c>
      <c r="F83">
        <v>1234022</v>
      </c>
      <c r="G83">
        <v>524254</v>
      </c>
      <c r="H83">
        <v>1281724</v>
      </c>
      <c r="I83">
        <v>869170</v>
      </c>
      <c r="J83">
        <v>1260332</v>
      </c>
      <c r="K83">
        <v>20500</v>
      </c>
      <c r="L83">
        <v>1256035</v>
      </c>
      <c r="M83">
        <v>556511</v>
      </c>
      <c r="Y83" t="s">
        <v>253</v>
      </c>
      <c r="Z83">
        <v>558473</v>
      </c>
      <c r="AA83">
        <v>306935</v>
      </c>
    </row>
    <row r="84" spans="1:27" x14ac:dyDescent="0.3">
      <c r="A84" t="s">
        <v>414</v>
      </c>
      <c r="B84">
        <v>1309562</v>
      </c>
      <c r="C84">
        <v>932872</v>
      </c>
      <c r="D84">
        <v>1342583</v>
      </c>
      <c r="E84">
        <v>893639</v>
      </c>
      <c r="F84">
        <v>1317083</v>
      </c>
      <c r="G84">
        <v>809541</v>
      </c>
      <c r="H84">
        <v>1354152</v>
      </c>
      <c r="I84">
        <v>1505010</v>
      </c>
      <c r="J84">
        <v>1409465</v>
      </c>
      <c r="K84">
        <v>15060</v>
      </c>
      <c r="L84">
        <v>1375107</v>
      </c>
      <c r="M84">
        <v>864869</v>
      </c>
    </row>
    <row r="85" spans="1:27" x14ac:dyDescent="0.3">
      <c r="A85" t="s">
        <v>232</v>
      </c>
      <c r="B85">
        <v>516885</v>
      </c>
      <c r="C85">
        <v>333362</v>
      </c>
      <c r="D85">
        <v>526414</v>
      </c>
      <c r="E85">
        <v>380844</v>
      </c>
      <c r="F85">
        <v>530382</v>
      </c>
      <c r="G85">
        <v>434250</v>
      </c>
      <c r="H85">
        <v>529895</v>
      </c>
      <c r="I85">
        <v>476581</v>
      </c>
      <c r="J85">
        <v>529016</v>
      </c>
      <c r="K85">
        <v>22455</v>
      </c>
      <c r="L85">
        <v>524311</v>
      </c>
      <c r="M85">
        <v>304603</v>
      </c>
    </row>
    <row r="86" spans="1:27" x14ac:dyDescent="0.3">
      <c r="A86" t="s">
        <v>234</v>
      </c>
      <c r="B86">
        <v>1464469</v>
      </c>
      <c r="C86">
        <v>853459</v>
      </c>
      <c r="D86">
        <v>1476188</v>
      </c>
      <c r="E86">
        <v>1046370</v>
      </c>
      <c r="F86">
        <v>1633922</v>
      </c>
      <c r="G86">
        <v>854836</v>
      </c>
      <c r="H86">
        <v>1530832</v>
      </c>
      <c r="I86">
        <v>1038699</v>
      </c>
      <c r="J86">
        <v>1566095</v>
      </c>
      <c r="K86">
        <v>23528</v>
      </c>
      <c r="L86">
        <v>1588868</v>
      </c>
      <c r="M86">
        <v>854867</v>
      </c>
    </row>
    <row r="87" spans="1:27" x14ac:dyDescent="0.3">
      <c r="A87" t="s">
        <v>253</v>
      </c>
      <c r="B87">
        <v>2536101</v>
      </c>
      <c r="C87">
        <v>1058139</v>
      </c>
      <c r="D87">
        <v>2437880</v>
      </c>
      <c r="E87">
        <v>1299439</v>
      </c>
      <c r="F87">
        <v>2583582</v>
      </c>
      <c r="G87">
        <v>1243711</v>
      </c>
      <c r="H87">
        <v>2628701</v>
      </c>
      <c r="I87">
        <v>1424581</v>
      </c>
      <c r="J87">
        <v>2430430</v>
      </c>
      <c r="K87">
        <v>21439</v>
      </c>
      <c r="L87">
        <v>2620046</v>
      </c>
      <c r="M87">
        <v>1282772</v>
      </c>
    </row>
    <row r="88" spans="1:27" x14ac:dyDescent="0.3">
      <c r="A88" t="s">
        <v>321</v>
      </c>
      <c r="B88">
        <v>3073737</v>
      </c>
      <c r="C88">
        <v>1153923</v>
      </c>
      <c r="D88">
        <v>3193549</v>
      </c>
      <c r="E88">
        <v>1302119</v>
      </c>
      <c r="F88">
        <v>3068014</v>
      </c>
      <c r="G88">
        <v>1201977</v>
      </c>
      <c r="H88">
        <v>3113008</v>
      </c>
      <c r="I88">
        <v>1459294</v>
      </c>
      <c r="J88">
        <v>2975534</v>
      </c>
      <c r="K88">
        <v>20792</v>
      </c>
      <c r="L88">
        <v>2885656</v>
      </c>
      <c r="M88">
        <v>1450022</v>
      </c>
    </row>
    <row r="99" spans="1:21" s="7" customFormat="1" x14ac:dyDescent="0.3">
      <c r="F99" s="7" t="s">
        <v>472</v>
      </c>
      <c r="R99" s="41" t="s">
        <v>475</v>
      </c>
      <c r="S99" s="42"/>
      <c r="T99" s="42"/>
      <c r="U99" s="42"/>
    </row>
    <row r="100" spans="1:21" s="7" customFormat="1" x14ac:dyDescent="0.3">
      <c r="B100" s="12" t="s">
        <v>227</v>
      </c>
      <c r="C100" s="12" t="s">
        <v>235</v>
      </c>
      <c r="D100" s="12" t="s">
        <v>236</v>
      </c>
      <c r="E100" s="12" t="s">
        <v>237</v>
      </c>
      <c r="F100" s="12" t="s">
        <v>239</v>
      </c>
      <c r="G100" s="12" t="s">
        <v>238</v>
      </c>
      <c r="H100" s="12" t="s">
        <v>240</v>
      </c>
      <c r="I100" s="12" t="s">
        <v>241</v>
      </c>
      <c r="J100" s="12" t="s">
        <v>242</v>
      </c>
      <c r="K100" s="12" t="s">
        <v>243</v>
      </c>
      <c r="L100" s="12" t="s">
        <v>244</v>
      </c>
      <c r="M100" s="12" t="s">
        <v>245</v>
      </c>
      <c r="R100" s="42"/>
      <c r="S100" s="42"/>
      <c r="T100" s="42"/>
      <c r="U100" s="42"/>
    </row>
    <row r="101" spans="1:21" s="7" customFormat="1" x14ac:dyDescent="0.3">
      <c r="A101" s="7" t="s">
        <v>229</v>
      </c>
      <c r="B101" s="7">
        <v>283189</v>
      </c>
      <c r="C101" s="7">
        <v>111857</v>
      </c>
      <c r="D101" s="7">
        <v>285354</v>
      </c>
      <c r="E101" s="7">
        <v>113857</v>
      </c>
      <c r="F101" s="7">
        <v>283098</v>
      </c>
      <c r="G101" s="7">
        <v>122845</v>
      </c>
      <c r="H101" s="7">
        <v>279757</v>
      </c>
      <c r="I101" s="7">
        <v>154028</v>
      </c>
      <c r="J101" s="7">
        <v>277408</v>
      </c>
      <c r="K101" s="7">
        <v>25733</v>
      </c>
      <c r="L101" s="7">
        <v>280751</v>
      </c>
      <c r="M101" s="7">
        <v>109294</v>
      </c>
      <c r="N101" s="40" t="s">
        <v>473</v>
      </c>
      <c r="O101" s="40"/>
      <c r="P101" s="40" t="s">
        <v>474</v>
      </c>
      <c r="Q101" s="40"/>
      <c r="R101" s="42"/>
      <c r="S101" s="42"/>
      <c r="T101" s="42"/>
      <c r="U101" s="42"/>
    </row>
    <row r="102" spans="1:21" s="7" customFormat="1" x14ac:dyDescent="0.3">
      <c r="A102" s="7" t="s">
        <v>233</v>
      </c>
      <c r="B102" s="7">
        <v>853170</v>
      </c>
      <c r="C102" s="7">
        <v>393855</v>
      </c>
      <c r="D102" s="7">
        <v>795949</v>
      </c>
      <c r="E102" s="7">
        <v>417048</v>
      </c>
      <c r="F102" s="7">
        <v>795748</v>
      </c>
      <c r="G102" s="7">
        <v>402406</v>
      </c>
      <c r="H102" s="7">
        <v>814104</v>
      </c>
      <c r="I102" s="7">
        <v>589847</v>
      </c>
      <c r="J102" s="7">
        <v>863301</v>
      </c>
      <c r="K102" s="7">
        <v>23597</v>
      </c>
      <c r="L102" s="7">
        <v>860946</v>
      </c>
      <c r="M102" s="7">
        <v>412814</v>
      </c>
      <c r="N102" s="40"/>
      <c r="O102" s="40"/>
      <c r="P102" s="40"/>
      <c r="Q102" s="40"/>
      <c r="R102" s="42"/>
      <c r="S102" s="42"/>
      <c r="T102" s="42"/>
      <c r="U102" s="42"/>
    </row>
    <row r="103" spans="1:21" s="7" customFormat="1" x14ac:dyDescent="0.3">
      <c r="A103" s="7" t="s">
        <v>252</v>
      </c>
      <c r="B103" s="7">
        <v>1300542</v>
      </c>
      <c r="C103" s="7">
        <v>642489</v>
      </c>
      <c r="D103" s="7">
        <v>1359009</v>
      </c>
      <c r="E103" s="7">
        <v>826467</v>
      </c>
      <c r="F103" s="7">
        <v>1338850</v>
      </c>
      <c r="G103" s="7">
        <v>731891</v>
      </c>
      <c r="H103" s="7">
        <v>1329203</v>
      </c>
      <c r="I103" s="7">
        <v>1221867</v>
      </c>
      <c r="J103" s="7">
        <v>1309436</v>
      </c>
      <c r="K103" s="7">
        <v>19784</v>
      </c>
      <c r="L103" s="7">
        <v>1314540</v>
      </c>
      <c r="M103" s="7">
        <v>734706</v>
      </c>
      <c r="N103" s="40"/>
      <c r="O103" s="40"/>
      <c r="P103" s="40"/>
      <c r="Q103" s="40"/>
      <c r="R103" s="42"/>
      <c r="S103" s="42"/>
      <c r="T103" s="42"/>
      <c r="U103" s="42"/>
    </row>
    <row r="104" spans="1:21" s="7" customFormat="1" x14ac:dyDescent="0.3">
      <c r="A104" s="7" t="s">
        <v>232</v>
      </c>
      <c r="B104" s="7">
        <v>569859</v>
      </c>
      <c r="C104" s="7">
        <v>307797</v>
      </c>
      <c r="D104" s="7">
        <v>570275</v>
      </c>
      <c r="E104" s="7">
        <v>370927</v>
      </c>
      <c r="F104" s="7">
        <v>561965</v>
      </c>
      <c r="G104" s="7">
        <v>413787</v>
      </c>
      <c r="H104" s="7">
        <v>570710</v>
      </c>
      <c r="I104" s="7">
        <v>460763</v>
      </c>
      <c r="J104" s="7">
        <v>561306</v>
      </c>
      <c r="K104" s="7">
        <v>26230</v>
      </c>
      <c r="L104" s="7">
        <v>576302</v>
      </c>
      <c r="M104" s="7">
        <v>299650</v>
      </c>
      <c r="N104" s="40"/>
      <c r="O104" s="40"/>
      <c r="P104" s="40"/>
      <c r="Q104" s="40"/>
      <c r="R104" s="42"/>
      <c r="S104" s="42"/>
      <c r="T104" s="42"/>
      <c r="U104" s="42"/>
    </row>
    <row r="105" spans="1:21" s="7" customFormat="1" x14ac:dyDescent="0.3">
      <c r="A105" s="7" t="s">
        <v>234</v>
      </c>
      <c r="B105" s="7">
        <v>1812596</v>
      </c>
      <c r="C105" s="7">
        <v>826408</v>
      </c>
      <c r="D105" s="7">
        <v>1869553</v>
      </c>
      <c r="E105" s="7">
        <v>937020</v>
      </c>
      <c r="F105" s="7">
        <v>1840421</v>
      </c>
      <c r="G105" s="7">
        <v>946683</v>
      </c>
      <c r="H105" s="7">
        <v>1868163</v>
      </c>
      <c r="I105" s="7">
        <v>1253324</v>
      </c>
      <c r="J105" s="7">
        <v>1858915</v>
      </c>
      <c r="K105" s="7">
        <v>30433</v>
      </c>
      <c r="L105" s="7">
        <v>1791651</v>
      </c>
      <c r="M105" s="7">
        <v>879147</v>
      </c>
      <c r="N105" s="40"/>
      <c r="O105" s="40"/>
      <c r="P105" s="40"/>
      <c r="Q105" s="40"/>
      <c r="R105" s="42"/>
      <c r="S105" s="42"/>
      <c r="T105" s="42"/>
      <c r="U105" s="42"/>
    </row>
    <row r="106" spans="1:21" s="7" customFormat="1" x14ac:dyDescent="0.3">
      <c r="A106" s="7" t="s">
        <v>253</v>
      </c>
      <c r="B106" s="7">
        <v>3183371</v>
      </c>
      <c r="C106" s="7">
        <v>1214902</v>
      </c>
      <c r="D106" s="7">
        <v>3203098</v>
      </c>
      <c r="E106" s="7">
        <v>1268177</v>
      </c>
      <c r="F106" s="7">
        <v>3235357</v>
      </c>
      <c r="G106" s="7">
        <v>1167329</v>
      </c>
      <c r="H106" s="7">
        <v>3234293</v>
      </c>
      <c r="I106" s="7">
        <v>1435577</v>
      </c>
      <c r="J106" s="7">
        <v>3175446</v>
      </c>
      <c r="K106" s="7">
        <v>32219</v>
      </c>
      <c r="L106" s="7">
        <v>3159357</v>
      </c>
      <c r="M106" s="7">
        <v>1366234</v>
      </c>
      <c r="N106" s="40"/>
      <c r="O106" s="40"/>
      <c r="P106" s="40"/>
      <c r="Q106" s="40"/>
      <c r="R106" s="42"/>
      <c r="S106" s="42"/>
      <c r="T106" s="42"/>
      <c r="U106" s="42"/>
    </row>
    <row r="107" spans="1:21" s="7" customFormat="1" x14ac:dyDescent="0.3">
      <c r="A107" s="7" t="s">
        <v>468</v>
      </c>
      <c r="B107" s="7">
        <v>450720</v>
      </c>
      <c r="C107" s="7">
        <v>195459</v>
      </c>
      <c r="D107" s="7">
        <v>438742</v>
      </c>
      <c r="E107" s="7">
        <v>185045</v>
      </c>
      <c r="F107" s="7">
        <v>461901</v>
      </c>
      <c r="G107" s="7">
        <v>220713</v>
      </c>
      <c r="H107" s="7">
        <v>457192</v>
      </c>
      <c r="I107" s="7">
        <v>278632</v>
      </c>
      <c r="J107" s="7">
        <v>432599</v>
      </c>
      <c r="K107" s="7">
        <v>25919</v>
      </c>
      <c r="N107" s="40"/>
      <c r="O107" s="40"/>
      <c r="P107" s="40"/>
      <c r="Q107" s="40"/>
      <c r="R107" s="42"/>
      <c r="S107" s="42"/>
      <c r="T107" s="42"/>
      <c r="U107" s="42"/>
    </row>
    <row r="108" spans="1:21" s="7" customFormat="1" x14ac:dyDescent="0.3">
      <c r="A108" s="7" t="s">
        <v>469</v>
      </c>
      <c r="B108" s="7">
        <v>1468723</v>
      </c>
      <c r="C108" s="7">
        <v>589776</v>
      </c>
      <c r="D108" s="7">
        <v>1505877</v>
      </c>
      <c r="E108" s="7">
        <v>538096</v>
      </c>
      <c r="F108" s="7">
        <v>1478914</v>
      </c>
      <c r="G108" s="7">
        <v>603392</v>
      </c>
      <c r="H108" s="7">
        <v>1482880</v>
      </c>
      <c r="I108" s="7">
        <v>740536</v>
      </c>
      <c r="J108" s="7">
        <v>1499494</v>
      </c>
      <c r="K108" s="7">
        <v>29930</v>
      </c>
      <c r="N108" s="40"/>
      <c r="O108" s="40"/>
      <c r="P108" s="40"/>
      <c r="Q108" s="40"/>
      <c r="R108" s="42"/>
      <c r="S108" s="42"/>
      <c r="T108" s="42"/>
      <c r="U108" s="42"/>
    </row>
    <row r="109" spans="1:21" s="7" customFormat="1" x14ac:dyDescent="0.3">
      <c r="A109" s="7" t="s">
        <v>470</v>
      </c>
      <c r="B109" s="7">
        <v>2620385</v>
      </c>
      <c r="C109" s="7">
        <v>824628</v>
      </c>
      <c r="D109" s="7">
        <v>2569928</v>
      </c>
      <c r="E109" s="7">
        <v>907737</v>
      </c>
      <c r="F109" s="7">
        <v>2578913</v>
      </c>
      <c r="G109" s="7">
        <v>831016</v>
      </c>
      <c r="H109" s="7">
        <v>2620428</v>
      </c>
      <c r="I109" s="7">
        <v>1044672</v>
      </c>
      <c r="J109" s="7">
        <v>2615225</v>
      </c>
      <c r="K109" s="7">
        <v>31353</v>
      </c>
      <c r="R109" s="42"/>
      <c r="S109" s="42"/>
      <c r="T109" s="42"/>
      <c r="U109" s="42"/>
    </row>
    <row r="110" spans="1:21" s="7" customFormat="1" x14ac:dyDescent="0.3">
      <c r="B110" s="7" t="s">
        <v>471</v>
      </c>
      <c r="R110" s="42"/>
      <c r="S110" s="42"/>
      <c r="T110" s="42"/>
      <c r="U110" s="42"/>
    </row>
    <row r="111" spans="1:21" s="7" customFormat="1" x14ac:dyDescent="0.3">
      <c r="B111" s="12" t="s">
        <v>227</v>
      </c>
      <c r="C111" s="12" t="s">
        <v>235</v>
      </c>
      <c r="D111" s="12" t="s">
        <v>236</v>
      </c>
      <c r="E111" s="12" t="s">
        <v>237</v>
      </c>
      <c r="F111" s="12" t="s">
        <v>239</v>
      </c>
      <c r="G111" s="12" t="s">
        <v>238</v>
      </c>
      <c r="H111" s="12" t="s">
        <v>240</v>
      </c>
      <c r="I111" s="12" t="s">
        <v>241</v>
      </c>
      <c r="J111" s="12" t="s">
        <v>242</v>
      </c>
      <c r="K111" s="12" t="s">
        <v>243</v>
      </c>
      <c r="L111" s="12" t="s">
        <v>244</v>
      </c>
      <c r="M111" s="12" t="s">
        <v>245</v>
      </c>
      <c r="R111" s="42"/>
      <c r="S111" s="42"/>
      <c r="T111" s="42"/>
      <c r="U111" s="42"/>
    </row>
    <row r="112" spans="1:21" s="7" customFormat="1" x14ac:dyDescent="0.3">
      <c r="A112" s="7" t="s">
        <v>229</v>
      </c>
      <c r="B112" s="7">
        <v>270064</v>
      </c>
      <c r="C112" s="7">
        <v>79961</v>
      </c>
      <c r="D112" s="7">
        <v>277675</v>
      </c>
      <c r="E112" s="7">
        <v>65960</v>
      </c>
      <c r="F112" s="7">
        <v>273050</v>
      </c>
      <c r="G112" s="7">
        <v>52299</v>
      </c>
      <c r="H112" s="7">
        <v>262785</v>
      </c>
      <c r="I112" s="7">
        <v>101157</v>
      </c>
      <c r="J112" s="7">
        <v>259384</v>
      </c>
      <c r="K112" s="7">
        <v>13381</v>
      </c>
      <c r="L112" s="7">
        <v>271167</v>
      </c>
      <c r="M112" s="7">
        <v>65374</v>
      </c>
      <c r="R112" s="42"/>
      <c r="S112" s="42"/>
      <c r="T112" s="42"/>
      <c r="U112" s="42"/>
    </row>
    <row r="113" spans="1:21" s="7" customFormat="1" x14ac:dyDescent="0.3">
      <c r="A113" s="7" t="s">
        <v>233</v>
      </c>
      <c r="B113" s="7">
        <v>810283</v>
      </c>
      <c r="C113" s="7">
        <v>301582</v>
      </c>
      <c r="D113" s="7">
        <v>865093</v>
      </c>
      <c r="E113" s="7">
        <v>233963</v>
      </c>
      <c r="F113" s="7">
        <v>855336</v>
      </c>
      <c r="G113" s="7">
        <v>197060</v>
      </c>
      <c r="H113" s="7">
        <v>857963</v>
      </c>
      <c r="I113" s="7">
        <v>370525</v>
      </c>
      <c r="J113" s="7">
        <v>799355</v>
      </c>
      <c r="K113" s="7">
        <v>8864</v>
      </c>
      <c r="L113" s="7">
        <v>843196</v>
      </c>
      <c r="M113" s="7">
        <v>268917</v>
      </c>
      <c r="R113" s="42"/>
      <c r="S113" s="42"/>
      <c r="T113" s="42"/>
      <c r="U113" s="42"/>
    </row>
    <row r="114" spans="1:21" s="7" customFormat="1" x14ac:dyDescent="0.3">
      <c r="A114" s="7" t="s">
        <v>252</v>
      </c>
      <c r="B114" s="7">
        <v>1342967</v>
      </c>
      <c r="C114" s="7">
        <v>488993</v>
      </c>
      <c r="D114" s="7">
        <v>1351347</v>
      </c>
      <c r="E114" s="7">
        <v>456116</v>
      </c>
      <c r="F114" s="7">
        <v>1354228</v>
      </c>
      <c r="G114" s="7">
        <v>352521</v>
      </c>
      <c r="H114" s="7">
        <v>1327101</v>
      </c>
      <c r="I114" s="7">
        <v>787305</v>
      </c>
      <c r="J114" s="7">
        <v>1292640</v>
      </c>
      <c r="K114" s="7">
        <v>6260</v>
      </c>
      <c r="L114" s="7">
        <v>1320946</v>
      </c>
      <c r="M114" s="7">
        <v>468545</v>
      </c>
      <c r="R114" s="42"/>
      <c r="S114" s="42"/>
      <c r="T114" s="42"/>
      <c r="U114" s="42"/>
    </row>
    <row r="115" spans="1:21" s="7" customFormat="1" x14ac:dyDescent="0.3">
      <c r="A115" s="7" t="s">
        <v>232</v>
      </c>
      <c r="B115" s="7">
        <v>557460</v>
      </c>
      <c r="C115" s="7">
        <v>295281</v>
      </c>
      <c r="D115" s="7">
        <v>553897</v>
      </c>
      <c r="E115" s="7">
        <v>351511</v>
      </c>
      <c r="F115" s="7">
        <v>566122</v>
      </c>
      <c r="G115" s="7">
        <v>378966</v>
      </c>
      <c r="H115" s="7">
        <v>556230</v>
      </c>
      <c r="I115" s="7">
        <v>448774</v>
      </c>
      <c r="J115" s="7">
        <v>571021</v>
      </c>
      <c r="K115" s="7">
        <v>14170</v>
      </c>
      <c r="L115" s="7">
        <v>552097</v>
      </c>
      <c r="M115" s="7">
        <v>279840</v>
      </c>
      <c r="R115" s="42"/>
      <c r="S115" s="42"/>
      <c r="T115" s="42"/>
      <c r="U115" s="42"/>
    </row>
    <row r="116" spans="1:21" s="7" customFormat="1" x14ac:dyDescent="0.3">
      <c r="A116" s="7" t="s">
        <v>234</v>
      </c>
      <c r="B116" s="7">
        <v>1815336</v>
      </c>
      <c r="C116" s="7">
        <v>724227</v>
      </c>
      <c r="D116" s="7">
        <v>1774813</v>
      </c>
      <c r="E116" s="7">
        <v>763966</v>
      </c>
      <c r="F116" s="7">
        <v>1815839</v>
      </c>
      <c r="G116" s="7">
        <v>742692</v>
      </c>
      <c r="H116" s="7">
        <v>1802757</v>
      </c>
      <c r="I116" s="7">
        <v>930383</v>
      </c>
      <c r="J116" s="7">
        <v>1797628</v>
      </c>
      <c r="K116" s="7">
        <v>14399</v>
      </c>
      <c r="L116" s="7">
        <v>1748028</v>
      </c>
      <c r="M116" s="7">
        <v>794044</v>
      </c>
      <c r="R116" s="42"/>
      <c r="S116" s="42"/>
      <c r="T116" s="42"/>
      <c r="U116" s="42"/>
    </row>
    <row r="117" spans="1:21" s="7" customFormat="1" x14ac:dyDescent="0.3">
      <c r="A117" s="7" t="s">
        <v>253</v>
      </c>
      <c r="B117" s="7">
        <v>3211245</v>
      </c>
      <c r="C117" s="7">
        <v>1096955</v>
      </c>
      <c r="D117" s="7">
        <v>3097357</v>
      </c>
      <c r="E117" s="7">
        <v>1086716</v>
      </c>
      <c r="F117" s="7">
        <v>3159761</v>
      </c>
      <c r="G117" s="7">
        <v>1053206</v>
      </c>
      <c r="H117" s="7">
        <v>3216881</v>
      </c>
      <c r="I117" s="7">
        <v>1283187</v>
      </c>
      <c r="J117" s="7">
        <v>3088846</v>
      </c>
      <c r="K117" s="7">
        <v>12014</v>
      </c>
      <c r="L117" s="7">
        <v>3129918</v>
      </c>
      <c r="M117" s="7">
        <v>1283996</v>
      </c>
      <c r="R117" s="42"/>
      <c r="S117" s="42"/>
      <c r="T117" s="42"/>
      <c r="U117" s="42"/>
    </row>
    <row r="118" spans="1:21" s="7" customFormat="1" x14ac:dyDescent="0.3">
      <c r="A118" s="7" t="s">
        <v>468</v>
      </c>
      <c r="R118" s="42"/>
      <c r="S118" s="42"/>
      <c r="T118" s="42"/>
      <c r="U118" s="42"/>
    </row>
    <row r="119" spans="1:21" s="7" customFormat="1" x14ac:dyDescent="0.3">
      <c r="A119" s="7" t="s">
        <v>469</v>
      </c>
      <c r="R119" s="42"/>
      <c r="S119" s="42"/>
      <c r="T119" s="42"/>
      <c r="U119" s="42"/>
    </row>
    <row r="120" spans="1:21" s="7" customFormat="1" x14ac:dyDescent="0.3">
      <c r="A120" s="7" t="s">
        <v>470</v>
      </c>
      <c r="R120" s="42"/>
      <c r="S120" s="42"/>
      <c r="T120" s="42"/>
      <c r="U120" s="42"/>
    </row>
    <row r="125" spans="1:21" x14ac:dyDescent="0.3">
      <c r="A125" s="8"/>
      <c r="B125" s="8"/>
      <c r="C125" s="8"/>
      <c r="D125" s="8"/>
      <c r="E125" s="8"/>
      <c r="F125" s="8" t="s">
        <v>472</v>
      </c>
      <c r="G125" s="8"/>
      <c r="H125" s="8"/>
      <c r="I125" s="8"/>
      <c r="J125" s="8"/>
      <c r="K125" s="8"/>
      <c r="L125" s="8"/>
      <c r="M125" s="8"/>
    </row>
    <row r="126" spans="1:21" x14ac:dyDescent="0.3">
      <c r="A126" s="8"/>
      <c r="B126" s="13" t="s">
        <v>227</v>
      </c>
      <c r="C126" s="13" t="s">
        <v>235</v>
      </c>
      <c r="D126" s="13" t="s">
        <v>236</v>
      </c>
      <c r="E126" s="13" t="s">
        <v>237</v>
      </c>
      <c r="F126" s="13" t="s">
        <v>239</v>
      </c>
      <c r="G126" s="13" t="s">
        <v>238</v>
      </c>
      <c r="H126" s="13" t="s">
        <v>240</v>
      </c>
      <c r="I126" s="13" t="s">
        <v>241</v>
      </c>
      <c r="J126" s="13" t="s">
        <v>242</v>
      </c>
      <c r="K126" s="13" t="s">
        <v>243</v>
      </c>
      <c r="L126" s="13" t="s">
        <v>244</v>
      </c>
      <c r="M126" s="13" t="s">
        <v>245</v>
      </c>
    </row>
    <row r="127" spans="1:21" x14ac:dyDescent="0.3">
      <c r="A127" s="8" t="s">
        <v>229</v>
      </c>
      <c r="B127" s="8">
        <v>120049</v>
      </c>
      <c r="C127" s="8">
        <v>54456</v>
      </c>
      <c r="D127" s="8">
        <v>122493</v>
      </c>
      <c r="E127" s="8">
        <v>61200</v>
      </c>
      <c r="F127">
        <v>119881</v>
      </c>
      <c r="G127">
        <v>67957</v>
      </c>
      <c r="H127">
        <v>119328</v>
      </c>
      <c r="I127">
        <v>90336</v>
      </c>
      <c r="J127" s="8">
        <v>120835</v>
      </c>
      <c r="K127" s="8">
        <v>8785</v>
      </c>
      <c r="L127" s="8">
        <v>121785</v>
      </c>
      <c r="M127" s="8">
        <v>53710</v>
      </c>
    </row>
    <row r="128" spans="1:21" x14ac:dyDescent="0.3">
      <c r="A128" s="8" t="s">
        <v>233</v>
      </c>
      <c r="B128" s="8">
        <v>223872</v>
      </c>
      <c r="C128" s="8">
        <v>99847</v>
      </c>
      <c r="D128" s="8">
        <v>238241</v>
      </c>
      <c r="E128" s="8">
        <v>104118</v>
      </c>
      <c r="F128">
        <v>235693</v>
      </c>
      <c r="G128">
        <v>107454</v>
      </c>
      <c r="H128">
        <v>235394</v>
      </c>
      <c r="I128">
        <v>126855</v>
      </c>
      <c r="J128" s="8">
        <v>228313</v>
      </c>
      <c r="K128" s="8">
        <v>7215</v>
      </c>
      <c r="L128" s="8">
        <v>229093</v>
      </c>
      <c r="M128" s="8">
        <v>121346</v>
      </c>
    </row>
    <row r="129" spans="1:13" x14ac:dyDescent="0.3">
      <c r="A129" s="8" t="s">
        <v>252</v>
      </c>
      <c r="B129" s="8">
        <v>317446</v>
      </c>
      <c r="C129" s="8">
        <v>127164</v>
      </c>
      <c r="D129" s="8">
        <v>346829</v>
      </c>
      <c r="E129" s="8">
        <v>133573</v>
      </c>
      <c r="F129">
        <v>344138</v>
      </c>
      <c r="G129">
        <v>149156</v>
      </c>
      <c r="H129">
        <v>336415</v>
      </c>
      <c r="I129">
        <v>158032</v>
      </c>
      <c r="J129" s="8">
        <v>340956</v>
      </c>
      <c r="K129" s="8">
        <v>6525</v>
      </c>
      <c r="L129" s="8">
        <v>317505</v>
      </c>
      <c r="M129" s="8">
        <v>161826</v>
      </c>
    </row>
    <row r="130" spans="1:13" x14ac:dyDescent="0.3">
      <c r="A130" s="8" t="s">
        <v>468</v>
      </c>
      <c r="B130" s="8">
        <v>125698</v>
      </c>
      <c r="C130" s="8">
        <v>93687</v>
      </c>
      <c r="D130" s="8">
        <v>127263</v>
      </c>
      <c r="E130" s="8">
        <v>123284</v>
      </c>
      <c r="F130">
        <v>123213</v>
      </c>
      <c r="G130">
        <v>139579</v>
      </c>
      <c r="H130">
        <v>121345</v>
      </c>
      <c r="I130">
        <v>150757</v>
      </c>
      <c r="J130" s="8">
        <v>121677</v>
      </c>
      <c r="K130" s="8">
        <v>9143</v>
      </c>
      <c r="L130" s="8">
        <v>124927</v>
      </c>
      <c r="M130" s="8">
        <v>96497</v>
      </c>
    </row>
    <row r="131" spans="1:13" x14ac:dyDescent="0.3">
      <c r="A131" s="8" t="s">
        <v>469</v>
      </c>
      <c r="B131" s="8">
        <v>236803</v>
      </c>
      <c r="C131" s="8">
        <v>115412</v>
      </c>
      <c r="D131" s="8">
        <v>221810</v>
      </c>
      <c r="E131" s="8">
        <v>185086</v>
      </c>
      <c r="F131">
        <v>227578</v>
      </c>
      <c r="G131">
        <v>176919</v>
      </c>
      <c r="H131">
        <v>219908</v>
      </c>
      <c r="I131">
        <v>199593</v>
      </c>
      <c r="J131" s="8">
        <v>228372</v>
      </c>
      <c r="K131" s="8">
        <v>7084</v>
      </c>
      <c r="L131" s="8">
        <v>216179</v>
      </c>
      <c r="M131" s="8">
        <v>188747</v>
      </c>
    </row>
    <row r="132" spans="1:13" x14ac:dyDescent="0.3">
      <c r="A132" s="8" t="s">
        <v>470</v>
      </c>
      <c r="B132" s="8">
        <v>316198</v>
      </c>
      <c r="C132" s="8">
        <v>143163</v>
      </c>
      <c r="D132" s="8">
        <v>344962</v>
      </c>
      <c r="E132" s="8">
        <v>173192</v>
      </c>
      <c r="F132">
        <v>314551</v>
      </c>
      <c r="G132">
        <v>228274</v>
      </c>
      <c r="H132">
        <v>333146</v>
      </c>
      <c r="I132">
        <v>193944</v>
      </c>
      <c r="J132" s="8">
        <v>330121</v>
      </c>
      <c r="K132" s="8">
        <v>6575</v>
      </c>
      <c r="L132" s="8">
        <v>316539</v>
      </c>
      <c r="M132" s="8">
        <v>209560</v>
      </c>
    </row>
    <row r="133" spans="1:13" x14ac:dyDescent="0.3">
      <c r="A133" s="8" t="s">
        <v>232</v>
      </c>
      <c r="B133" s="8">
        <v>120156</v>
      </c>
      <c r="C133" s="8">
        <v>136427</v>
      </c>
      <c r="D133" s="8">
        <v>121981</v>
      </c>
      <c r="E133" s="8">
        <v>207088</v>
      </c>
      <c r="F133">
        <v>127172</v>
      </c>
      <c r="G133">
        <v>251246</v>
      </c>
      <c r="H133">
        <v>121347</v>
      </c>
      <c r="I133">
        <v>236815</v>
      </c>
      <c r="J133" s="8">
        <v>121113</v>
      </c>
      <c r="K133" s="8">
        <v>9183</v>
      </c>
      <c r="L133" s="8">
        <v>121658</v>
      </c>
      <c r="M133" s="8">
        <v>161448</v>
      </c>
    </row>
    <row r="134" spans="1:13" x14ac:dyDescent="0.3">
      <c r="A134" s="8" t="s">
        <v>234</v>
      </c>
      <c r="B134" s="8">
        <v>229334</v>
      </c>
      <c r="C134" s="8">
        <v>151107</v>
      </c>
      <c r="D134" s="8">
        <v>216482</v>
      </c>
      <c r="E134" s="8">
        <v>273745</v>
      </c>
      <c r="F134">
        <v>227993</v>
      </c>
      <c r="G134">
        <v>256361</v>
      </c>
      <c r="H134">
        <v>232737</v>
      </c>
      <c r="I134">
        <v>240875</v>
      </c>
      <c r="J134" s="8">
        <v>242053</v>
      </c>
      <c r="K134" s="8">
        <v>7141</v>
      </c>
      <c r="L134" s="8">
        <v>221352</v>
      </c>
      <c r="M134" s="8">
        <v>218919</v>
      </c>
    </row>
    <row r="135" spans="1:13" x14ac:dyDescent="0.3">
      <c r="A135" s="8" t="s">
        <v>253</v>
      </c>
      <c r="B135" s="8">
        <v>334951</v>
      </c>
      <c r="C135" s="8">
        <v>216752</v>
      </c>
      <c r="D135" s="8">
        <v>324846</v>
      </c>
      <c r="E135" s="8">
        <v>289321</v>
      </c>
      <c r="F135">
        <v>320194</v>
      </c>
      <c r="G135">
        <v>290397</v>
      </c>
      <c r="H135">
        <v>325768</v>
      </c>
      <c r="I135">
        <v>515418</v>
      </c>
      <c r="J135" s="8">
        <v>345265</v>
      </c>
      <c r="K135" s="8">
        <v>6531</v>
      </c>
      <c r="L135" s="8">
        <v>313029</v>
      </c>
      <c r="M135" s="8">
        <v>293742</v>
      </c>
    </row>
    <row r="137" spans="1:13" x14ac:dyDescent="0.3">
      <c r="H137" t="s">
        <v>534</v>
      </c>
      <c r="I137">
        <v>189027</v>
      </c>
      <c r="J137" s="8"/>
      <c r="K137" s="8"/>
      <c r="L137" s="8"/>
      <c r="M137" s="8"/>
    </row>
    <row r="138" spans="1:13" x14ac:dyDescent="0.3">
      <c r="H138" t="s">
        <v>535</v>
      </c>
      <c r="I138">
        <v>306321</v>
      </c>
      <c r="J138" s="8"/>
      <c r="K138" s="8"/>
      <c r="L138" s="8"/>
      <c r="M138" s="8"/>
    </row>
    <row r="139" spans="1:13" x14ac:dyDescent="0.3">
      <c r="H139" t="s">
        <v>536</v>
      </c>
      <c r="J139" s="8"/>
      <c r="K139" s="8"/>
      <c r="L139" s="8"/>
      <c r="M139" s="8"/>
    </row>
    <row r="140" spans="1:13" x14ac:dyDescent="0.3">
      <c r="J140" s="8"/>
      <c r="K140" s="8"/>
      <c r="L140" s="8"/>
      <c r="M140" s="8"/>
    </row>
    <row r="141" spans="1:13" x14ac:dyDescent="0.3">
      <c r="J141" s="8"/>
      <c r="K141" s="8"/>
      <c r="L141" s="8"/>
      <c r="M141" s="8"/>
    </row>
    <row r="142" spans="1:13" x14ac:dyDescent="0.3">
      <c r="J142" s="8"/>
      <c r="K142" s="8"/>
      <c r="L142" s="8"/>
      <c r="M142" s="8"/>
    </row>
    <row r="143" spans="1:13" x14ac:dyDescent="0.3">
      <c r="J143" s="8"/>
      <c r="K143" s="8"/>
      <c r="L143" s="8"/>
      <c r="M143" s="8"/>
    </row>
    <row r="144" spans="1:13" x14ac:dyDescent="0.3">
      <c r="J144" s="8"/>
      <c r="K144" s="8"/>
      <c r="L144" s="8"/>
      <c r="M144" s="8"/>
    </row>
    <row r="145" spans="1:13" x14ac:dyDescent="0.3">
      <c r="J145" s="8"/>
      <c r="K145" s="8"/>
      <c r="L145" s="8"/>
      <c r="M145" s="8"/>
    </row>
    <row r="146" spans="1:13" x14ac:dyDescent="0.3">
      <c r="A146" s="8"/>
      <c r="B146" s="13" t="s">
        <v>227</v>
      </c>
      <c r="C146" s="13" t="s">
        <v>235</v>
      </c>
      <c r="D146" s="13" t="s">
        <v>236</v>
      </c>
      <c r="E146" s="13" t="s">
        <v>237</v>
      </c>
      <c r="F146" s="13" t="s">
        <v>239</v>
      </c>
      <c r="G146" s="13" t="s">
        <v>238</v>
      </c>
      <c r="H146" s="13" t="s">
        <v>240</v>
      </c>
      <c r="I146" s="13" t="s">
        <v>241</v>
      </c>
      <c r="J146" s="13" t="s">
        <v>242</v>
      </c>
      <c r="K146" s="13" t="s">
        <v>243</v>
      </c>
      <c r="L146" s="13" t="s">
        <v>244</v>
      </c>
      <c r="M146" s="13" t="s">
        <v>245</v>
      </c>
    </row>
    <row r="147" spans="1:13" x14ac:dyDescent="0.3">
      <c r="A147" s="8" t="s">
        <v>229</v>
      </c>
      <c r="B147" s="8">
        <v>121884</v>
      </c>
      <c r="C147" s="8">
        <v>51956</v>
      </c>
      <c r="D147" s="8">
        <v>120319</v>
      </c>
      <c r="E147" s="8">
        <v>51409</v>
      </c>
      <c r="F147">
        <v>118754</v>
      </c>
      <c r="G147">
        <v>51517</v>
      </c>
      <c r="H147">
        <v>122232</v>
      </c>
      <c r="I147">
        <v>69201</v>
      </c>
      <c r="J147" s="8">
        <v>120542</v>
      </c>
      <c r="K147" s="8">
        <v>8785</v>
      </c>
      <c r="L147" s="8">
        <v>119090</v>
      </c>
      <c r="M147" s="8">
        <v>46223</v>
      </c>
    </row>
    <row r="148" spans="1:13" x14ac:dyDescent="0.3">
      <c r="A148" s="8" t="s">
        <v>233</v>
      </c>
      <c r="B148" s="8">
        <v>221200</v>
      </c>
      <c r="C148" s="8">
        <v>85696</v>
      </c>
      <c r="D148" s="8">
        <v>219339</v>
      </c>
      <c r="E148" s="8">
        <v>105830</v>
      </c>
      <c r="F148">
        <v>230893</v>
      </c>
      <c r="G148">
        <v>96376</v>
      </c>
      <c r="H148">
        <v>213560</v>
      </c>
      <c r="I148">
        <v>134585</v>
      </c>
      <c r="J148" s="8">
        <v>213949</v>
      </c>
      <c r="K148" s="8">
        <v>7215</v>
      </c>
      <c r="L148" s="8">
        <v>217677</v>
      </c>
      <c r="M148" s="8">
        <v>113651</v>
      </c>
    </row>
    <row r="149" spans="1:13" x14ac:dyDescent="0.3">
      <c r="A149" s="8" t="s">
        <v>252</v>
      </c>
      <c r="B149" s="8">
        <v>324536</v>
      </c>
      <c r="C149" s="8">
        <v>114071</v>
      </c>
      <c r="D149" s="8">
        <v>334638</v>
      </c>
      <c r="E149" s="8">
        <v>139011</v>
      </c>
      <c r="F149">
        <v>327242</v>
      </c>
      <c r="G149">
        <v>128710</v>
      </c>
      <c r="H149">
        <v>344210</v>
      </c>
      <c r="I149">
        <v>147106</v>
      </c>
      <c r="J149" s="8">
        <v>327304</v>
      </c>
      <c r="K149" s="8">
        <v>6525</v>
      </c>
      <c r="L149" s="8">
        <v>310954</v>
      </c>
      <c r="M149" s="8">
        <v>149957</v>
      </c>
    </row>
    <row r="150" spans="1:13" x14ac:dyDescent="0.3">
      <c r="A150" s="8" t="s">
        <v>468</v>
      </c>
      <c r="B150" s="8">
        <v>123772</v>
      </c>
      <c r="C150" s="8">
        <v>84535</v>
      </c>
      <c r="D150" s="8">
        <v>125768</v>
      </c>
      <c r="E150" s="8">
        <v>115993</v>
      </c>
      <c r="F150">
        <v>127909</v>
      </c>
      <c r="G150">
        <v>113098</v>
      </c>
      <c r="H150">
        <v>129638</v>
      </c>
      <c r="I150">
        <v>129799</v>
      </c>
      <c r="J150" s="8">
        <v>127310</v>
      </c>
      <c r="K150" s="8">
        <v>9143</v>
      </c>
      <c r="L150" s="8">
        <v>127972</v>
      </c>
      <c r="M150" s="8">
        <v>93241</v>
      </c>
    </row>
    <row r="151" spans="1:13" x14ac:dyDescent="0.3">
      <c r="A151" s="8" t="s">
        <v>469</v>
      </c>
      <c r="B151" s="8">
        <v>231379</v>
      </c>
      <c r="C151" s="8">
        <v>101852</v>
      </c>
      <c r="D151" s="8">
        <v>231970</v>
      </c>
      <c r="E151" s="8">
        <v>150286</v>
      </c>
      <c r="F151">
        <v>219163</v>
      </c>
      <c r="G151">
        <v>177927</v>
      </c>
      <c r="H151">
        <v>224538</v>
      </c>
      <c r="I151">
        <v>159284</v>
      </c>
      <c r="J151" s="8">
        <v>221925</v>
      </c>
      <c r="K151" s="8">
        <v>7084</v>
      </c>
      <c r="L151" s="8">
        <v>229935</v>
      </c>
      <c r="M151" s="8">
        <v>145118</v>
      </c>
    </row>
    <row r="152" spans="1:13" x14ac:dyDescent="0.3">
      <c r="A152" s="8" t="s">
        <v>470</v>
      </c>
      <c r="B152" s="8">
        <v>326245</v>
      </c>
      <c r="C152" s="8">
        <v>134021</v>
      </c>
      <c r="D152" s="8">
        <v>314466</v>
      </c>
      <c r="E152" s="8">
        <v>219176</v>
      </c>
      <c r="F152">
        <v>309537</v>
      </c>
      <c r="G152">
        <v>213652</v>
      </c>
      <c r="H152">
        <v>324545</v>
      </c>
      <c r="I152">
        <v>214734</v>
      </c>
      <c r="J152" s="8">
        <v>312577</v>
      </c>
      <c r="K152" s="8">
        <v>6575</v>
      </c>
      <c r="L152" s="8">
        <v>327773</v>
      </c>
      <c r="M152" s="8">
        <v>192049</v>
      </c>
    </row>
    <row r="153" spans="1:13" x14ac:dyDescent="0.3">
      <c r="A153" s="8" t="s">
        <v>232</v>
      </c>
      <c r="B153" s="8">
        <v>125157</v>
      </c>
      <c r="C153" s="8">
        <v>121866</v>
      </c>
      <c r="D153" s="8">
        <v>126715</v>
      </c>
      <c r="E153" s="8">
        <v>172477</v>
      </c>
      <c r="F153">
        <v>124730</v>
      </c>
      <c r="G153">
        <v>207937</v>
      </c>
      <c r="H153">
        <v>124555</v>
      </c>
      <c r="I153">
        <v>228590</v>
      </c>
      <c r="J153" s="8">
        <v>122535</v>
      </c>
      <c r="K153" s="8">
        <v>9183</v>
      </c>
      <c r="L153" s="8">
        <v>126477</v>
      </c>
      <c r="M153" s="8">
        <v>145415</v>
      </c>
    </row>
    <row r="154" spans="1:13" x14ac:dyDescent="0.3">
      <c r="A154" s="8" t="s">
        <v>234</v>
      </c>
      <c r="B154" s="8">
        <v>223319</v>
      </c>
      <c r="C154" s="8">
        <v>136300</v>
      </c>
      <c r="D154" s="8">
        <v>227955</v>
      </c>
      <c r="E154" s="8">
        <v>180055</v>
      </c>
      <c r="F154">
        <v>225963</v>
      </c>
      <c r="G154">
        <v>182172</v>
      </c>
      <c r="H154">
        <v>219839</v>
      </c>
      <c r="I154">
        <v>237803</v>
      </c>
      <c r="J154" s="8">
        <v>220665</v>
      </c>
      <c r="K154" s="8">
        <v>7141</v>
      </c>
      <c r="L154" s="8">
        <v>234996</v>
      </c>
      <c r="M154" s="8">
        <v>169221</v>
      </c>
    </row>
    <row r="155" spans="1:13" x14ac:dyDescent="0.3">
      <c r="A155" s="8" t="s">
        <v>253</v>
      </c>
      <c r="B155" s="8">
        <v>333994</v>
      </c>
      <c r="C155" s="8">
        <v>133357</v>
      </c>
      <c r="D155" s="8">
        <v>317898</v>
      </c>
      <c r="E155" s="8">
        <v>274871</v>
      </c>
      <c r="F155">
        <v>305893</v>
      </c>
      <c r="G155">
        <v>315941</v>
      </c>
      <c r="H155">
        <v>313626</v>
      </c>
      <c r="I155">
        <v>396476</v>
      </c>
      <c r="J155">
        <v>331807</v>
      </c>
      <c r="K155" s="8">
        <v>6531</v>
      </c>
      <c r="L155" s="8">
        <v>326087</v>
      </c>
      <c r="M155" s="8">
        <v>236370</v>
      </c>
    </row>
    <row r="157" spans="1:13" x14ac:dyDescent="0.3">
      <c r="J157" s="8">
        <v>5031</v>
      </c>
    </row>
    <row r="158" spans="1:13" x14ac:dyDescent="0.3">
      <c r="J158" s="8">
        <v>4145</v>
      </c>
    </row>
    <row r="159" spans="1:13" x14ac:dyDescent="0.3">
      <c r="J159" s="8">
        <v>2812</v>
      </c>
    </row>
    <row r="160" spans="1:13" x14ac:dyDescent="0.3">
      <c r="J160" s="8">
        <v>5447</v>
      </c>
    </row>
    <row r="161" spans="1:13" x14ac:dyDescent="0.3">
      <c r="J161" s="8">
        <v>4170</v>
      </c>
    </row>
    <row r="162" spans="1:13" x14ac:dyDescent="0.3">
      <c r="J162" s="8">
        <v>2835</v>
      </c>
    </row>
    <row r="163" spans="1:13" x14ac:dyDescent="0.3">
      <c r="J163" s="8">
        <v>4893</v>
      </c>
    </row>
    <row r="164" spans="1:13" x14ac:dyDescent="0.3">
      <c r="J164" s="8">
        <v>4393</v>
      </c>
    </row>
    <row r="165" spans="1:13" x14ac:dyDescent="0.3">
      <c r="J165">
        <v>2876</v>
      </c>
    </row>
    <row r="168" spans="1:13" x14ac:dyDescent="0.3">
      <c r="A168" s="31" t="s">
        <v>576</v>
      </c>
      <c r="B168" s="31"/>
      <c r="C168" s="31"/>
      <c r="D168" s="31"/>
      <c r="E168" s="31"/>
      <c r="F168" s="31"/>
      <c r="G168" s="31"/>
    </row>
    <row r="169" spans="1:13" x14ac:dyDescent="0.3">
      <c r="A169" s="8"/>
      <c r="B169" s="13" t="s">
        <v>227</v>
      </c>
      <c r="C169" s="13" t="s">
        <v>235</v>
      </c>
      <c r="D169" s="13" t="s">
        <v>236</v>
      </c>
      <c r="E169" s="13" t="s">
        <v>237</v>
      </c>
      <c r="F169" s="13" t="s">
        <v>239</v>
      </c>
      <c r="G169" s="13" t="s">
        <v>238</v>
      </c>
      <c r="H169" s="13" t="s">
        <v>240</v>
      </c>
      <c r="I169" s="13" t="s">
        <v>241</v>
      </c>
      <c r="J169" s="13" t="s">
        <v>242</v>
      </c>
      <c r="K169" s="13" t="s">
        <v>243</v>
      </c>
      <c r="L169" s="13" t="s">
        <v>244</v>
      </c>
      <c r="M169" s="13" t="s">
        <v>245</v>
      </c>
    </row>
    <row r="170" spans="1:13" x14ac:dyDescent="0.3">
      <c r="A170" t="s">
        <v>229</v>
      </c>
      <c r="B170" s="8">
        <v>279062</v>
      </c>
      <c r="C170" s="8">
        <v>33261</v>
      </c>
      <c r="D170" s="8">
        <v>278082</v>
      </c>
      <c r="E170" s="8">
        <v>20436</v>
      </c>
      <c r="F170">
        <v>267839</v>
      </c>
      <c r="G170">
        <v>15808</v>
      </c>
      <c r="H170">
        <v>274824</v>
      </c>
      <c r="I170">
        <v>28667</v>
      </c>
      <c r="J170">
        <v>263795</v>
      </c>
      <c r="K170">
        <v>10490</v>
      </c>
      <c r="L170" s="8">
        <v>273765</v>
      </c>
      <c r="M170" s="8">
        <v>25996</v>
      </c>
    </row>
    <row r="171" spans="1:13" x14ac:dyDescent="0.3">
      <c r="A171" t="s">
        <v>233</v>
      </c>
      <c r="B171" s="8">
        <v>719996</v>
      </c>
      <c r="C171" s="8">
        <v>123074</v>
      </c>
      <c r="D171" s="8">
        <v>767488</v>
      </c>
      <c r="E171" s="8">
        <v>80926</v>
      </c>
      <c r="F171">
        <v>745596</v>
      </c>
      <c r="G171">
        <v>58112</v>
      </c>
      <c r="H171">
        <v>755670</v>
      </c>
      <c r="I171">
        <v>121624</v>
      </c>
      <c r="J171">
        <v>790157</v>
      </c>
      <c r="K171">
        <v>13004</v>
      </c>
      <c r="L171" s="8">
        <v>739123</v>
      </c>
      <c r="M171" s="8">
        <v>100548</v>
      </c>
    </row>
    <row r="172" spans="1:13" x14ac:dyDescent="0.3">
      <c r="A172" t="s">
        <v>252</v>
      </c>
      <c r="B172" s="8">
        <v>1159733</v>
      </c>
      <c r="C172" s="8">
        <v>208280</v>
      </c>
      <c r="D172" s="8">
        <v>1131200</v>
      </c>
      <c r="E172" s="8">
        <v>143821</v>
      </c>
      <c r="F172">
        <v>1093153</v>
      </c>
      <c r="G172">
        <v>100443</v>
      </c>
      <c r="H172">
        <v>1112539</v>
      </c>
      <c r="I172">
        <v>215906</v>
      </c>
      <c r="J172">
        <v>1145504</v>
      </c>
      <c r="K172">
        <v>11528</v>
      </c>
      <c r="L172" s="8">
        <v>1037030</v>
      </c>
      <c r="M172" s="8">
        <v>174373</v>
      </c>
    </row>
    <row r="173" spans="1:13" x14ac:dyDescent="0.3">
      <c r="A173" t="s">
        <v>232</v>
      </c>
      <c r="B173" s="8">
        <v>497590</v>
      </c>
      <c r="C173" s="8">
        <v>246883</v>
      </c>
      <c r="D173" s="8">
        <v>480598</v>
      </c>
      <c r="E173" s="8">
        <v>266937</v>
      </c>
      <c r="F173">
        <v>468931</v>
      </c>
      <c r="G173">
        <v>264963</v>
      </c>
      <c r="H173">
        <v>476926</v>
      </c>
      <c r="I173">
        <v>332225</v>
      </c>
      <c r="J173">
        <v>491514</v>
      </c>
      <c r="K173">
        <v>10500</v>
      </c>
      <c r="L173" s="8">
        <v>476564</v>
      </c>
      <c r="M173" s="8">
        <v>228196</v>
      </c>
    </row>
    <row r="174" spans="1:13" x14ac:dyDescent="0.3">
      <c r="A174" t="s">
        <v>234</v>
      </c>
      <c r="B174" s="8">
        <v>1258131</v>
      </c>
      <c r="C174" s="8">
        <v>532808</v>
      </c>
      <c r="D174" s="8">
        <v>1218366</v>
      </c>
      <c r="E174" s="8">
        <v>645229</v>
      </c>
      <c r="F174">
        <v>1183987</v>
      </c>
      <c r="G174">
        <v>557883</v>
      </c>
      <c r="H174">
        <v>1130302</v>
      </c>
      <c r="I174">
        <v>719272</v>
      </c>
      <c r="J174">
        <v>1364009</v>
      </c>
      <c r="K174">
        <v>12707</v>
      </c>
      <c r="L174" s="8">
        <v>1173993</v>
      </c>
      <c r="M174" s="8">
        <v>554199</v>
      </c>
    </row>
    <row r="175" spans="1:13" x14ac:dyDescent="0.3">
      <c r="A175" t="s">
        <v>253</v>
      </c>
      <c r="B175" s="8">
        <v>1790196</v>
      </c>
      <c r="C175" s="8">
        <v>761496</v>
      </c>
      <c r="D175" s="8">
        <v>1435299</v>
      </c>
      <c r="E175" s="8">
        <v>865318</v>
      </c>
      <c r="F175">
        <v>1382196</v>
      </c>
      <c r="G175">
        <v>694881</v>
      </c>
      <c r="H175">
        <v>1194094</v>
      </c>
      <c r="I175">
        <v>1032728</v>
      </c>
      <c r="J175">
        <v>1105667</v>
      </c>
      <c r="K175">
        <v>11415</v>
      </c>
      <c r="L175" s="8">
        <v>1108397</v>
      </c>
      <c r="M175" s="8">
        <v>813056</v>
      </c>
    </row>
    <row r="176" spans="1:13" x14ac:dyDescent="0.3">
      <c r="F176">
        <v>279859</v>
      </c>
    </row>
    <row r="177" spans="1:13" x14ac:dyDescent="0.3">
      <c r="D177" s="8"/>
      <c r="E177" s="8"/>
      <c r="F177">
        <v>766872</v>
      </c>
      <c r="G177">
        <v>57809</v>
      </c>
      <c r="J177" s="8">
        <v>275946</v>
      </c>
      <c r="K177" s="8">
        <v>3118</v>
      </c>
      <c r="L177" s="8"/>
      <c r="M177" s="8"/>
    </row>
    <row r="178" spans="1:13" x14ac:dyDescent="0.3">
      <c r="A178" s="8"/>
      <c r="D178" s="8"/>
      <c r="E178" s="8"/>
      <c r="F178">
        <v>1127129</v>
      </c>
      <c r="G178">
        <v>100967</v>
      </c>
      <c r="J178" s="8">
        <v>749481</v>
      </c>
      <c r="K178" s="8">
        <v>3914</v>
      </c>
      <c r="L178" s="8"/>
      <c r="M178" s="8"/>
    </row>
    <row r="179" spans="1:13" x14ac:dyDescent="0.3">
      <c r="F179">
        <v>482947</v>
      </c>
      <c r="G179">
        <v>266129</v>
      </c>
      <c r="J179" s="8">
        <v>1082198</v>
      </c>
      <c r="K179" s="8">
        <v>3748</v>
      </c>
    </row>
    <row r="180" spans="1:13" x14ac:dyDescent="0.3">
      <c r="F180">
        <v>1208473</v>
      </c>
      <c r="G180">
        <v>567649</v>
      </c>
      <c r="J180" s="8">
        <v>473926</v>
      </c>
      <c r="K180" s="8">
        <v>3479</v>
      </c>
    </row>
    <row r="181" spans="1:13" x14ac:dyDescent="0.3">
      <c r="F181">
        <v>1415071</v>
      </c>
      <c r="G181">
        <v>772617</v>
      </c>
      <c r="J181" s="8">
        <v>1218959</v>
      </c>
      <c r="K181" s="8">
        <v>4638</v>
      </c>
    </row>
    <row r="182" spans="1:13" x14ac:dyDescent="0.3">
      <c r="J182" s="8">
        <v>1147576</v>
      </c>
      <c r="K182" s="8">
        <v>3597</v>
      </c>
    </row>
    <row r="186" spans="1:13" x14ac:dyDescent="0.3">
      <c r="A186" s="31" t="s">
        <v>577</v>
      </c>
      <c r="B186" s="31"/>
      <c r="C186" s="31"/>
      <c r="D186" s="31"/>
      <c r="E186" s="31"/>
      <c r="I186">
        <v>282704</v>
      </c>
    </row>
    <row r="187" spans="1:13" x14ac:dyDescent="0.3">
      <c r="A187" s="8"/>
      <c r="B187" s="13" t="s">
        <v>227</v>
      </c>
      <c r="C187" s="13" t="s">
        <v>235</v>
      </c>
      <c r="D187" s="13" t="s">
        <v>236</v>
      </c>
      <c r="E187" s="13" t="s">
        <v>237</v>
      </c>
      <c r="F187" s="13" t="s">
        <v>239</v>
      </c>
      <c r="G187" s="13" t="s">
        <v>238</v>
      </c>
      <c r="H187" s="13" t="s">
        <v>240</v>
      </c>
      <c r="I187" s="13" t="s">
        <v>241</v>
      </c>
      <c r="J187" s="13" t="s">
        <v>242</v>
      </c>
      <c r="K187" s="13" t="s">
        <v>243</v>
      </c>
      <c r="L187" s="13" t="s">
        <v>244</v>
      </c>
      <c r="M187" s="13" t="s">
        <v>245</v>
      </c>
    </row>
    <row r="188" spans="1:13" x14ac:dyDescent="0.3">
      <c r="A188" t="s">
        <v>233</v>
      </c>
      <c r="B188">
        <v>316135</v>
      </c>
      <c r="C188">
        <v>256504</v>
      </c>
      <c r="D188">
        <v>314121</v>
      </c>
      <c r="E188">
        <v>225751</v>
      </c>
      <c r="F188">
        <v>328360</v>
      </c>
      <c r="G188">
        <v>178688</v>
      </c>
      <c r="H188">
        <v>320057</v>
      </c>
      <c r="I188">
        <v>282704</v>
      </c>
      <c r="J188">
        <v>318881</v>
      </c>
      <c r="K188">
        <v>58644</v>
      </c>
      <c r="L188">
        <v>316486</v>
      </c>
      <c r="M188">
        <v>244055</v>
      </c>
    </row>
    <row r="189" spans="1:13" x14ac:dyDescent="0.3">
      <c r="A189" t="s">
        <v>252</v>
      </c>
      <c r="B189">
        <v>518129</v>
      </c>
      <c r="C189">
        <v>405108</v>
      </c>
      <c r="D189">
        <v>486578</v>
      </c>
      <c r="E189">
        <v>408076</v>
      </c>
      <c r="F189">
        <v>493363</v>
      </c>
      <c r="G189">
        <v>364791</v>
      </c>
      <c r="H189">
        <v>491367</v>
      </c>
      <c r="I189">
        <v>525388</v>
      </c>
      <c r="J189">
        <v>515756</v>
      </c>
      <c r="K189">
        <v>111312</v>
      </c>
      <c r="L189">
        <v>490092</v>
      </c>
      <c r="M189">
        <v>422087</v>
      </c>
    </row>
    <row r="191" spans="1:13" x14ac:dyDescent="0.3">
      <c r="B191" t="s">
        <v>585</v>
      </c>
    </row>
    <row r="192" spans="1:13" x14ac:dyDescent="0.3">
      <c r="A192" s="8"/>
      <c r="B192" s="13" t="s">
        <v>227</v>
      </c>
      <c r="C192" s="13" t="s">
        <v>235</v>
      </c>
      <c r="D192" s="13" t="s">
        <v>236</v>
      </c>
      <c r="E192" s="13" t="s">
        <v>237</v>
      </c>
      <c r="F192" s="13" t="s">
        <v>239</v>
      </c>
      <c r="G192" s="13" t="s">
        <v>238</v>
      </c>
      <c r="H192" s="13" t="s">
        <v>240</v>
      </c>
      <c r="I192" s="13" t="s">
        <v>241</v>
      </c>
      <c r="J192" s="13" t="s">
        <v>242</v>
      </c>
      <c r="K192" s="13" t="s">
        <v>243</v>
      </c>
      <c r="L192" s="13" t="s">
        <v>244</v>
      </c>
      <c r="M192" s="13" t="s">
        <v>245</v>
      </c>
    </row>
    <row r="193" spans="1:13" x14ac:dyDescent="0.3">
      <c r="A193" t="s">
        <v>589</v>
      </c>
      <c r="B193">
        <v>261334</v>
      </c>
      <c r="C193">
        <v>106732</v>
      </c>
      <c r="D193">
        <v>279262</v>
      </c>
      <c r="E193">
        <v>120946</v>
      </c>
      <c r="F193">
        <v>284107</v>
      </c>
      <c r="G193">
        <v>120072</v>
      </c>
      <c r="H193">
        <v>292120</v>
      </c>
      <c r="I193">
        <v>155745</v>
      </c>
      <c r="J193">
        <v>291171</v>
      </c>
      <c r="K193">
        <v>27443</v>
      </c>
      <c r="L193">
        <v>282569</v>
      </c>
      <c r="M193">
        <v>109839</v>
      </c>
    </row>
    <row r="194" spans="1:13" x14ac:dyDescent="0.3">
      <c r="A194" t="s">
        <v>233</v>
      </c>
      <c r="B194">
        <v>337162</v>
      </c>
      <c r="C194">
        <v>290601</v>
      </c>
      <c r="D194">
        <v>337657</v>
      </c>
      <c r="E194">
        <v>353613</v>
      </c>
      <c r="F194">
        <v>347058</v>
      </c>
      <c r="G194">
        <v>350023</v>
      </c>
      <c r="H194">
        <v>334549</v>
      </c>
      <c r="I194">
        <v>496530</v>
      </c>
      <c r="J194">
        <v>336898</v>
      </c>
      <c r="K194">
        <v>48083</v>
      </c>
      <c r="L194">
        <v>333974</v>
      </c>
      <c r="M194">
        <v>324284</v>
      </c>
    </row>
    <row r="195" spans="1:13" x14ac:dyDescent="0.3">
      <c r="A195" t="s">
        <v>252</v>
      </c>
      <c r="B195">
        <v>509369</v>
      </c>
      <c r="C195">
        <v>465106</v>
      </c>
      <c r="D195">
        <v>516283</v>
      </c>
      <c r="E195">
        <v>599925</v>
      </c>
      <c r="F195">
        <v>510078</v>
      </c>
      <c r="G195">
        <v>601763</v>
      </c>
      <c r="H195">
        <v>509705</v>
      </c>
      <c r="I195">
        <v>824756</v>
      </c>
      <c r="J195">
        <v>503978</v>
      </c>
      <c r="K195">
        <v>75422</v>
      </c>
      <c r="L195">
        <v>506589</v>
      </c>
      <c r="M195">
        <v>568706</v>
      </c>
    </row>
    <row r="199" spans="1:13" x14ac:dyDescent="0.3">
      <c r="A199" s="31" t="s">
        <v>578</v>
      </c>
      <c r="B199" s="31"/>
      <c r="C199" s="31"/>
      <c r="D199" s="31"/>
      <c r="E199" s="31"/>
    </row>
    <row r="200" spans="1:13" x14ac:dyDescent="0.3">
      <c r="A200" s="8"/>
      <c r="B200" s="13" t="s">
        <v>227</v>
      </c>
      <c r="C200" s="13" t="s">
        <v>235</v>
      </c>
      <c r="D200" s="13" t="s">
        <v>236</v>
      </c>
      <c r="E200" s="13" t="s">
        <v>237</v>
      </c>
      <c r="F200" s="13" t="s">
        <v>239</v>
      </c>
      <c r="G200" s="13" t="s">
        <v>238</v>
      </c>
      <c r="H200" s="13" t="s">
        <v>240</v>
      </c>
      <c r="I200" s="13" t="s">
        <v>241</v>
      </c>
      <c r="J200" s="13" t="s">
        <v>242</v>
      </c>
      <c r="K200" s="13" t="s">
        <v>243</v>
      </c>
      <c r="L200" s="13" t="s">
        <v>244</v>
      </c>
      <c r="M200" s="13" t="s">
        <v>245</v>
      </c>
    </row>
    <row r="201" spans="1:13" x14ac:dyDescent="0.3">
      <c r="A201" t="s">
        <v>229</v>
      </c>
      <c r="B201">
        <v>158301</v>
      </c>
      <c r="C201">
        <v>71660</v>
      </c>
      <c r="D201">
        <v>155052</v>
      </c>
      <c r="E201">
        <v>44772</v>
      </c>
      <c r="F201">
        <v>149243</v>
      </c>
      <c r="G201">
        <v>35724</v>
      </c>
      <c r="H201">
        <v>147446</v>
      </c>
      <c r="I201">
        <v>94764</v>
      </c>
      <c r="J201">
        <v>155231</v>
      </c>
      <c r="K201">
        <v>7176</v>
      </c>
      <c r="L201">
        <v>152062</v>
      </c>
      <c r="M201">
        <v>49473</v>
      </c>
    </row>
    <row r="202" spans="1:13" x14ac:dyDescent="0.3">
      <c r="A202" t="s">
        <v>233</v>
      </c>
      <c r="B202">
        <v>134187</v>
      </c>
      <c r="C202">
        <v>178873</v>
      </c>
      <c r="D202">
        <v>138655</v>
      </c>
      <c r="E202">
        <v>149420</v>
      </c>
      <c r="F202">
        <v>138464</v>
      </c>
      <c r="G202">
        <v>117332</v>
      </c>
      <c r="H202">
        <v>138076</v>
      </c>
      <c r="I202">
        <v>294564</v>
      </c>
      <c r="J202">
        <v>142152</v>
      </c>
      <c r="K202">
        <v>24564</v>
      </c>
      <c r="L202">
        <v>137096</v>
      </c>
      <c r="M202">
        <v>177684</v>
      </c>
    </row>
    <row r="203" spans="1:13" x14ac:dyDescent="0.3">
      <c r="A203" t="s">
        <v>252</v>
      </c>
      <c r="B203">
        <v>151274</v>
      </c>
      <c r="C203">
        <v>192091</v>
      </c>
      <c r="D203">
        <v>152528</v>
      </c>
      <c r="E203">
        <v>295064</v>
      </c>
      <c r="F203">
        <v>153384</v>
      </c>
      <c r="G203">
        <v>243640</v>
      </c>
      <c r="H203">
        <v>150120</v>
      </c>
      <c r="I203">
        <v>445264</v>
      </c>
      <c r="J203">
        <v>149696</v>
      </c>
      <c r="K203">
        <v>46840</v>
      </c>
      <c r="L203">
        <v>145592</v>
      </c>
      <c r="M203">
        <v>246840</v>
      </c>
    </row>
    <row r="205" spans="1:13" x14ac:dyDescent="0.3">
      <c r="A205" s="31" t="s">
        <v>586</v>
      </c>
      <c r="B205" s="31"/>
      <c r="C205" s="31"/>
      <c r="D205" s="31"/>
      <c r="E205" s="31"/>
    </row>
    <row r="206" spans="1:13" x14ac:dyDescent="0.3">
      <c r="A206" t="s">
        <v>587</v>
      </c>
      <c r="B206">
        <v>1856744</v>
      </c>
      <c r="C206">
        <v>843396</v>
      </c>
      <c r="D206">
        <v>1882772</v>
      </c>
      <c r="E206">
        <v>916612</v>
      </c>
      <c r="F206">
        <v>1876817</v>
      </c>
      <c r="G206">
        <v>931588</v>
      </c>
      <c r="H206">
        <v>1868555</v>
      </c>
      <c r="I206">
        <v>1273126</v>
      </c>
      <c r="J206">
        <v>1860889</v>
      </c>
      <c r="K206">
        <v>30903</v>
      </c>
      <c r="L206">
        <v>1889369</v>
      </c>
      <c r="M206">
        <v>906220</v>
      </c>
    </row>
    <row r="207" spans="1:13" x14ac:dyDescent="0.3">
      <c r="A207" t="s">
        <v>588</v>
      </c>
      <c r="B207">
        <v>3188571</v>
      </c>
      <c r="C207">
        <v>1274233</v>
      </c>
      <c r="D207">
        <v>3219290</v>
      </c>
      <c r="E207">
        <v>1229546</v>
      </c>
      <c r="F207">
        <v>3247846</v>
      </c>
      <c r="G207">
        <v>1253263</v>
      </c>
      <c r="H207">
        <v>3187703</v>
      </c>
      <c r="I207">
        <v>1396296</v>
      </c>
      <c r="J207">
        <v>3195366</v>
      </c>
      <c r="K207">
        <v>32733</v>
      </c>
      <c r="L207">
        <v>3186184</v>
      </c>
      <c r="M207">
        <v>1422267</v>
      </c>
    </row>
    <row r="216" spans="1:13" x14ac:dyDescent="0.3">
      <c r="B216" s="20" t="s">
        <v>227</v>
      </c>
      <c r="C216" s="20" t="s">
        <v>235</v>
      </c>
      <c r="D216" s="20" t="s">
        <v>236</v>
      </c>
      <c r="E216" s="20" t="s">
        <v>237</v>
      </c>
      <c r="F216" s="20" t="s">
        <v>239</v>
      </c>
      <c r="G216" s="20" t="s">
        <v>238</v>
      </c>
      <c r="H216" s="20" t="s">
        <v>240</v>
      </c>
      <c r="I216" s="20" t="s">
        <v>241</v>
      </c>
      <c r="J216" s="20" t="s">
        <v>242</v>
      </c>
      <c r="K216" s="20" t="s">
        <v>243</v>
      </c>
      <c r="L216" s="20" t="s">
        <v>244</v>
      </c>
      <c r="M216" s="20" t="s">
        <v>245</v>
      </c>
    </row>
    <row r="217" spans="1:13" x14ac:dyDescent="0.3">
      <c r="A217" t="s">
        <v>583</v>
      </c>
      <c r="B217">
        <v>134187</v>
      </c>
      <c r="C217">
        <v>178873</v>
      </c>
      <c r="D217">
        <v>138655</v>
      </c>
      <c r="E217">
        <v>149420</v>
      </c>
      <c r="F217">
        <v>138464</v>
      </c>
      <c r="G217">
        <v>117332</v>
      </c>
      <c r="H217">
        <v>138076</v>
      </c>
      <c r="I217">
        <v>294564</v>
      </c>
      <c r="J217">
        <v>142152</v>
      </c>
      <c r="K217">
        <v>7176</v>
      </c>
      <c r="L217">
        <v>137096</v>
      </c>
      <c r="M217">
        <v>177684</v>
      </c>
    </row>
    <row r="218" spans="1:13" x14ac:dyDescent="0.3">
      <c r="A218" t="s">
        <v>582</v>
      </c>
      <c r="B218">
        <v>337162</v>
      </c>
      <c r="C218">
        <v>290601</v>
      </c>
      <c r="D218">
        <v>337657</v>
      </c>
      <c r="E218">
        <v>353613</v>
      </c>
      <c r="F218">
        <v>347058</v>
      </c>
      <c r="G218">
        <v>350023</v>
      </c>
      <c r="H218">
        <v>334549</v>
      </c>
      <c r="I218">
        <v>496530</v>
      </c>
      <c r="J218">
        <v>336898</v>
      </c>
      <c r="K218">
        <v>27443</v>
      </c>
      <c r="L218">
        <v>333974</v>
      </c>
      <c r="M218">
        <v>324284</v>
      </c>
    </row>
    <row r="219" spans="1:13" x14ac:dyDescent="0.3">
      <c r="A219" t="s">
        <v>584</v>
      </c>
      <c r="B219">
        <v>1856744</v>
      </c>
      <c r="C219">
        <v>843396</v>
      </c>
      <c r="D219">
        <v>1882772</v>
      </c>
      <c r="E219">
        <v>916612</v>
      </c>
      <c r="F219">
        <v>1876817</v>
      </c>
      <c r="G219">
        <v>931588</v>
      </c>
      <c r="H219">
        <v>1868555</v>
      </c>
      <c r="I219">
        <v>1273126</v>
      </c>
      <c r="J219">
        <v>1860889</v>
      </c>
      <c r="K219">
        <v>30903</v>
      </c>
      <c r="L219">
        <v>1889369</v>
      </c>
      <c r="M219">
        <v>906220</v>
      </c>
    </row>
    <row r="220" spans="1:13" x14ac:dyDescent="0.3">
      <c r="A220" t="s">
        <v>580</v>
      </c>
      <c r="B220">
        <v>151274</v>
      </c>
      <c r="C220">
        <v>192091</v>
      </c>
      <c r="D220">
        <v>152528</v>
      </c>
      <c r="E220">
        <v>295064</v>
      </c>
      <c r="F220">
        <v>153384</v>
      </c>
      <c r="G220">
        <v>243640</v>
      </c>
      <c r="H220">
        <v>150120</v>
      </c>
      <c r="I220">
        <v>445264</v>
      </c>
      <c r="J220">
        <v>149696</v>
      </c>
      <c r="K220">
        <v>7176</v>
      </c>
      <c r="L220">
        <v>145592</v>
      </c>
      <c r="M220">
        <v>246840</v>
      </c>
    </row>
    <row r="221" spans="1:13" x14ac:dyDescent="0.3">
      <c r="A221" t="s">
        <v>581</v>
      </c>
      <c r="B221">
        <v>509369</v>
      </c>
      <c r="C221">
        <v>465106</v>
      </c>
      <c r="D221">
        <v>516283</v>
      </c>
      <c r="E221">
        <v>599925</v>
      </c>
      <c r="F221">
        <v>510078</v>
      </c>
      <c r="G221">
        <v>601763</v>
      </c>
      <c r="H221">
        <v>509705</v>
      </c>
      <c r="I221">
        <v>824756</v>
      </c>
      <c r="J221">
        <v>503978</v>
      </c>
      <c r="K221">
        <v>27443</v>
      </c>
      <c r="L221">
        <v>506589</v>
      </c>
      <c r="M221">
        <v>568706</v>
      </c>
    </row>
    <row r="222" spans="1:13" x14ac:dyDescent="0.3">
      <c r="A222" t="s">
        <v>579</v>
      </c>
      <c r="B222">
        <v>3188571</v>
      </c>
      <c r="C222">
        <v>1274233</v>
      </c>
      <c r="D222">
        <v>3219290</v>
      </c>
      <c r="E222">
        <v>1229546</v>
      </c>
      <c r="F222">
        <v>3247846</v>
      </c>
      <c r="G222">
        <v>1253263</v>
      </c>
      <c r="H222">
        <v>3187703</v>
      </c>
      <c r="I222">
        <v>1396296</v>
      </c>
      <c r="J222">
        <v>3195366</v>
      </c>
      <c r="K222">
        <v>32733</v>
      </c>
      <c r="L222">
        <v>3186184</v>
      </c>
      <c r="M222">
        <v>1422267</v>
      </c>
    </row>
    <row r="223" spans="1:13" x14ac:dyDescent="0.3">
      <c r="B223" s="21" t="s">
        <v>227</v>
      </c>
      <c r="C223" s="21" t="s">
        <v>235</v>
      </c>
      <c r="D223" s="21" t="s">
        <v>236</v>
      </c>
      <c r="E223" s="21" t="s">
        <v>237</v>
      </c>
      <c r="F223" s="21" t="s">
        <v>239</v>
      </c>
      <c r="G223" s="21" t="s">
        <v>238</v>
      </c>
      <c r="H223" s="21" t="s">
        <v>240</v>
      </c>
      <c r="I223" s="21" t="s">
        <v>241</v>
      </c>
      <c r="J223" s="21" t="s">
        <v>242</v>
      </c>
      <c r="K223" s="21" t="s">
        <v>243</v>
      </c>
      <c r="L223" s="21" t="s">
        <v>244</v>
      </c>
      <c r="M223" s="21" t="s">
        <v>245</v>
      </c>
    </row>
    <row r="224" spans="1:13" x14ac:dyDescent="0.3">
      <c r="A224" t="s">
        <v>582</v>
      </c>
      <c r="B224">
        <f t="shared" ref="B224:M224" si="1">ROUND(B218/1000,0)</f>
        <v>337</v>
      </c>
      <c r="C224">
        <f t="shared" si="1"/>
        <v>291</v>
      </c>
      <c r="D224">
        <f t="shared" si="1"/>
        <v>338</v>
      </c>
      <c r="E224">
        <f t="shared" si="1"/>
        <v>354</v>
      </c>
      <c r="F224">
        <f t="shared" si="1"/>
        <v>347</v>
      </c>
      <c r="G224">
        <f t="shared" si="1"/>
        <v>350</v>
      </c>
      <c r="H224">
        <f t="shared" si="1"/>
        <v>335</v>
      </c>
      <c r="I224">
        <f t="shared" si="1"/>
        <v>497</v>
      </c>
      <c r="J224">
        <f t="shared" si="1"/>
        <v>337</v>
      </c>
      <c r="K224">
        <f t="shared" si="1"/>
        <v>27</v>
      </c>
      <c r="L224">
        <f t="shared" si="1"/>
        <v>334</v>
      </c>
      <c r="M224">
        <f t="shared" si="1"/>
        <v>324</v>
      </c>
    </row>
    <row r="225" spans="1:13" x14ac:dyDescent="0.3">
      <c r="A225" t="s">
        <v>583</v>
      </c>
      <c r="B225">
        <f t="shared" ref="B225:M225" si="2">ROUND(B217/1000,0)</f>
        <v>134</v>
      </c>
      <c r="C225">
        <f t="shared" si="2"/>
        <v>179</v>
      </c>
      <c r="D225">
        <f t="shared" si="2"/>
        <v>139</v>
      </c>
      <c r="E225">
        <f t="shared" si="2"/>
        <v>149</v>
      </c>
      <c r="F225">
        <f t="shared" si="2"/>
        <v>138</v>
      </c>
      <c r="G225">
        <f t="shared" si="2"/>
        <v>117</v>
      </c>
      <c r="H225">
        <f t="shared" si="2"/>
        <v>138</v>
      </c>
      <c r="I225">
        <f t="shared" si="2"/>
        <v>295</v>
      </c>
      <c r="J225">
        <f t="shared" si="2"/>
        <v>142</v>
      </c>
      <c r="K225">
        <f t="shared" si="2"/>
        <v>7</v>
      </c>
      <c r="L225">
        <f t="shared" si="2"/>
        <v>137</v>
      </c>
      <c r="M225">
        <f t="shared" si="2"/>
        <v>178</v>
      </c>
    </row>
    <row r="226" spans="1:13" x14ac:dyDescent="0.3">
      <c r="A226" t="s">
        <v>584</v>
      </c>
      <c r="B226">
        <f t="shared" ref="B226:M226" si="3">ROUND(B219/1000,0)</f>
        <v>1857</v>
      </c>
      <c r="C226">
        <f t="shared" si="3"/>
        <v>843</v>
      </c>
      <c r="D226">
        <f t="shared" si="3"/>
        <v>1883</v>
      </c>
      <c r="E226">
        <f t="shared" si="3"/>
        <v>917</v>
      </c>
      <c r="F226">
        <f t="shared" si="3"/>
        <v>1877</v>
      </c>
      <c r="G226">
        <f t="shared" si="3"/>
        <v>932</v>
      </c>
      <c r="H226">
        <f t="shared" si="3"/>
        <v>1869</v>
      </c>
      <c r="I226">
        <f t="shared" si="3"/>
        <v>1273</v>
      </c>
      <c r="J226">
        <f t="shared" si="3"/>
        <v>1861</v>
      </c>
      <c r="K226">
        <f t="shared" si="3"/>
        <v>31</v>
      </c>
      <c r="L226">
        <f t="shared" si="3"/>
        <v>1889</v>
      </c>
      <c r="M226">
        <f t="shared" si="3"/>
        <v>906</v>
      </c>
    </row>
    <row r="227" spans="1:13" x14ac:dyDescent="0.3">
      <c r="A227" t="s">
        <v>581</v>
      </c>
      <c r="B227">
        <f t="shared" ref="B227:M227" si="4">ROUND(B221/1000,0)</f>
        <v>509</v>
      </c>
      <c r="C227">
        <f t="shared" si="4"/>
        <v>465</v>
      </c>
      <c r="D227">
        <f t="shared" si="4"/>
        <v>516</v>
      </c>
      <c r="E227">
        <f t="shared" si="4"/>
        <v>600</v>
      </c>
      <c r="F227">
        <f t="shared" si="4"/>
        <v>510</v>
      </c>
      <c r="G227">
        <f t="shared" si="4"/>
        <v>602</v>
      </c>
      <c r="H227">
        <f t="shared" si="4"/>
        <v>510</v>
      </c>
      <c r="I227">
        <f t="shared" si="4"/>
        <v>825</v>
      </c>
      <c r="J227">
        <f t="shared" si="4"/>
        <v>504</v>
      </c>
      <c r="K227">
        <f t="shared" si="4"/>
        <v>27</v>
      </c>
      <c r="L227">
        <f t="shared" si="4"/>
        <v>507</v>
      </c>
      <c r="M227">
        <f t="shared" si="4"/>
        <v>569</v>
      </c>
    </row>
    <row r="228" spans="1:13" x14ac:dyDescent="0.3">
      <c r="A228" t="s">
        <v>580</v>
      </c>
      <c r="B228">
        <f t="shared" ref="B228:M228" si="5">ROUND(B220/1000,0)</f>
        <v>151</v>
      </c>
      <c r="C228">
        <f t="shared" si="5"/>
        <v>192</v>
      </c>
      <c r="D228">
        <f t="shared" si="5"/>
        <v>153</v>
      </c>
      <c r="E228">
        <f t="shared" si="5"/>
        <v>295</v>
      </c>
      <c r="F228">
        <f t="shared" si="5"/>
        <v>153</v>
      </c>
      <c r="G228">
        <f t="shared" si="5"/>
        <v>244</v>
      </c>
      <c r="H228">
        <f t="shared" si="5"/>
        <v>150</v>
      </c>
      <c r="I228">
        <f t="shared" si="5"/>
        <v>445</v>
      </c>
      <c r="J228">
        <f t="shared" si="5"/>
        <v>150</v>
      </c>
      <c r="K228">
        <f t="shared" si="5"/>
        <v>7</v>
      </c>
      <c r="L228">
        <f t="shared" si="5"/>
        <v>146</v>
      </c>
      <c r="M228">
        <f t="shared" si="5"/>
        <v>247</v>
      </c>
    </row>
    <row r="229" spans="1:13" x14ac:dyDescent="0.3">
      <c r="A229" t="s">
        <v>579</v>
      </c>
      <c r="B229">
        <f t="shared" ref="B229:M229" si="6">ROUND(B222/1000,0)</f>
        <v>3189</v>
      </c>
      <c r="C229">
        <f t="shared" si="6"/>
        <v>1274</v>
      </c>
      <c r="D229">
        <f t="shared" si="6"/>
        <v>3219</v>
      </c>
      <c r="E229">
        <f t="shared" si="6"/>
        <v>1230</v>
      </c>
      <c r="F229">
        <f t="shared" si="6"/>
        <v>3248</v>
      </c>
      <c r="G229">
        <f t="shared" si="6"/>
        <v>1253</v>
      </c>
      <c r="H229">
        <f t="shared" si="6"/>
        <v>3188</v>
      </c>
      <c r="I229">
        <f t="shared" si="6"/>
        <v>1396</v>
      </c>
      <c r="J229">
        <f t="shared" si="6"/>
        <v>3195</v>
      </c>
      <c r="K229">
        <f t="shared" si="6"/>
        <v>33</v>
      </c>
      <c r="L229">
        <f t="shared" si="6"/>
        <v>3186</v>
      </c>
      <c r="M229">
        <f t="shared" si="6"/>
        <v>1422</v>
      </c>
    </row>
    <row r="232" spans="1:13" x14ac:dyDescent="0.3">
      <c r="A232" t="s">
        <v>660</v>
      </c>
      <c r="B232">
        <v>1235992</v>
      </c>
      <c r="C232">
        <v>610431</v>
      </c>
      <c r="D232">
        <v>1229101</v>
      </c>
      <c r="E232">
        <v>611981</v>
      </c>
      <c r="F232">
        <v>1274586</v>
      </c>
      <c r="G232">
        <v>554287</v>
      </c>
      <c r="H232">
        <v>1246861</v>
      </c>
      <c r="I232">
        <v>870597</v>
      </c>
      <c r="J232">
        <v>1247733</v>
      </c>
      <c r="K232">
        <v>13199</v>
      </c>
      <c r="L232">
        <v>1233246</v>
      </c>
      <c r="M232">
        <v>601531</v>
      </c>
    </row>
    <row r="233" spans="1:13" x14ac:dyDescent="0.3">
      <c r="A233" t="s">
        <v>659</v>
      </c>
      <c r="B233">
        <v>776282</v>
      </c>
      <c r="C233">
        <v>344433</v>
      </c>
      <c r="D233">
        <v>761798</v>
      </c>
      <c r="E233">
        <v>358695</v>
      </c>
      <c r="F233">
        <v>787990</v>
      </c>
      <c r="G233">
        <v>329841</v>
      </c>
      <c r="H233">
        <v>772353</v>
      </c>
      <c r="I233">
        <v>498429</v>
      </c>
      <c r="J233">
        <v>740520</v>
      </c>
      <c r="K233">
        <v>14271</v>
      </c>
      <c r="L233">
        <v>772654</v>
      </c>
      <c r="M233">
        <v>321640</v>
      </c>
    </row>
    <row r="235" spans="1:13" x14ac:dyDescent="0.3">
      <c r="A235" t="s">
        <v>661</v>
      </c>
      <c r="B235">
        <v>602513</v>
      </c>
      <c r="C235">
        <v>1449019</v>
      </c>
      <c r="E235">
        <v>3143592</v>
      </c>
      <c r="G235">
        <v>3380522</v>
      </c>
      <c r="I235">
        <v>3143592</v>
      </c>
      <c r="K235">
        <v>56663</v>
      </c>
      <c r="M235">
        <v>1449019</v>
      </c>
    </row>
    <row r="236" spans="1:13" x14ac:dyDescent="0.3">
      <c r="A236" t="s">
        <v>662</v>
      </c>
      <c r="B236">
        <v>518745</v>
      </c>
      <c r="C236">
        <v>993029</v>
      </c>
      <c r="E236">
        <v>2011197</v>
      </c>
      <c r="G236">
        <v>2352876</v>
      </c>
      <c r="I236">
        <v>2011197</v>
      </c>
      <c r="K236">
        <v>51858</v>
      </c>
      <c r="M236">
        <v>993029</v>
      </c>
    </row>
    <row r="239" spans="1:13" x14ac:dyDescent="0.3">
      <c r="A239" t="s">
        <v>663</v>
      </c>
      <c r="B239">
        <v>343963</v>
      </c>
      <c r="C239">
        <v>854105</v>
      </c>
      <c r="E239">
        <v>2163694</v>
      </c>
      <c r="G239">
        <v>2765014</v>
      </c>
      <c r="K239">
        <v>21427</v>
      </c>
    </row>
    <row r="240" spans="1:13" x14ac:dyDescent="0.3">
      <c r="A240" t="s">
        <v>664</v>
      </c>
      <c r="B240">
        <v>332491</v>
      </c>
      <c r="C240">
        <v>705081</v>
      </c>
      <c r="E240">
        <v>1388215</v>
      </c>
      <c r="G240">
        <v>1670943</v>
      </c>
      <c r="K240">
        <v>18873</v>
      </c>
    </row>
    <row r="242" spans="1:11" x14ac:dyDescent="0.3">
      <c r="A242" s="31" t="s">
        <v>665</v>
      </c>
      <c r="B242" s="31"/>
      <c r="C242" s="31"/>
      <c r="D242" s="31"/>
      <c r="E242" s="31"/>
      <c r="F242" s="31"/>
      <c r="G242" s="31"/>
      <c r="H242" s="31"/>
      <c r="I242" s="31"/>
      <c r="J242" s="31"/>
      <c r="K242" s="31"/>
    </row>
    <row r="243" spans="1:11" x14ac:dyDescent="0.3">
      <c r="A243" s="31"/>
      <c r="B243" s="31"/>
      <c r="C243" s="31"/>
      <c r="D243" s="31"/>
      <c r="E243" s="31"/>
      <c r="F243" s="31"/>
      <c r="G243" s="31"/>
      <c r="H243" s="31"/>
      <c r="I243" s="31"/>
      <c r="J243" s="31"/>
      <c r="K243" s="31"/>
    </row>
    <row r="246" spans="1:11" x14ac:dyDescent="0.3">
      <c r="B246" t="s">
        <v>715</v>
      </c>
      <c r="C246" t="s">
        <v>716</v>
      </c>
      <c r="D246" t="s">
        <v>717</v>
      </c>
      <c r="E246" t="s">
        <v>718</v>
      </c>
      <c r="F246" t="s">
        <v>719</v>
      </c>
      <c r="G246" t="s">
        <v>720</v>
      </c>
      <c r="H246" t="s">
        <v>721</v>
      </c>
    </row>
    <row r="247" spans="1:11" x14ac:dyDescent="0.3">
      <c r="A247" t="s">
        <v>662</v>
      </c>
      <c r="B247">
        <v>1081657</v>
      </c>
      <c r="C247">
        <v>668956</v>
      </c>
      <c r="D247">
        <v>1264210</v>
      </c>
      <c r="E247">
        <v>1298968</v>
      </c>
      <c r="F247">
        <v>1264210</v>
      </c>
      <c r="G247">
        <v>18646</v>
      </c>
      <c r="H247">
        <v>668956</v>
      </c>
    </row>
    <row r="248" spans="1:11" x14ac:dyDescent="0.3">
      <c r="A248" t="s">
        <v>667</v>
      </c>
      <c r="B248">
        <v>1464469</v>
      </c>
      <c r="C248">
        <v>853459</v>
      </c>
      <c r="D248">
        <v>1046370</v>
      </c>
      <c r="E248">
        <v>854836</v>
      </c>
      <c r="F248">
        <v>1038699</v>
      </c>
      <c r="G248">
        <v>23528</v>
      </c>
      <c r="H248">
        <v>854867</v>
      </c>
    </row>
    <row r="249" spans="1:11" x14ac:dyDescent="0.3">
      <c r="A249" t="s">
        <v>661</v>
      </c>
      <c r="B249">
        <v>2128695</v>
      </c>
      <c r="C249">
        <v>872528</v>
      </c>
      <c r="D249">
        <v>2129618</v>
      </c>
      <c r="E249">
        <v>2290424</v>
      </c>
      <c r="F249">
        <v>2129618</v>
      </c>
      <c r="G249">
        <v>23297</v>
      </c>
      <c r="H249">
        <v>872528</v>
      </c>
    </row>
    <row r="250" spans="1:11" x14ac:dyDescent="0.3">
      <c r="A250" t="s">
        <v>666</v>
      </c>
      <c r="B250">
        <v>2536101</v>
      </c>
      <c r="C250">
        <v>1058139</v>
      </c>
      <c r="D250">
        <v>1299439</v>
      </c>
      <c r="E250">
        <v>1243711</v>
      </c>
      <c r="F250">
        <v>1424581</v>
      </c>
      <c r="G250">
        <v>21439</v>
      </c>
      <c r="H250">
        <v>1282772</v>
      </c>
    </row>
    <row r="251" spans="1:11" x14ac:dyDescent="0.3">
      <c r="A251" t="s">
        <v>740</v>
      </c>
      <c r="B251">
        <v>1281267</v>
      </c>
      <c r="C251">
        <v>566501</v>
      </c>
      <c r="D251">
        <v>951777</v>
      </c>
      <c r="E251">
        <v>1069817</v>
      </c>
      <c r="F251">
        <v>951777</v>
      </c>
      <c r="G251">
        <v>12953</v>
      </c>
      <c r="H251">
        <v>566501</v>
      </c>
    </row>
    <row r="252" spans="1:11" x14ac:dyDescent="0.3">
      <c r="A252" t="s">
        <v>741</v>
      </c>
      <c r="B252">
        <v>2433307</v>
      </c>
      <c r="C252">
        <v>632008</v>
      </c>
      <c r="D252">
        <v>1274306</v>
      </c>
      <c r="E252">
        <v>1532639</v>
      </c>
      <c r="F252">
        <v>1274306</v>
      </c>
      <c r="G252">
        <v>13293</v>
      </c>
      <c r="H252">
        <v>632008</v>
      </c>
    </row>
    <row r="253" spans="1:11" x14ac:dyDescent="0.3">
      <c r="B253" t="s">
        <v>722</v>
      </c>
      <c r="C253" t="s">
        <v>723</v>
      </c>
      <c r="D253" t="s">
        <v>724</v>
      </c>
      <c r="E253" t="s">
        <v>725</v>
      </c>
      <c r="F253" t="s">
        <v>726</v>
      </c>
      <c r="G253" t="s">
        <v>727</v>
      </c>
      <c r="H253" t="s">
        <v>728</v>
      </c>
    </row>
    <row r="254" spans="1:11" x14ac:dyDescent="0.3">
      <c r="A254" s="29" t="s">
        <v>729</v>
      </c>
      <c r="B254">
        <v>1082</v>
      </c>
      <c r="C254">
        <v>669</v>
      </c>
      <c r="D254">
        <v>1264</v>
      </c>
      <c r="E254">
        <v>1299</v>
      </c>
      <c r="F254">
        <v>1264</v>
      </c>
      <c r="G254">
        <v>19</v>
      </c>
      <c r="H254">
        <v>669</v>
      </c>
    </row>
    <row r="255" spans="1:11" x14ac:dyDescent="0.3">
      <c r="A255" s="29" t="s">
        <v>731</v>
      </c>
      <c r="B255">
        <v>1464</v>
      </c>
      <c r="C255">
        <v>853</v>
      </c>
      <c r="D255">
        <v>1046</v>
      </c>
      <c r="E255">
        <v>855</v>
      </c>
      <c r="F255">
        <v>1039</v>
      </c>
      <c r="G255">
        <v>24</v>
      </c>
      <c r="H255">
        <v>855</v>
      </c>
    </row>
    <row r="256" spans="1:11" x14ac:dyDescent="0.3">
      <c r="A256" s="29" t="s">
        <v>730</v>
      </c>
      <c r="B256">
        <v>2129</v>
      </c>
      <c r="C256">
        <v>873</v>
      </c>
      <c r="D256">
        <v>2130</v>
      </c>
      <c r="E256">
        <v>2290</v>
      </c>
      <c r="F256">
        <v>2130</v>
      </c>
      <c r="G256">
        <v>23</v>
      </c>
      <c r="H256">
        <v>873</v>
      </c>
    </row>
    <row r="257" spans="1:8" x14ac:dyDescent="0.3">
      <c r="A257" s="29" t="s">
        <v>732</v>
      </c>
      <c r="B257">
        <v>2536</v>
      </c>
      <c r="C257">
        <v>1058</v>
      </c>
      <c r="D257">
        <v>1299</v>
      </c>
      <c r="E257">
        <v>1244</v>
      </c>
      <c r="F257">
        <v>1425</v>
      </c>
      <c r="G257">
        <v>23</v>
      </c>
      <c r="H257">
        <v>1283</v>
      </c>
    </row>
    <row r="262" spans="1:8" x14ac:dyDescent="0.3">
      <c r="B262" t="s">
        <v>722</v>
      </c>
      <c r="C262" t="s">
        <v>723</v>
      </c>
      <c r="D262" t="s">
        <v>724</v>
      </c>
      <c r="E262" t="s">
        <v>725</v>
      </c>
      <c r="F262" t="s">
        <v>726</v>
      </c>
      <c r="G262" t="s">
        <v>727</v>
      </c>
      <c r="H262" t="s">
        <v>728</v>
      </c>
    </row>
    <row r="263" spans="1:8" x14ac:dyDescent="0.3">
      <c r="A263" t="s">
        <v>742</v>
      </c>
      <c r="B263">
        <v>1281</v>
      </c>
      <c r="C263">
        <v>567</v>
      </c>
      <c r="D263">
        <v>952</v>
      </c>
      <c r="E263">
        <v>1070</v>
      </c>
      <c r="F263">
        <v>952</v>
      </c>
      <c r="G263">
        <v>13</v>
      </c>
      <c r="H263">
        <v>567</v>
      </c>
    </row>
    <row r="264" spans="1:8" x14ac:dyDescent="0.3">
      <c r="A264" t="s">
        <v>743</v>
      </c>
      <c r="B264">
        <v>1082</v>
      </c>
      <c r="C264">
        <v>669</v>
      </c>
      <c r="D264">
        <v>1264</v>
      </c>
      <c r="E264">
        <v>1299</v>
      </c>
      <c r="F264">
        <v>1264</v>
      </c>
      <c r="G264">
        <v>19</v>
      </c>
      <c r="H264">
        <v>669</v>
      </c>
    </row>
    <row r="265" spans="1:8" x14ac:dyDescent="0.3">
      <c r="A265" t="s">
        <v>667</v>
      </c>
      <c r="B265">
        <v>1464</v>
      </c>
      <c r="C265">
        <v>853</v>
      </c>
      <c r="D265">
        <v>1046</v>
      </c>
      <c r="E265">
        <v>855</v>
      </c>
      <c r="F265">
        <v>1039</v>
      </c>
      <c r="G265">
        <v>24</v>
      </c>
      <c r="H265">
        <v>855</v>
      </c>
    </row>
    <row r="266" spans="1:8" x14ac:dyDescent="0.3">
      <c r="A266" t="s">
        <v>744</v>
      </c>
      <c r="B266">
        <v>2433</v>
      </c>
      <c r="C266">
        <v>632</v>
      </c>
      <c r="D266">
        <v>1274</v>
      </c>
      <c r="E266">
        <v>1533</v>
      </c>
      <c r="F266">
        <v>1274</v>
      </c>
      <c r="G266">
        <v>13</v>
      </c>
      <c r="H266">
        <v>632</v>
      </c>
    </row>
    <row r="267" spans="1:8" x14ac:dyDescent="0.3">
      <c r="A267" t="s">
        <v>745</v>
      </c>
      <c r="B267">
        <v>2129</v>
      </c>
      <c r="C267">
        <v>873</v>
      </c>
      <c r="D267">
        <v>2130</v>
      </c>
      <c r="E267">
        <v>2290</v>
      </c>
      <c r="F267">
        <v>2130</v>
      </c>
      <c r="G267">
        <v>23</v>
      </c>
      <c r="H267">
        <v>873</v>
      </c>
    </row>
    <row r="268" spans="1:8" x14ac:dyDescent="0.3">
      <c r="A268" t="s">
        <v>666</v>
      </c>
      <c r="B268">
        <v>2536</v>
      </c>
      <c r="C268">
        <v>1058</v>
      </c>
      <c r="D268">
        <v>1299</v>
      </c>
      <c r="E268">
        <v>1244</v>
      </c>
      <c r="F268">
        <v>1425</v>
      </c>
      <c r="G268">
        <v>23</v>
      </c>
      <c r="H268">
        <v>1283</v>
      </c>
    </row>
  </sheetData>
  <mergeCells count="66">
    <mergeCell ref="A186:E186"/>
    <mergeCell ref="B67:C67"/>
    <mergeCell ref="D67:E67"/>
    <mergeCell ref="F67:G67"/>
    <mergeCell ref="A199:E199"/>
    <mergeCell ref="B68:C68"/>
    <mergeCell ref="D68:E68"/>
    <mergeCell ref="F68:G68"/>
    <mergeCell ref="B69:C69"/>
    <mergeCell ref="D69:E69"/>
    <mergeCell ref="F69:G69"/>
    <mergeCell ref="F37:G37"/>
    <mergeCell ref="H37:I37"/>
    <mergeCell ref="Z76:AB76"/>
    <mergeCell ref="N101:O108"/>
    <mergeCell ref="P101:Q108"/>
    <mergeCell ref="R99:U120"/>
    <mergeCell ref="L69:M69"/>
    <mergeCell ref="J4:K4"/>
    <mergeCell ref="D4:E4"/>
    <mergeCell ref="C15:H15"/>
    <mergeCell ref="B4:C4"/>
    <mergeCell ref="H67:I67"/>
    <mergeCell ref="J67:K67"/>
    <mergeCell ref="B35:C35"/>
    <mergeCell ref="D35:E35"/>
    <mergeCell ref="F35:G35"/>
    <mergeCell ref="H35:I35"/>
    <mergeCell ref="J35:K35"/>
    <mergeCell ref="B36:C36"/>
    <mergeCell ref="D36:E36"/>
    <mergeCell ref="F36:G36"/>
    <mergeCell ref="H36:I36"/>
    <mergeCell ref="J36:K36"/>
    <mergeCell ref="H68:I68"/>
    <mergeCell ref="J68:K68"/>
    <mergeCell ref="C14:H14"/>
    <mergeCell ref="L3:M3"/>
    <mergeCell ref="B3:C3"/>
    <mergeCell ref="D3:E3"/>
    <mergeCell ref="F3:G3"/>
    <mergeCell ref="H3:I3"/>
    <mergeCell ref="J3:K3"/>
    <mergeCell ref="L4:M4"/>
    <mergeCell ref="B5:C5"/>
    <mergeCell ref="D5:E5"/>
    <mergeCell ref="F5:G5"/>
    <mergeCell ref="H5:I5"/>
    <mergeCell ref="J5:K5"/>
    <mergeCell ref="H4:I4"/>
    <mergeCell ref="A205:E205"/>
    <mergeCell ref="A168:G168"/>
    <mergeCell ref="F4:G4"/>
    <mergeCell ref="L5:M5"/>
    <mergeCell ref="A242:K243"/>
    <mergeCell ref="L35:M35"/>
    <mergeCell ref="L36:M36"/>
    <mergeCell ref="L37:M37"/>
    <mergeCell ref="B37:C37"/>
    <mergeCell ref="H69:I69"/>
    <mergeCell ref="J69:K69"/>
    <mergeCell ref="J37:K37"/>
    <mergeCell ref="E64:M65"/>
    <mergeCell ref="L67:M67"/>
    <mergeCell ref="D37:E37"/>
    <mergeCell ref="L68:M68"/>
  </mergeCells>
  <phoneticPr fontId="1" type="noConversion"/>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FA8E7-8378-4670-B04B-86C7A52A4A8E}">
  <dimension ref="A1:O17"/>
  <sheetViews>
    <sheetView workbookViewId="0">
      <selection activeCell="I19" sqref="I19"/>
    </sheetView>
  </sheetViews>
  <sheetFormatPr defaultRowHeight="14" x14ac:dyDescent="0.3"/>
  <sheetData>
    <row r="1" spans="1:15" x14ac:dyDescent="0.3">
      <c r="A1" t="s">
        <v>428</v>
      </c>
      <c r="B1" t="s">
        <v>657</v>
      </c>
      <c r="C1" t="s">
        <v>327</v>
      </c>
      <c r="D1" t="s">
        <v>329</v>
      </c>
      <c r="E1" t="s">
        <v>579</v>
      </c>
      <c r="F1" t="s">
        <v>657</v>
      </c>
      <c r="G1" t="s">
        <v>327</v>
      </c>
      <c r="H1" t="s">
        <v>329</v>
      </c>
      <c r="N1" t="s">
        <v>658</v>
      </c>
      <c r="O1" t="s">
        <v>658</v>
      </c>
    </row>
    <row r="2" spans="1:15" x14ac:dyDescent="0.3">
      <c r="A2">
        <v>64</v>
      </c>
      <c r="B2">
        <v>577531</v>
      </c>
      <c r="C2">
        <v>122663</v>
      </c>
      <c r="D2">
        <v>131427</v>
      </c>
      <c r="E2">
        <v>64</v>
      </c>
      <c r="F2">
        <v>3463837</v>
      </c>
      <c r="G2">
        <v>1741555</v>
      </c>
      <c r="H2">
        <v>2058011</v>
      </c>
      <c r="J2">
        <f>F2/B2</f>
        <v>5.9976641946492917</v>
      </c>
      <c r="K2">
        <f t="shared" ref="K2:L7" si="0">G2/C2</f>
        <v>14.197883632391186</v>
      </c>
      <c r="L2">
        <f t="shared" si="0"/>
        <v>15.658966574600349</v>
      </c>
      <c r="N2">
        <v>588510</v>
      </c>
      <c r="O2">
        <v>3348898</v>
      </c>
    </row>
    <row r="3" spans="1:15" x14ac:dyDescent="0.3">
      <c r="A3">
        <v>128</v>
      </c>
      <c r="B3">
        <v>531829</v>
      </c>
      <c r="C3">
        <v>97605</v>
      </c>
      <c r="D3">
        <v>104919</v>
      </c>
      <c r="E3">
        <v>128</v>
      </c>
      <c r="F3">
        <v>3043603</v>
      </c>
      <c r="G3">
        <v>1135617</v>
      </c>
      <c r="H3">
        <v>1099294</v>
      </c>
      <c r="J3">
        <f t="shared" ref="J3:J7" si="1">F3/B3</f>
        <v>5.7228977735324698</v>
      </c>
      <c r="K3">
        <f t="shared" si="0"/>
        <v>11.634824035653912</v>
      </c>
      <c r="L3">
        <f t="shared" si="0"/>
        <v>10.477549347591951</v>
      </c>
      <c r="N3">
        <v>525780</v>
      </c>
      <c r="O3">
        <v>3010021</v>
      </c>
    </row>
    <row r="4" spans="1:15" x14ac:dyDescent="0.3">
      <c r="A4">
        <v>256</v>
      </c>
      <c r="B4">
        <v>457937</v>
      </c>
      <c r="C4">
        <v>76080</v>
      </c>
      <c r="D4">
        <v>82521</v>
      </c>
      <c r="E4">
        <v>256</v>
      </c>
      <c r="F4">
        <v>2233817</v>
      </c>
      <c r="G4">
        <v>599478</v>
      </c>
      <c r="H4">
        <v>902787</v>
      </c>
      <c r="J4">
        <f t="shared" si="1"/>
        <v>4.8780006856838387</v>
      </c>
      <c r="K4">
        <f t="shared" si="0"/>
        <v>7.8795741324921131</v>
      </c>
      <c r="L4">
        <f t="shared" si="0"/>
        <v>10.9400879776057</v>
      </c>
      <c r="N4">
        <v>436289</v>
      </c>
      <c r="O4">
        <v>2304191</v>
      </c>
    </row>
    <row r="5" spans="1:15" x14ac:dyDescent="0.3">
      <c r="A5">
        <v>512</v>
      </c>
      <c r="B5">
        <v>271187</v>
      </c>
      <c r="C5">
        <v>65264</v>
      </c>
      <c r="D5">
        <v>70760</v>
      </c>
      <c r="E5">
        <v>512</v>
      </c>
      <c r="F5">
        <v>781988</v>
      </c>
      <c r="G5">
        <v>375254</v>
      </c>
      <c r="H5">
        <v>397544</v>
      </c>
      <c r="J5">
        <f t="shared" si="1"/>
        <v>2.8835748026269696</v>
      </c>
      <c r="K5">
        <f t="shared" si="0"/>
        <v>5.7497854866388822</v>
      </c>
      <c r="L5">
        <f t="shared" si="0"/>
        <v>5.6182023742227249</v>
      </c>
      <c r="N5">
        <v>267528</v>
      </c>
      <c r="O5">
        <v>810972</v>
      </c>
    </row>
    <row r="6" spans="1:15" x14ac:dyDescent="0.3">
      <c r="A6">
        <v>1024</v>
      </c>
      <c r="B6">
        <v>121338</v>
      </c>
      <c r="C6">
        <v>52117</v>
      </c>
      <c r="D6">
        <v>60847</v>
      </c>
      <c r="E6">
        <v>1024</v>
      </c>
      <c r="F6">
        <v>324966</v>
      </c>
      <c r="G6">
        <v>203874</v>
      </c>
      <c r="H6">
        <v>270155</v>
      </c>
      <c r="J6">
        <f t="shared" si="1"/>
        <v>2.6781882015526874</v>
      </c>
      <c r="K6">
        <f t="shared" si="0"/>
        <v>3.9118521787516549</v>
      </c>
      <c r="L6">
        <f t="shared" si="0"/>
        <v>4.4399066511085179</v>
      </c>
      <c r="N6">
        <v>123690</v>
      </c>
      <c r="O6">
        <v>328707</v>
      </c>
    </row>
    <row r="7" spans="1:15" x14ac:dyDescent="0.3">
      <c r="A7">
        <v>2048</v>
      </c>
      <c r="B7">
        <v>50302</v>
      </c>
      <c r="C7">
        <v>38628</v>
      </c>
      <c r="D7">
        <v>56957</v>
      </c>
      <c r="E7">
        <v>2048</v>
      </c>
      <c r="F7">
        <v>111469</v>
      </c>
      <c r="G7">
        <v>97948</v>
      </c>
      <c r="H7">
        <v>119617</v>
      </c>
      <c r="J7">
        <f t="shared" si="1"/>
        <v>2.2159953878573417</v>
      </c>
      <c r="K7">
        <f t="shared" si="0"/>
        <v>2.5356736046391219</v>
      </c>
      <c r="L7">
        <f t="shared" si="0"/>
        <v>2.1001281668627212</v>
      </c>
      <c r="N7">
        <v>49640</v>
      </c>
      <c r="O7">
        <v>126673</v>
      </c>
    </row>
    <row r="8" spans="1:15" x14ac:dyDescent="0.3">
      <c r="A8">
        <v>4096</v>
      </c>
      <c r="E8">
        <v>4096</v>
      </c>
    </row>
    <row r="9" spans="1:15" x14ac:dyDescent="0.3">
      <c r="A9" t="s">
        <v>428</v>
      </c>
      <c r="B9" t="s">
        <v>657</v>
      </c>
      <c r="C9" t="s">
        <v>327</v>
      </c>
      <c r="D9" t="s">
        <v>329</v>
      </c>
      <c r="E9" t="s">
        <v>579</v>
      </c>
      <c r="F9" t="s">
        <v>657</v>
      </c>
      <c r="G9" t="s">
        <v>327</v>
      </c>
      <c r="H9" t="s">
        <v>329</v>
      </c>
    </row>
    <row r="10" spans="1:15" x14ac:dyDescent="0.3">
      <c r="A10">
        <v>64</v>
      </c>
      <c r="B10">
        <v>267195</v>
      </c>
      <c r="C10">
        <v>118454</v>
      </c>
      <c r="D10">
        <v>133449</v>
      </c>
      <c r="E10">
        <v>64</v>
      </c>
      <c r="F10">
        <v>3497362</v>
      </c>
      <c r="G10">
        <v>1735670</v>
      </c>
      <c r="H10">
        <v>2078866</v>
      </c>
      <c r="J10">
        <f>F10/B10</f>
        <v>13.089174572877486</v>
      </c>
      <c r="K10">
        <f t="shared" ref="K10:K15" si="2">G10/C10</f>
        <v>14.652692184307833</v>
      </c>
      <c r="L10">
        <f t="shared" ref="L10:L15" si="3">H10/D10</f>
        <v>15.57798110139454</v>
      </c>
    </row>
    <row r="11" spans="1:15" x14ac:dyDescent="0.3">
      <c r="A11">
        <v>128</v>
      </c>
      <c r="B11">
        <v>248657</v>
      </c>
      <c r="C11">
        <v>100055</v>
      </c>
      <c r="D11">
        <v>107139</v>
      </c>
      <c r="E11">
        <v>128</v>
      </c>
      <c r="F11">
        <v>3019606</v>
      </c>
      <c r="G11">
        <v>1186263</v>
      </c>
      <c r="H11">
        <v>1069454</v>
      </c>
      <c r="J11">
        <f t="shared" ref="J11:J15" si="4">F11/B11</f>
        <v>12.143659740123946</v>
      </c>
      <c r="K11">
        <f t="shared" si="2"/>
        <v>11.856109139973015</v>
      </c>
      <c r="L11">
        <f t="shared" si="3"/>
        <v>9.9819300161472473</v>
      </c>
    </row>
    <row r="12" spans="1:15" x14ac:dyDescent="0.3">
      <c r="A12">
        <v>256</v>
      </c>
      <c r="B12">
        <v>235154</v>
      </c>
      <c r="C12">
        <v>83996</v>
      </c>
      <c r="D12">
        <v>89863</v>
      </c>
      <c r="E12">
        <v>256</v>
      </c>
      <c r="F12">
        <v>2371047</v>
      </c>
      <c r="G12">
        <v>853542</v>
      </c>
      <c r="H12">
        <v>856093</v>
      </c>
      <c r="J12">
        <f t="shared" si="4"/>
        <v>10.082954149195846</v>
      </c>
      <c r="K12">
        <f t="shared" si="2"/>
        <v>10.161698176103624</v>
      </c>
      <c r="L12">
        <f t="shared" si="3"/>
        <v>9.526646116866786</v>
      </c>
    </row>
    <row r="13" spans="1:15" x14ac:dyDescent="0.3">
      <c r="A13">
        <v>512</v>
      </c>
      <c r="B13">
        <v>207325</v>
      </c>
      <c r="C13">
        <v>67618</v>
      </c>
      <c r="D13">
        <v>76857</v>
      </c>
      <c r="E13">
        <v>512</v>
      </c>
      <c r="F13">
        <v>813399</v>
      </c>
      <c r="G13">
        <v>464859</v>
      </c>
      <c r="H13">
        <v>407610</v>
      </c>
      <c r="J13">
        <f t="shared" si="4"/>
        <v>3.923303991317979</v>
      </c>
      <c r="K13">
        <f t="shared" si="2"/>
        <v>6.874781862817593</v>
      </c>
      <c r="L13">
        <f t="shared" si="3"/>
        <v>5.3034856942113278</v>
      </c>
    </row>
    <row r="14" spans="1:15" x14ac:dyDescent="0.3">
      <c r="A14">
        <v>1024</v>
      </c>
      <c r="B14">
        <v>118768</v>
      </c>
      <c r="C14">
        <v>53043</v>
      </c>
      <c r="D14">
        <v>61956</v>
      </c>
      <c r="E14">
        <v>1024</v>
      </c>
      <c r="F14">
        <v>320390</v>
      </c>
      <c r="G14">
        <v>275813</v>
      </c>
      <c r="H14">
        <v>288116</v>
      </c>
      <c r="J14">
        <f t="shared" si="4"/>
        <v>2.6976121514212581</v>
      </c>
      <c r="K14">
        <f t="shared" si="2"/>
        <v>5.1998001621326093</v>
      </c>
      <c r="L14">
        <f t="shared" si="3"/>
        <v>4.65033249402802</v>
      </c>
    </row>
    <row r="15" spans="1:15" x14ac:dyDescent="0.3">
      <c r="A15">
        <v>2048</v>
      </c>
      <c r="B15">
        <v>50421</v>
      </c>
      <c r="C15">
        <v>39329</v>
      </c>
      <c r="D15">
        <v>58097</v>
      </c>
      <c r="E15">
        <v>2048</v>
      </c>
      <c r="F15">
        <v>119667</v>
      </c>
      <c r="G15">
        <v>104865</v>
      </c>
      <c r="H15">
        <v>175937</v>
      </c>
      <c r="J15">
        <f t="shared" si="4"/>
        <v>2.373356339620396</v>
      </c>
      <c r="K15">
        <f t="shared" si="2"/>
        <v>2.6663530727961553</v>
      </c>
      <c r="L15">
        <f t="shared" si="3"/>
        <v>3.0283319276382601</v>
      </c>
    </row>
    <row r="16" spans="1:15" x14ac:dyDescent="0.3">
      <c r="A16">
        <v>4096</v>
      </c>
      <c r="B16">
        <v>25220</v>
      </c>
      <c r="C16">
        <v>26964</v>
      </c>
      <c r="D16">
        <v>46412</v>
      </c>
      <c r="E16">
        <v>4096</v>
      </c>
      <c r="F16">
        <v>40000</v>
      </c>
      <c r="G16">
        <v>45000</v>
      </c>
      <c r="H16">
        <v>80000</v>
      </c>
      <c r="I16" s="28"/>
      <c r="J16">
        <f t="shared" ref="J16" si="5">F16/B16</f>
        <v>1.5860428231562251</v>
      </c>
      <c r="K16">
        <f t="shared" ref="K16" si="6">G16/C16</f>
        <v>1.6688918558077437</v>
      </c>
      <c r="L16">
        <f>H16/D16</f>
        <v>1.7236921485822632</v>
      </c>
    </row>
    <row r="17" spans="8:8" x14ac:dyDescent="0.3">
      <c r="H17">
        <v>188478</v>
      </c>
    </row>
  </sheetData>
  <phoneticPr fontId="1" type="noConversion"/>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96429-CE9B-441C-9BA8-0A0A382D80E0}">
  <dimension ref="A1:S915"/>
  <sheetViews>
    <sheetView topLeftCell="E1" zoomScale="70" zoomScaleNormal="70" workbookViewId="0">
      <selection activeCell="H4" sqref="H4"/>
    </sheetView>
  </sheetViews>
  <sheetFormatPr defaultRowHeight="14" x14ac:dyDescent="0.3"/>
  <sheetData>
    <row r="1" spans="1:19" x14ac:dyDescent="0.3">
      <c r="A1" t="s">
        <v>304</v>
      </c>
      <c r="B1" t="s">
        <v>303</v>
      </c>
      <c r="C1" t="s">
        <v>305</v>
      </c>
      <c r="D1">
        <v>30.5</v>
      </c>
      <c r="E1" t="s">
        <v>517</v>
      </c>
      <c r="F1" t="s">
        <v>304</v>
      </c>
      <c r="G1" t="s">
        <v>303</v>
      </c>
      <c r="H1" t="s">
        <v>305</v>
      </c>
      <c r="I1">
        <v>113.2</v>
      </c>
      <c r="J1" t="s">
        <v>517</v>
      </c>
      <c r="R1" t="s">
        <v>504</v>
      </c>
      <c r="S1" t="s">
        <v>570</v>
      </c>
    </row>
    <row r="2" spans="1:19" x14ac:dyDescent="0.3">
      <c r="A2">
        <v>0</v>
      </c>
      <c r="B2">
        <v>0</v>
      </c>
      <c r="C2">
        <f t="shared" ref="C2:C65" si="0">A2+B2</f>
        <v>0</v>
      </c>
      <c r="F2">
        <v>0</v>
      </c>
      <c r="G2">
        <v>0</v>
      </c>
      <c r="H2">
        <f t="shared" ref="H2:H65" si="1">F2+G2</f>
        <v>0</v>
      </c>
      <c r="R2">
        <v>0</v>
      </c>
      <c r="S2">
        <v>0</v>
      </c>
    </row>
    <row r="3" spans="1:19" x14ac:dyDescent="0.3">
      <c r="A3">
        <v>0</v>
      </c>
      <c r="B3">
        <v>28</v>
      </c>
      <c r="C3">
        <f t="shared" si="0"/>
        <v>28</v>
      </c>
      <c r="F3">
        <v>1</v>
      </c>
      <c r="G3">
        <v>384</v>
      </c>
      <c r="H3">
        <f t="shared" si="1"/>
        <v>385</v>
      </c>
      <c r="R3">
        <v>28</v>
      </c>
      <c r="S3">
        <v>385</v>
      </c>
    </row>
    <row r="4" spans="1:19" x14ac:dyDescent="0.3">
      <c r="A4">
        <v>0</v>
      </c>
      <c r="B4">
        <v>92</v>
      </c>
      <c r="C4">
        <f t="shared" si="0"/>
        <v>92</v>
      </c>
      <c r="F4">
        <v>246</v>
      </c>
      <c r="G4">
        <v>629</v>
      </c>
      <c r="H4">
        <f t="shared" si="1"/>
        <v>875</v>
      </c>
      <c r="R4">
        <v>92</v>
      </c>
      <c r="S4">
        <v>875</v>
      </c>
    </row>
    <row r="5" spans="1:19" x14ac:dyDescent="0.3">
      <c r="A5">
        <v>0</v>
      </c>
      <c r="B5">
        <v>44</v>
      </c>
      <c r="C5">
        <f t="shared" si="0"/>
        <v>44</v>
      </c>
      <c r="F5">
        <v>282</v>
      </c>
      <c r="G5">
        <v>657</v>
      </c>
      <c r="H5">
        <f t="shared" si="1"/>
        <v>939</v>
      </c>
      <c r="R5">
        <v>44</v>
      </c>
      <c r="S5">
        <v>939</v>
      </c>
    </row>
    <row r="6" spans="1:19" x14ac:dyDescent="0.3">
      <c r="A6">
        <v>0</v>
      </c>
      <c r="B6">
        <v>88</v>
      </c>
      <c r="C6">
        <f t="shared" si="0"/>
        <v>88</v>
      </c>
      <c r="F6">
        <v>330</v>
      </c>
      <c r="G6">
        <v>697</v>
      </c>
      <c r="H6">
        <f t="shared" si="1"/>
        <v>1027</v>
      </c>
      <c r="R6">
        <v>88</v>
      </c>
      <c r="S6">
        <v>1027</v>
      </c>
    </row>
    <row r="7" spans="1:19" x14ac:dyDescent="0.3">
      <c r="A7">
        <v>0</v>
      </c>
      <c r="B7">
        <v>92</v>
      </c>
      <c r="C7">
        <f t="shared" si="0"/>
        <v>92</v>
      </c>
      <c r="F7">
        <v>374</v>
      </c>
      <c r="G7">
        <v>822</v>
      </c>
      <c r="H7">
        <f t="shared" si="1"/>
        <v>1196</v>
      </c>
      <c r="R7">
        <v>92</v>
      </c>
      <c r="S7">
        <v>1196</v>
      </c>
    </row>
    <row r="8" spans="1:19" x14ac:dyDescent="0.3">
      <c r="A8">
        <v>0</v>
      </c>
      <c r="B8">
        <v>76</v>
      </c>
      <c r="C8">
        <f t="shared" si="0"/>
        <v>76</v>
      </c>
      <c r="F8">
        <v>449</v>
      </c>
      <c r="G8">
        <v>810</v>
      </c>
      <c r="H8">
        <f t="shared" si="1"/>
        <v>1259</v>
      </c>
      <c r="R8">
        <v>76</v>
      </c>
      <c r="S8">
        <v>1259</v>
      </c>
    </row>
    <row r="9" spans="1:19" x14ac:dyDescent="0.3">
      <c r="A9">
        <v>207</v>
      </c>
      <c r="B9">
        <v>262</v>
      </c>
      <c r="C9">
        <f t="shared" si="0"/>
        <v>469</v>
      </c>
      <c r="F9">
        <v>501</v>
      </c>
      <c r="G9">
        <v>867</v>
      </c>
      <c r="H9">
        <f t="shared" si="1"/>
        <v>1368</v>
      </c>
      <c r="R9">
        <v>469</v>
      </c>
      <c r="S9">
        <v>1368</v>
      </c>
    </row>
    <row r="10" spans="1:19" x14ac:dyDescent="0.3">
      <c r="A10">
        <v>0</v>
      </c>
      <c r="B10">
        <v>88</v>
      </c>
      <c r="C10">
        <f t="shared" si="0"/>
        <v>88</v>
      </c>
      <c r="F10">
        <v>463</v>
      </c>
      <c r="G10">
        <v>827</v>
      </c>
      <c r="H10">
        <f t="shared" si="1"/>
        <v>1290</v>
      </c>
      <c r="R10">
        <v>88</v>
      </c>
      <c r="S10">
        <v>1290</v>
      </c>
    </row>
    <row r="11" spans="1:19" x14ac:dyDescent="0.3">
      <c r="A11">
        <v>0</v>
      </c>
      <c r="B11">
        <v>92</v>
      </c>
      <c r="C11">
        <f t="shared" si="0"/>
        <v>92</v>
      </c>
      <c r="F11">
        <v>423</v>
      </c>
      <c r="G11">
        <v>781</v>
      </c>
      <c r="H11">
        <f t="shared" si="1"/>
        <v>1204</v>
      </c>
      <c r="R11">
        <v>92</v>
      </c>
      <c r="S11">
        <v>1204</v>
      </c>
    </row>
    <row r="12" spans="1:19" x14ac:dyDescent="0.3">
      <c r="A12">
        <v>0</v>
      </c>
      <c r="B12">
        <v>40</v>
      </c>
      <c r="C12">
        <f t="shared" si="0"/>
        <v>40</v>
      </c>
      <c r="F12">
        <v>436</v>
      </c>
      <c r="G12">
        <v>773</v>
      </c>
      <c r="H12">
        <f t="shared" si="1"/>
        <v>1209</v>
      </c>
      <c r="R12">
        <v>40</v>
      </c>
      <c r="S12">
        <v>1209</v>
      </c>
    </row>
    <row r="13" spans="1:19" x14ac:dyDescent="0.3">
      <c r="A13">
        <v>0</v>
      </c>
      <c r="B13">
        <v>96</v>
      </c>
      <c r="C13">
        <f t="shared" si="0"/>
        <v>96</v>
      </c>
      <c r="F13">
        <v>614</v>
      </c>
      <c r="G13">
        <v>961</v>
      </c>
      <c r="H13">
        <f t="shared" si="1"/>
        <v>1575</v>
      </c>
      <c r="R13">
        <v>96</v>
      </c>
      <c r="S13">
        <v>1575</v>
      </c>
    </row>
    <row r="14" spans="1:19" x14ac:dyDescent="0.3">
      <c r="A14">
        <v>78</v>
      </c>
      <c r="B14">
        <v>164</v>
      </c>
      <c r="C14">
        <f t="shared" si="0"/>
        <v>242</v>
      </c>
      <c r="F14">
        <v>575</v>
      </c>
      <c r="G14">
        <v>909</v>
      </c>
      <c r="H14">
        <f t="shared" si="1"/>
        <v>1484</v>
      </c>
      <c r="R14">
        <v>242</v>
      </c>
      <c r="S14">
        <v>1484</v>
      </c>
    </row>
    <row r="15" spans="1:19" x14ac:dyDescent="0.3">
      <c r="A15">
        <v>276</v>
      </c>
      <c r="B15">
        <v>332</v>
      </c>
      <c r="C15">
        <f t="shared" si="0"/>
        <v>608</v>
      </c>
      <c r="F15">
        <v>502</v>
      </c>
      <c r="G15">
        <v>863</v>
      </c>
      <c r="H15">
        <f t="shared" si="1"/>
        <v>1365</v>
      </c>
      <c r="R15">
        <v>608</v>
      </c>
      <c r="S15">
        <v>1365</v>
      </c>
    </row>
    <row r="16" spans="1:19" x14ac:dyDescent="0.3">
      <c r="A16">
        <v>60</v>
      </c>
      <c r="B16">
        <v>139</v>
      </c>
      <c r="C16">
        <f t="shared" si="0"/>
        <v>199</v>
      </c>
      <c r="F16">
        <v>1006</v>
      </c>
      <c r="G16">
        <v>1350</v>
      </c>
      <c r="H16">
        <f t="shared" si="1"/>
        <v>2356</v>
      </c>
      <c r="R16">
        <v>199</v>
      </c>
      <c r="S16">
        <v>2356</v>
      </c>
    </row>
    <row r="17" spans="1:19" x14ac:dyDescent="0.3">
      <c r="A17">
        <v>0</v>
      </c>
      <c r="B17">
        <v>88</v>
      </c>
      <c r="C17">
        <f t="shared" si="0"/>
        <v>88</v>
      </c>
      <c r="F17">
        <v>764</v>
      </c>
      <c r="G17">
        <v>1121</v>
      </c>
      <c r="H17">
        <f t="shared" si="1"/>
        <v>1885</v>
      </c>
      <c r="R17">
        <v>88</v>
      </c>
      <c r="S17">
        <v>1885</v>
      </c>
    </row>
    <row r="18" spans="1:19" x14ac:dyDescent="0.3">
      <c r="A18">
        <v>0</v>
      </c>
      <c r="B18">
        <v>92</v>
      </c>
      <c r="C18">
        <f t="shared" si="0"/>
        <v>92</v>
      </c>
      <c r="F18">
        <v>479</v>
      </c>
      <c r="G18">
        <v>845</v>
      </c>
      <c r="H18">
        <f t="shared" si="1"/>
        <v>1324</v>
      </c>
      <c r="R18">
        <v>92</v>
      </c>
      <c r="S18">
        <v>1324</v>
      </c>
    </row>
    <row r="19" spans="1:19" x14ac:dyDescent="0.3">
      <c r="A19">
        <v>0</v>
      </c>
      <c r="B19">
        <v>40</v>
      </c>
      <c r="C19">
        <f t="shared" si="0"/>
        <v>40</v>
      </c>
      <c r="F19">
        <v>714</v>
      </c>
      <c r="G19">
        <v>1083</v>
      </c>
      <c r="H19">
        <f t="shared" si="1"/>
        <v>1797</v>
      </c>
      <c r="R19">
        <v>40</v>
      </c>
      <c r="S19">
        <v>1797</v>
      </c>
    </row>
    <row r="20" spans="1:19" x14ac:dyDescent="0.3">
      <c r="A20">
        <v>174</v>
      </c>
      <c r="B20">
        <v>264</v>
      </c>
      <c r="C20">
        <f t="shared" si="0"/>
        <v>438</v>
      </c>
      <c r="F20">
        <v>536</v>
      </c>
      <c r="G20">
        <v>896</v>
      </c>
      <c r="H20">
        <f t="shared" si="1"/>
        <v>1432</v>
      </c>
      <c r="R20">
        <v>438</v>
      </c>
      <c r="S20">
        <v>1432</v>
      </c>
    </row>
    <row r="21" spans="1:19" x14ac:dyDescent="0.3">
      <c r="A21">
        <v>252</v>
      </c>
      <c r="B21">
        <v>341</v>
      </c>
      <c r="C21">
        <f t="shared" si="0"/>
        <v>593</v>
      </c>
      <c r="F21">
        <v>451</v>
      </c>
      <c r="G21">
        <v>810</v>
      </c>
      <c r="H21">
        <f t="shared" si="1"/>
        <v>1261</v>
      </c>
      <c r="R21">
        <v>593</v>
      </c>
      <c r="S21">
        <v>1261</v>
      </c>
    </row>
    <row r="22" spans="1:19" x14ac:dyDescent="0.3">
      <c r="A22">
        <v>0</v>
      </c>
      <c r="B22">
        <v>40</v>
      </c>
      <c r="C22">
        <f t="shared" si="0"/>
        <v>40</v>
      </c>
      <c r="F22">
        <v>761</v>
      </c>
      <c r="G22">
        <v>1091</v>
      </c>
      <c r="H22">
        <f t="shared" si="1"/>
        <v>1852</v>
      </c>
      <c r="R22">
        <v>40</v>
      </c>
      <c r="S22">
        <v>1852</v>
      </c>
    </row>
    <row r="23" spans="1:19" x14ac:dyDescent="0.3">
      <c r="A23">
        <v>0</v>
      </c>
      <c r="B23">
        <v>88</v>
      </c>
      <c r="C23">
        <f t="shared" si="0"/>
        <v>88</v>
      </c>
      <c r="F23">
        <v>1010</v>
      </c>
      <c r="G23">
        <v>1336</v>
      </c>
      <c r="H23">
        <f t="shared" si="1"/>
        <v>2346</v>
      </c>
      <c r="R23">
        <v>88</v>
      </c>
      <c r="S23">
        <v>2346</v>
      </c>
    </row>
    <row r="24" spans="1:19" x14ac:dyDescent="0.3">
      <c r="A24">
        <v>0</v>
      </c>
      <c r="B24">
        <v>92</v>
      </c>
      <c r="C24">
        <f t="shared" si="0"/>
        <v>92</v>
      </c>
      <c r="F24">
        <v>664</v>
      </c>
      <c r="G24">
        <v>1084</v>
      </c>
      <c r="H24">
        <f t="shared" si="1"/>
        <v>1748</v>
      </c>
      <c r="R24">
        <v>92</v>
      </c>
      <c r="S24">
        <v>1748</v>
      </c>
    </row>
    <row r="25" spans="1:19" x14ac:dyDescent="0.3">
      <c r="A25">
        <v>0</v>
      </c>
      <c r="B25">
        <v>44</v>
      </c>
      <c r="C25">
        <f t="shared" si="0"/>
        <v>44</v>
      </c>
      <c r="F25">
        <v>514</v>
      </c>
      <c r="G25">
        <v>891</v>
      </c>
      <c r="H25">
        <f t="shared" si="1"/>
        <v>1405</v>
      </c>
      <c r="R25">
        <v>44</v>
      </c>
      <c r="S25">
        <v>1405</v>
      </c>
    </row>
    <row r="26" spans="1:19" x14ac:dyDescent="0.3">
      <c r="A26">
        <v>224</v>
      </c>
      <c r="B26">
        <v>312</v>
      </c>
      <c r="C26">
        <f t="shared" si="0"/>
        <v>536</v>
      </c>
      <c r="F26">
        <v>654</v>
      </c>
      <c r="G26">
        <v>1033</v>
      </c>
      <c r="H26">
        <f t="shared" si="1"/>
        <v>1687</v>
      </c>
      <c r="R26">
        <v>536</v>
      </c>
      <c r="S26">
        <v>1687</v>
      </c>
    </row>
    <row r="27" spans="1:19" x14ac:dyDescent="0.3">
      <c r="A27">
        <v>279</v>
      </c>
      <c r="B27">
        <v>365</v>
      </c>
      <c r="C27">
        <f t="shared" si="0"/>
        <v>644</v>
      </c>
      <c r="F27">
        <v>687</v>
      </c>
      <c r="G27">
        <v>1052</v>
      </c>
      <c r="H27">
        <f t="shared" si="1"/>
        <v>1739</v>
      </c>
      <c r="R27">
        <v>644</v>
      </c>
      <c r="S27">
        <v>1739</v>
      </c>
    </row>
    <row r="28" spans="1:19" x14ac:dyDescent="0.3">
      <c r="A28">
        <v>194</v>
      </c>
      <c r="B28">
        <v>250</v>
      </c>
      <c r="C28">
        <f t="shared" si="0"/>
        <v>444</v>
      </c>
      <c r="F28">
        <v>528</v>
      </c>
      <c r="G28">
        <v>875</v>
      </c>
      <c r="H28">
        <f t="shared" si="1"/>
        <v>1403</v>
      </c>
      <c r="R28">
        <v>444</v>
      </c>
      <c r="S28">
        <v>1403</v>
      </c>
    </row>
    <row r="29" spans="1:19" x14ac:dyDescent="0.3">
      <c r="A29">
        <v>0</v>
      </c>
      <c r="B29">
        <v>73</v>
      </c>
      <c r="C29">
        <f t="shared" si="0"/>
        <v>73</v>
      </c>
      <c r="F29">
        <v>461</v>
      </c>
      <c r="G29">
        <v>813</v>
      </c>
      <c r="H29">
        <f t="shared" si="1"/>
        <v>1274</v>
      </c>
      <c r="R29">
        <v>73</v>
      </c>
      <c r="S29">
        <v>1274</v>
      </c>
    </row>
    <row r="30" spans="1:19" x14ac:dyDescent="0.3">
      <c r="A30">
        <v>0</v>
      </c>
      <c r="B30">
        <v>92</v>
      </c>
      <c r="C30">
        <f t="shared" si="0"/>
        <v>92</v>
      </c>
      <c r="F30">
        <v>906</v>
      </c>
      <c r="G30">
        <v>1172</v>
      </c>
      <c r="H30">
        <f t="shared" si="1"/>
        <v>2078</v>
      </c>
      <c r="R30">
        <v>92</v>
      </c>
      <c r="S30">
        <v>2078</v>
      </c>
    </row>
    <row r="31" spans="1:19" x14ac:dyDescent="0.3">
      <c r="A31">
        <v>0</v>
      </c>
      <c r="B31">
        <v>73</v>
      </c>
      <c r="C31">
        <f t="shared" si="0"/>
        <v>73</v>
      </c>
      <c r="F31">
        <v>1015</v>
      </c>
      <c r="G31">
        <v>1355</v>
      </c>
      <c r="H31">
        <f t="shared" si="1"/>
        <v>2370</v>
      </c>
      <c r="R31">
        <v>73</v>
      </c>
      <c r="S31">
        <v>2370</v>
      </c>
    </row>
    <row r="32" spans="1:19" x14ac:dyDescent="0.3">
      <c r="A32">
        <v>272</v>
      </c>
      <c r="B32">
        <v>322</v>
      </c>
      <c r="C32">
        <f t="shared" si="0"/>
        <v>594</v>
      </c>
      <c r="F32">
        <v>997</v>
      </c>
      <c r="G32">
        <v>1349</v>
      </c>
      <c r="H32">
        <f t="shared" si="1"/>
        <v>2346</v>
      </c>
      <c r="R32">
        <v>594</v>
      </c>
      <c r="S32">
        <v>2346</v>
      </c>
    </row>
    <row r="33" spans="1:19" x14ac:dyDescent="0.3">
      <c r="A33">
        <v>283</v>
      </c>
      <c r="B33">
        <v>370</v>
      </c>
      <c r="C33">
        <f t="shared" si="0"/>
        <v>653</v>
      </c>
      <c r="F33">
        <v>511</v>
      </c>
      <c r="G33">
        <v>891</v>
      </c>
      <c r="H33">
        <f t="shared" si="1"/>
        <v>1402</v>
      </c>
      <c r="R33">
        <v>653</v>
      </c>
      <c r="S33">
        <v>1402</v>
      </c>
    </row>
    <row r="34" spans="1:19" x14ac:dyDescent="0.3">
      <c r="A34">
        <v>303</v>
      </c>
      <c r="B34">
        <v>341</v>
      </c>
      <c r="C34">
        <f t="shared" si="0"/>
        <v>644</v>
      </c>
      <c r="F34">
        <v>714</v>
      </c>
      <c r="G34">
        <v>1079</v>
      </c>
      <c r="H34">
        <f t="shared" si="1"/>
        <v>1793</v>
      </c>
      <c r="R34">
        <v>644</v>
      </c>
      <c r="S34">
        <v>1793</v>
      </c>
    </row>
    <row r="35" spans="1:19" x14ac:dyDescent="0.3">
      <c r="A35">
        <v>57</v>
      </c>
      <c r="B35">
        <v>143</v>
      </c>
      <c r="C35">
        <f t="shared" si="0"/>
        <v>200</v>
      </c>
      <c r="F35">
        <v>639</v>
      </c>
      <c r="G35">
        <v>1007</v>
      </c>
      <c r="H35">
        <f t="shared" si="1"/>
        <v>1646</v>
      </c>
      <c r="R35">
        <v>200</v>
      </c>
      <c r="S35">
        <v>1646</v>
      </c>
    </row>
    <row r="36" spans="1:19" x14ac:dyDescent="0.3">
      <c r="A36">
        <v>0</v>
      </c>
      <c r="B36">
        <v>88</v>
      </c>
      <c r="C36">
        <f t="shared" si="0"/>
        <v>88</v>
      </c>
      <c r="F36">
        <v>569</v>
      </c>
      <c r="G36">
        <v>926</v>
      </c>
      <c r="H36">
        <f t="shared" si="1"/>
        <v>1495</v>
      </c>
      <c r="R36">
        <v>88</v>
      </c>
      <c r="S36">
        <v>1495</v>
      </c>
    </row>
    <row r="37" spans="1:19" x14ac:dyDescent="0.3">
      <c r="A37">
        <v>0</v>
      </c>
      <c r="B37">
        <v>36</v>
      </c>
      <c r="C37">
        <f t="shared" si="0"/>
        <v>36</v>
      </c>
      <c r="F37">
        <v>735</v>
      </c>
      <c r="G37">
        <v>1075</v>
      </c>
      <c r="H37">
        <f t="shared" si="1"/>
        <v>1810</v>
      </c>
      <c r="R37">
        <v>36</v>
      </c>
      <c r="S37">
        <v>1810</v>
      </c>
    </row>
    <row r="38" spans="1:19" x14ac:dyDescent="0.3">
      <c r="A38">
        <v>216</v>
      </c>
      <c r="B38">
        <v>302</v>
      </c>
      <c r="C38">
        <f t="shared" si="0"/>
        <v>518</v>
      </c>
      <c r="F38">
        <v>731</v>
      </c>
      <c r="G38">
        <v>1051</v>
      </c>
      <c r="H38">
        <f t="shared" si="1"/>
        <v>1782</v>
      </c>
      <c r="R38">
        <v>518</v>
      </c>
      <c r="S38">
        <v>1782</v>
      </c>
    </row>
    <row r="39" spans="1:19" x14ac:dyDescent="0.3">
      <c r="A39">
        <v>287</v>
      </c>
      <c r="B39">
        <v>375</v>
      </c>
      <c r="C39">
        <f t="shared" si="0"/>
        <v>662</v>
      </c>
      <c r="F39">
        <v>1039</v>
      </c>
      <c r="G39">
        <v>1318</v>
      </c>
      <c r="H39">
        <f t="shared" si="1"/>
        <v>2357</v>
      </c>
      <c r="R39">
        <v>662</v>
      </c>
      <c r="S39">
        <v>2357</v>
      </c>
    </row>
    <row r="40" spans="1:19" x14ac:dyDescent="0.3">
      <c r="A40">
        <v>296</v>
      </c>
      <c r="B40">
        <v>336</v>
      </c>
      <c r="C40">
        <f t="shared" si="0"/>
        <v>632</v>
      </c>
      <c r="F40">
        <v>1032</v>
      </c>
      <c r="G40">
        <v>1329</v>
      </c>
      <c r="H40">
        <f t="shared" si="1"/>
        <v>2361</v>
      </c>
      <c r="R40">
        <v>632</v>
      </c>
      <c r="S40">
        <v>2361</v>
      </c>
    </row>
    <row r="41" spans="1:19" x14ac:dyDescent="0.3">
      <c r="A41">
        <v>144</v>
      </c>
      <c r="B41">
        <v>232</v>
      </c>
      <c r="C41">
        <f t="shared" si="0"/>
        <v>376</v>
      </c>
      <c r="F41">
        <v>1012</v>
      </c>
      <c r="G41">
        <v>1323</v>
      </c>
      <c r="H41">
        <f t="shared" si="1"/>
        <v>2335</v>
      </c>
      <c r="R41">
        <v>376</v>
      </c>
      <c r="S41">
        <v>2335</v>
      </c>
    </row>
    <row r="42" spans="1:19" x14ac:dyDescent="0.3">
      <c r="A42">
        <v>0</v>
      </c>
      <c r="B42">
        <v>88</v>
      </c>
      <c r="C42">
        <f t="shared" si="0"/>
        <v>88</v>
      </c>
      <c r="F42">
        <v>1006</v>
      </c>
      <c r="G42">
        <v>1313</v>
      </c>
      <c r="H42">
        <f t="shared" si="1"/>
        <v>2319</v>
      </c>
      <c r="R42">
        <v>88</v>
      </c>
      <c r="S42">
        <v>2319</v>
      </c>
    </row>
    <row r="43" spans="1:19" x14ac:dyDescent="0.3">
      <c r="A43">
        <v>0</v>
      </c>
      <c r="B43">
        <v>36</v>
      </c>
      <c r="C43">
        <f t="shared" si="0"/>
        <v>36</v>
      </c>
      <c r="F43">
        <v>844</v>
      </c>
      <c r="G43">
        <v>1207</v>
      </c>
      <c r="H43">
        <f t="shared" si="1"/>
        <v>2051</v>
      </c>
      <c r="R43">
        <v>36</v>
      </c>
      <c r="S43">
        <v>2051</v>
      </c>
    </row>
    <row r="44" spans="1:19" x14ac:dyDescent="0.3">
      <c r="A44">
        <v>177</v>
      </c>
      <c r="B44">
        <v>264</v>
      </c>
      <c r="C44">
        <f t="shared" si="0"/>
        <v>441</v>
      </c>
      <c r="F44">
        <v>391</v>
      </c>
      <c r="G44">
        <v>756</v>
      </c>
      <c r="H44">
        <f t="shared" si="1"/>
        <v>1147</v>
      </c>
      <c r="R44">
        <v>441</v>
      </c>
      <c r="S44">
        <v>1147</v>
      </c>
    </row>
    <row r="45" spans="1:19" x14ac:dyDescent="0.3">
      <c r="A45">
        <v>291</v>
      </c>
      <c r="B45">
        <v>379</v>
      </c>
      <c r="C45">
        <f t="shared" si="0"/>
        <v>670</v>
      </c>
      <c r="F45">
        <v>680</v>
      </c>
      <c r="G45">
        <v>1040</v>
      </c>
      <c r="H45">
        <f t="shared" si="1"/>
        <v>1720</v>
      </c>
      <c r="R45">
        <v>670</v>
      </c>
      <c r="S45">
        <v>1720</v>
      </c>
    </row>
    <row r="46" spans="1:19" x14ac:dyDescent="0.3">
      <c r="A46">
        <v>312</v>
      </c>
      <c r="B46">
        <v>348</v>
      </c>
      <c r="C46">
        <f t="shared" si="0"/>
        <v>660</v>
      </c>
      <c r="F46">
        <v>604</v>
      </c>
      <c r="G46">
        <v>977</v>
      </c>
      <c r="H46">
        <f t="shared" si="1"/>
        <v>1581</v>
      </c>
      <c r="R46">
        <v>660</v>
      </c>
      <c r="S46">
        <v>1581</v>
      </c>
    </row>
    <row r="47" spans="1:19" x14ac:dyDescent="0.3">
      <c r="A47">
        <v>264</v>
      </c>
      <c r="B47">
        <v>356</v>
      </c>
      <c r="C47">
        <f t="shared" si="0"/>
        <v>620</v>
      </c>
      <c r="F47">
        <v>595</v>
      </c>
      <c r="G47">
        <v>969</v>
      </c>
      <c r="H47">
        <f t="shared" si="1"/>
        <v>1564</v>
      </c>
      <c r="R47">
        <v>620</v>
      </c>
      <c r="S47">
        <v>1564</v>
      </c>
    </row>
    <row r="48" spans="1:19" x14ac:dyDescent="0.3">
      <c r="A48">
        <v>0</v>
      </c>
      <c r="B48">
        <v>88</v>
      </c>
      <c r="C48">
        <f t="shared" si="0"/>
        <v>88</v>
      </c>
      <c r="F48">
        <v>842</v>
      </c>
      <c r="G48">
        <v>1237</v>
      </c>
      <c r="H48">
        <f t="shared" si="1"/>
        <v>2079</v>
      </c>
      <c r="R48">
        <v>88</v>
      </c>
      <c r="S48">
        <v>2079</v>
      </c>
    </row>
    <row r="49" spans="1:19" x14ac:dyDescent="0.3">
      <c r="A49">
        <v>0</v>
      </c>
      <c r="B49">
        <v>40</v>
      </c>
      <c r="C49">
        <f t="shared" si="0"/>
        <v>40</v>
      </c>
      <c r="F49">
        <v>829</v>
      </c>
      <c r="G49">
        <v>1150</v>
      </c>
      <c r="H49">
        <f t="shared" si="1"/>
        <v>1979</v>
      </c>
      <c r="R49">
        <v>40</v>
      </c>
      <c r="S49">
        <v>1979</v>
      </c>
    </row>
    <row r="50" spans="1:19" x14ac:dyDescent="0.3">
      <c r="A50">
        <v>151</v>
      </c>
      <c r="B50">
        <v>239</v>
      </c>
      <c r="C50">
        <f t="shared" si="0"/>
        <v>390</v>
      </c>
      <c r="F50">
        <v>1034</v>
      </c>
      <c r="G50">
        <v>1310</v>
      </c>
      <c r="H50">
        <f t="shared" si="1"/>
        <v>2344</v>
      </c>
      <c r="R50">
        <v>390</v>
      </c>
      <c r="S50">
        <v>2344</v>
      </c>
    </row>
    <row r="51" spans="1:19" x14ac:dyDescent="0.3">
      <c r="A51">
        <v>265</v>
      </c>
      <c r="B51">
        <v>352</v>
      </c>
      <c r="C51">
        <f t="shared" si="0"/>
        <v>617</v>
      </c>
      <c r="F51">
        <v>1025</v>
      </c>
      <c r="G51">
        <v>1306</v>
      </c>
      <c r="H51">
        <f t="shared" si="1"/>
        <v>2331</v>
      </c>
      <c r="R51">
        <v>617</v>
      </c>
      <c r="S51">
        <v>2331</v>
      </c>
    </row>
    <row r="52" spans="1:19" x14ac:dyDescent="0.3">
      <c r="A52">
        <v>295</v>
      </c>
      <c r="B52">
        <v>334</v>
      </c>
      <c r="C52">
        <f t="shared" si="0"/>
        <v>629</v>
      </c>
      <c r="F52">
        <v>1012</v>
      </c>
      <c r="G52">
        <v>1319</v>
      </c>
      <c r="H52">
        <f t="shared" si="1"/>
        <v>2331</v>
      </c>
      <c r="R52">
        <v>629</v>
      </c>
      <c r="S52">
        <v>2331</v>
      </c>
    </row>
    <row r="53" spans="1:19" x14ac:dyDescent="0.3">
      <c r="A53">
        <v>312</v>
      </c>
      <c r="B53">
        <v>401</v>
      </c>
      <c r="C53">
        <f t="shared" si="0"/>
        <v>713</v>
      </c>
      <c r="F53">
        <v>993</v>
      </c>
      <c r="G53">
        <v>1329</v>
      </c>
      <c r="H53">
        <f t="shared" si="1"/>
        <v>2322</v>
      </c>
      <c r="R53">
        <v>713</v>
      </c>
      <c r="S53">
        <v>2322</v>
      </c>
    </row>
    <row r="54" spans="1:19" x14ac:dyDescent="0.3">
      <c r="A54">
        <v>226</v>
      </c>
      <c r="B54">
        <v>314</v>
      </c>
      <c r="C54">
        <f t="shared" si="0"/>
        <v>540</v>
      </c>
      <c r="F54">
        <v>1001</v>
      </c>
      <c r="G54">
        <v>1368</v>
      </c>
      <c r="H54">
        <f t="shared" si="1"/>
        <v>2369</v>
      </c>
      <c r="R54">
        <v>540</v>
      </c>
      <c r="S54">
        <v>2369</v>
      </c>
    </row>
    <row r="55" spans="1:19" x14ac:dyDescent="0.3">
      <c r="A55">
        <v>0</v>
      </c>
      <c r="B55">
        <v>40</v>
      </c>
      <c r="C55">
        <f t="shared" si="0"/>
        <v>40</v>
      </c>
      <c r="F55">
        <v>506</v>
      </c>
      <c r="G55">
        <v>919</v>
      </c>
      <c r="H55">
        <f t="shared" si="1"/>
        <v>1425</v>
      </c>
      <c r="R55">
        <v>40</v>
      </c>
      <c r="S55">
        <v>1425</v>
      </c>
    </row>
    <row r="56" spans="1:19" x14ac:dyDescent="0.3">
      <c r="A56">
        <v>174</v>
      </c>
      <c r="B56">
        <v>265</v>
      </c>
      <c r="C56">
        <f t="shared" si="0"/>
        <v>439</v>
      </c>
      <c r="F56">
        <v>514</v>
      </c>
      <c r="G56">
        <v>860</v>
      </c>
      <c r="H56">
        <f t="shared" si="1"/>
        <v>1374</v>
      </c>
      <c r="R56">
        <v>439</v>
      </c>
      <c r="S56">
        <v>1374</v>
      </c>
    </row>
    <row r="57" spans="1:19" x14ac:dyDescent="0.3">
      <c r="A57">
        <v>264</v>
      </c>
      <c r="B57">
        <v>355</v>
      </c>
      <c r="C57">
        <f t="shared" si="0"/>
        <v>619</v>
      </c>
      <c r="F57">
        <v>598</v>
      </c>
      <c r="G57">
        <v>1029</v>
      </c>
      <c r="H57">
        <f t="shared" si="1"/>
        <v>1627</v>
      </c>
      <c r="R57">
        <v>619</v>
      </c>
      <c r="S57">
        <v>1627</v>
      </c>
    </row>
    <row r="58" spans="1:19" x14ac:dyDescent="0.3">
      <c r="A58">
        <v>313</v>
      </c>
      <c r="B58">
        <v>358</v>
      </c>
      <c r="C58">
        <f t="shared" si="0"/>
        <v>671</v>
      </c>
      <c r="F58">
        <v>687</v>
      </c>
      <c r="G58">
        <v>1069</v>
      </c>
      <c r="H58">
        <f t="shared" si="1"/>
        <v>1756</v>
      </c>
      <c r="R58">
        <v>671</v>
      </c>
      <c r="S58">
        <v>1756</v>
      </c>
    </row>
    <row r="59" spans="1:19" x14ac:dyDescent="0.3">
      <c r="A59">
        <v>296</v>
      </c>
      <c r="B59">
        <v>383</v>
      </c>
      <c r="C59">
        <f t="shared" si="0"/>
        <v>679</v>
      </c>
      <c r="F59">
        <v>799</v>
      </c>
      <c r="G59">
        <v>1175</v>
      </c>
      <c r="H59">
        <f t="shared" si="1"/>
        <v>1974</v>
      </c>
      <c r="R59">
        <v>679</v>
      </c>
      <c r="S59">
        <v>1974</v>
      </c>
    </row>
    <row r="60" spans="1:19" x14ac:dyDescent="0.3">
      <c r="A60">
        <v>314</v>
      </c>
      <c r="B60">
        <v>401</v>
      </c>
      <c r="C60">
        <f t="shared" si="0"/>
        <v>715</v>
      </c>
      <c r="F60">
        <v>832</v>
      </c>
      <c r="G60">
        <v>1166</v>
      </c>
      <c r="H60">
        <f t="shared" si="1"/>
        <v>1998</v>
      </c>
      <c r="R60">
        <v>715</v>
      </c>
      <c r="S60">
        <v>1998</v>
      </c>
    </row>
    <row r="61" spans="1:19" x14ac:dyDescent="0.3">
      <c r="A61">
        <v>149</v>
      </c>
      <c r="B61">
        <v>222</v>
      </c>
      <c r="C61">
        <f t="shared" si="0"/>
        <v>371</v>
      </c>
      <c r="F61">
        <v>1044</v>
      </c>
      <c r="G61">
        <v>1307</v>
      </c>
      <c r="H61">
        <f t="shared" si="1"/>
        <v>2351</v>
      </c>
      <c r="R61">
        <v>371</v>
      </c>
      <c r="S61">
        <v>2351</v>
      </c>
    </row>
    <row r="62" spans="1:19" x14ac:dyDescent="0.3">
      <c r="A62">
        <v>264</v>
      </c>
      <c r="B62">
        <v>322</v>
      </c>
      <c r="C62">
        <f t="shared" si="0"/>
        <v>586</v>
      </c>
      <c r="F62">
        <v>1029</v>
      </c>
      <c r="G62">
        <v>1309</v>
      </c>
      <c r="H62">
        <f t="shared" si="1"/>
        <v>2338</v>
      </c>
      <c r="R62">
        <v>586</v>
      </c>
      <c r="S62">
        <v>2338</v>
      </c>
    </row>
    <row r="63" spans="1:19" x14ac:dyDescent="0.3">
      <c r="A63">
        <v>282</v>
      </c>
      <c r="B63">
        <v>370</v>
      </c>
      <c r="C63">
        <f t="shared" si="0"/>
        <v>652</v>
      </c>
      <c r="F63">
        <v>1021</v>
      </c>
      <c r="G63">
        <v>1323</v>
      </c>
      <c r="H63">
        <f t="shared" si="1"/>
        <v>2344</v>
      </c>
      <c r="R63">
        <v>652</v>
      </c>
      <c r="S63">
        <v>2344</v>
      </c>
    </row>
    <row r="64" spans="1:19" x14ac:dyDescent="0.3">
      <c r="A64">
        <v>302</v>
      </c>
      <c r="B64">
        <v>390</v>
      </c>
      <c r="C64">
        <f t="shared" si="0"/>
        <v>692</v>
      </c>
      <c r="F64">
        <v>1035</v>
      </c>
      <c r="G64">
        <v>1311</v>
      </c>
      <c r="H64">
        <f t="shared" si="1"/>
        <v>2346</v>
      </c>
      <c r="R64">
        <v>692</v>
      </c>
      <c r="S64">
        <v>2346</v>
      </c>
    </row>
    <row r="65" spans="1:19" x14ac:dyDescent="0.3">
      <c r="A65">
        <v>298</v>
      </c>
      <c r="B65">
        <v>336</v>
      </c>
      <c r="C65">
        <f t="shared" si="0"/>
        <v>634</v>
      </c>
      <c r="F65">
        <v>1030</v>
      </c>
      <c r="G65">
        <v>1310</v>
      </c>
      <c r="H65">
        <f t="shared" si="1"/>
        <v>2340</v>
      </c>
      <c r="R65">
        <v>634</v>
      </c>
      <c r="S65">
        <v>2340</v>
      </c>
    </row>
    <row r="66" spans="1:19" x14ac:dyDescent="0.3">
      <c r="A66">
        <v>91</v>
      </c>
      <c r="B66">
        <v>184</v>
      </c>
      <c r="C66">
        <f t="shared" ref="C66:C129" si="2">A66+B66</f>
        <v>275</v>
      </c>
      <c r="F66">
        <v>1034</v>
      </c>
      <c r="G66">
        <v>1300</v>
      </c>
      <c r="H66">
        <f t="shared" ref="H66:H129" si="3">F66+G66</f>
        <v>2334</v>
      </c>
      <c r="R66">
        <v>275</v>
      </c>
      <c r="S66">
        <v>2334</v>
      </c>
    </row>
    <row r="67" spans="1:19" x14ac:dyDescent="0.3">
      <c r="A67">
        <v>34</v>
      </c>
      <c r="B67">
        <v>125</v>
      </c>
      <c r="C67">
        <f t="shared" si="2"/>
        <v>159</v>
      </c>
      <c r="F67">
        <v>1063</v>
      </c>
      <c r="G67">
        <v>1289</v>
      </c>
      <c r="H67">
        <f t="shared" si="3"/>
        <v>2352</v>
      </c>
      <c r="R67">
        <v>159</v>
      </c>
      <c r="S67">
        <v>2352</v>
      </c>
    </row>
    <row r="68" spans="1:19" x14ac:dyDescent="0.3">
      <c r="A68">
        <v>272</v>
      </c>
      <c r="B68">
        <v>308</v>
      </c>
      <c r="C68">
        <f t="shared" si="2"/>
        <v>580</v>
      </c>
      <c r="F68">
        <v>1051</v>
      </c>
      <c r="G68">
        <v>1317</v>
      </c>
      <c r="H68">
        <f t="shared" si="3"/>
        <v>2368</v>
      </c>
      <c r="R68">
        <v>580</v>
      </c>
      <c r="S68">
        <v>2368</v>
      </c>
    </row>
    <row r="69" spans="1:19" x14ac:dyDescent="0.3">
      <c r="A69">
        <v>267</v>
      </c>
      <c r="B69">
        <v>356</v>
      </c>
      <c r="C69">
        <f t="shared" si="2"/>
        <v>623</v>
      </c>
      <c r="F69">
        <v>1023</v>
      </c>
      <c r="G69">
        <v>1326</v>
      </c>
      <c r="H69">
        <f t="shared" si="3"/>
        <v>2349</v>
      </c>
      <c r="R69">
        <v>623</v>
      </c>
      <c r="S69">
        <v>2349</v>
      </c>
    </row>
    <row r="70" spans="1:19" x14ac:dyDescent="0.3">
      <c r="A70">
        <v>311</v>
      </c>
      <c r="B70">
        <v>397</v>
      </c>
      <c r="C70">
        <f t="shared" si="2"/>
        <v>708</v>
      </c>
      <c r="F70">
        <v>636</v>
      </c>
      <c r="G70">
        <v>1002</v>
      </c>
      <c r="H70">
        <f t="shared" si="3"/>
        <v>1638</v>
      </c>
      <c r="R70">
        <v>708</v>
      </c>
      <c r="S70">
        <v>1638</v>
      </c>
    </row>
    <row r="71" spans="1:19" x14ac:dyDescent="0.3">
      <c r="A71">
        <v>272</v>
      </c>
      <c r="B71">
        <v>314</v>
      </c>
      <c r="C71">
        <f t="shared" si="2"/>
        <v>586</v>
      </c>
      <c r="F71">
        <v>568</v>
      </c>
      <c r="G71">
        <v>937</v>
      </c>
      <c r="H71">
        <f t="shared" si="3"/>
        <v>1505</v>
      </c>
      <c r="R71">
        <v>586</v>
      </c>
      <c r="S71">
        <v>1505</v>
      </c>
    </row>
    <row r="72" spans="1:19" x14ac:dyDescent="0.3">
      <c r="A72">
        <v>0</v>
      </c>
      <c r="B72">
        <v>88</v>
      </c>
      <c r="C72">
        <f t="shared" si="2"/>
        <v>88</v>
      </c>
      <c r="F72">
        <v>631</v>
      </c>
      <c r="G72">
        <v>998</v>
      </c>
      <c r="H72">
        <f t="shared" si="3"/>
        <v>1629</v>
      </c>
      <c r="R72">
        <v>88</v>
      </c>
      <c r="S72">
        <v>1629</v>
      </c>
    </row>
    <row r="73" spans="1:19" x14ac:dyDescent="0.3">
      <c r="A73">
        <v>35</v>
      </c>
      <c r="B73">
        <v>124</v>
      </c>
      <c r="C73">
        <f t="shared" si="2"/>
        <v>159</v>
      </c>
      <c r="F73">
        <v>692</v>
      </c>
      <c r="G73">
        <v>1103</v>
      </c>
      <c r="H73">
        <f t="shared" si="3"/>
        <v>1795</v>
      </c>
      <c r="R73">
        <v>159</v>
      </c>
      <c r="S73">
        <v>1795</v>
      </c>
    </row>
    <row r="74" spans="1:19" x14ac:dyDescent="0.3">
      <c r="A74">
        <v>261</v>
      </c>
      <c r="B74">
        <v>298</v>
      </c>
      <c r="C74">
        <f t="shared" si="2"/>
        <v>559</v>
      </c>
      <c r="F74">
        <v>770</v>
      </c>
      <c r="G74">
        <v>1137</v>
      </c>
      <c r="H74">
        <f t="shared" si="3"/>
        <v>1907</v>
      </c>
      <c r="R74">
        <v>559</v>
      </c>
      <c r="S74">
        <v>1907</v>
      </c>
    </row>
    <row r="75" spans="1:19" x14ac:dyDescent="0.3">
      <c r="A75">
        <v>264</v>
      </c>
      <c r="B75">
        <v>352</v>
      </c>
      <c r="C75">
        <f t="shared" si="2"/>
        <v>616</v>
      </c>
      <c r="F75">
        <v>855</v>
      </c>
      <c r="G75">
        <v>1234</v>
      </c>
      <c r="H75">
        <f t="shared" si="3"/>
        <v>2089</v>
      </c>
      <c r="R75">
        <v>616</v>
      </c>
      <c r="S75">
        <v>2089</v>
      </c>
    </row>
    <row r="76" spans="1:19" x14ac:dyDescent="0.3">
      <c r="A76">
        <v>276</v>
      </c>
      <c r="B76">
        <v>365</v>
      </c>
      <c r="C76">
        <f t="shared" si="2"/>
        <v>641</v>
      </c>
      <c r="F76">
        <v>1083</v>
      </c>
      <c r="G76">
        <v>1289</v>
      </c>
      <c r="H76">
        <f t="shared" si="3"/>
        <v>2372</v>
      </c>
      <c r="R76">
        <v>641</v>
      </c>
      <c r="S76">
        <v>2372</v>
      </c>
    </row>
    <row r="77" spans="1:19" x14ac:dyDescent="0.3">
      <c r="A77">
        <v>278</v>
      </c>
      <c r="B77">
        <v>313</v>
      </c>
      <c r="C77">
        <f t="shared" si="2"/>
        <v>591</v>
      </c>
      <c r="F77">
        <v>1057</v>
      </c>
      <c r="G77">
        <v>1290</v>
      </c>
      <c r="H77">
        <f t="shared" si="3"/>
        <v>2347</v>
      </c>
      <c r="R77">
        <v>591</v>
      </c>
      <c r="S77">
        <v>2347</v>
      </c>
    </row>
    <row r="78" spans="1:19" x14ac:dyDescent="0.3">
      <c r="A78">
        <v>286</v>
      </c>
      <c r="B78">
        <v>378</v>
      </c>
      <c r="C78">
        <f t="shared" si="2"/>
        <v>664</v>
      </c>
      <c r="F78">
        <v>1052</v>
      </c>
      <c r="G78">
        <v>1293</v>
      </c>
      <c r="H78">
        <f t="shared" si="3"/>
        <v>2345</v>
      </c>
      <c r="R78">
        <v>664</v>
      </c>
      <c r="S78">
        <v>2345</v>
      </c>
    </row>
    <row r="79" spans="1:19" x14ac:dyDescent="0.3">
      <c r="A79">
        <v>191</v>
      </c>
      <c r="B79">
        <v>277</v>
      </c>
      <c r="C79">
        <f t="shared" si="2"/>
        <v>468</v>
      </c>
      <c r="F79">
        <v>1048</v>
      </c>
      <c r="G79">
        <v>1312</v>
      </c>
      <c r="H79">
        <f t="shared" si="3"/>
        <v>2360</v>
      </c>
      <c r="R79">
        <v>468</v>
      </c>
      <c r="S79">
        <v>2360</v>
      </c>
    </row>
    <row r="80" spans="1:19" x14ac:dyDescent="0.3">
      <c r="A80">
        <v>259</v>
      </c>
      <c r="B80">
        <v>300</v>
      </c>
      <c r="C80">
        <f t="shared" si="2"/>
        <v>559</v>
      </c>
      <c r="F80">
        <v>1032</v>
      </c>
      <c r="G80">
        <v>1312</v>
      </c>
      <c r="H80">
        <f t="shared" si="3"/>
        <v>2344</v>
      </c>
      <c r="R80">
        <v>559</v>
      </c>
      <c r="S80">
        <v>2344</v>
      </c>
    </row>
    <row r="81" spans="1:19" x14ac:dyDescent="0.3">
      <c r="A81">
        <v>273</v>
      </c>
      <c r="B81">
        <v>364</v>
      </c>
      <c r="C81">
        <f t="shared" si="2"/>
        <v>637</v>
      </c>
      <c r="F81">
        <v>1036</v>
      </c>
      <c r="G81">
        <v>1294</v>
      </c>
      <c r="H81">
        <f t="shared" si="3"/>
        <v>2330</v>
      </c>
      <c r="R81">
        <v>637</v>
      </c>
      <c r="S81">
        <v>2330</v>
      </c>
    </row>
    <row r="82" spans="1:19" x14ac:dyDescent="0.3">
      <c r="A82">
        <v>285</v>
      </c>
      <c r="B82">
        <v>373</v>
      </c>
      <c r="C82">
        <f t="shared" si="2"/>
        <v>658</v>
      </c>
      <c r="F82">
        <v>1047</v>
      </c>
      <c r="G82">
        <v>1293</v>
      </c>
      <c r="H82">
        <f t="shared" si="3"/>
        <v>2340</v>
      </c>
      <c r="R82">
        <v>658</v>
      </c>
      <c r="S82">
        <v>2340</v>
      </c>
    </row>
    <row r="83" spans="1:19" x14ac:dyDescent="0.3">
      <c r="A83">
        <v>297</v>
      </c>
      <c r="B83">
        <v>337</v>
      </c>
      <c r="C83">
        <f t="shared" si="2"/>
        <v>634</v>
      </c>
      <c r="F83">
        <v>1063</v>
      </c>
      <c r="G83">
        <v>1300</v>
      </c>
      <c r="H83">
        <f t="shared" si="3"/>
        <v>2363</v>
      </c>
      <c r="R83">
        <v>634</v>
      </c>
      <c r="S83">
        <v>2363</v>
      </c>
    </row>
    <row r="84" spans="1:19" x14ac:dyDescent="0.3">
      <c r="A84">
        <v>236</v>
      </c>
      <c r="B84">
        <v>329</v>
      </c>
      <c r="C84">
        <f t="shared" si="2"/>
        <v>565</v>
      </c>
      <c r="F84">
        <v>1084</v>
      </c>
      <c r="G84">
        <v>1291</v>
      </c>
      <c r="H84">
        <f t="shared" si="3"/>
        <v>2375</v>
      </c>
      <c r="R84">
        <v>565</v>
      </c>
      <c r="S84">
        <v>2375</v>
      </c>
    </row>
    <row r="85" spans="1:19" x14ac:dyDescent="0.3">
      <c r="A85">
        <v>65</v>
      </c>
      <c r="B85">
        <v>151</v>
      </c>
      <c r="C85">
        <f t="shared" si="2"/>
        <v>216</v>
      </c>
      <c r="F85">
        <v>1049</v>
      </c>
      <c r="G85">
        <v>1291</v>
      </c>
      <c r="H85">
        <f t="shared" si="3"/>
        <v>2340</v>
      </c>
      <c r="R85">
        <v>216</v>
      </c>
      <c r="S85">
        <v>2340</v>
      </c>
    </row>
    <row r="86" spans="1:19" x14ac:dyDescent="0.3">
      <c r="A86">
        <v>258</v>
      </c>
      <c r="B86">
        <v>310</v>
      </c>
      <c r="C86">
        <f t="shared" si="2"/>
        <v>568</v>
      </c>
      <c r="F86">
        <v>959</v>
      </c>
      <c r="G86">
        <v>1295</v>
      </c>
      <c r="H86">
        <f t="shared" si="3"/>
        <v>2254</v>
      </c>
      <c r="R86">
        <v>568</v>
      </c>
      <c r="S86">
        <v>2254</v>
      </c>
    </row>
    <row r="87" spans="1:19" x14ac:dyDescent="0.3">
      <c r="A87">
        <v>281</v>
      </c>
      <c r="B87">
        <v>363</v>
      </c>
      <c r="C87">
        <f t="shared" si="2"/>
        <v>644</v>
      </c>
      <c r="F87">
        <v>443</v>
      </c>
      <c r="G87">
        <v>846</v>
      </c>
      <c r="H87">
        <f t="shared" si="3"/>
        <v>1289</v>
      </c>
      <c r="R87">
        <v>644</v>
      </c>
      <c r="S87">
        <v>1289</v>
      </c>
    </row>
    <row r="88" spans="1:19" x14ac:dyDescent="0.3">
      <c r="A88">
        <v>304</v>
      </c>
      <c r="B88">
        <v>395</v>
      </c>
      <c r="C88">
        <f t="shared" si="2"/>
        <v>699</v>
      </c>
      <c r="F88">
        <v>692</v>
      </c>
      <c r="G88">
        <v>1078</v>
      </c>
      <c r="H88">
        <f t="shared" si="3"/>
        <v>1770</v>
      </c>
      <c r="R88">
        <v>699</v>
      </c>
      <c r="S88">
        <v>1770</v>
      </c>
    </row>
    <row r="89" spans="1:19" x14ac:dyDescent="0.3">
      <c r="A89">
        <v>289</v>
      </c>
      <c r="B89">
        <v>359</v>
      </c>
      <c r="C89">
        <f t="shared" si="2"/>
        <v>648</v>
      </c>
      <c r="F89">
        <v>559</v>
      </c>
      <c r="G89">
        <v>930</v>
      </c>
      <c r="H89">
        <f t="shared" si="3"/>
        <v>1489</v>
      </c>
      <c r="R89">
        <v>648</v>
      </c>
      <c r="S89">
        <v>1489</v>
      </c>
    </row>
    <row r="90" spans="1:19" x14ac:dyDescent="0.3">
      <c r="A90">
        <v>281</v>
      </c>
      <c r="B90">
        <v>339</v>
      </c>
      <c r="C90">
        <f t="shared" si="2"/>
        <v>620</v>
      </c>
      <c r="F90">
        <v>566</v>
      </c>
      <c r="G90">
        <v>946</v>
      </c>
      <c r="H90">
        <f t="shared" si="3"/>
        <v>1512</v>
      </c>
      <c r="R90">
        <v>620</v>
      </c>
      <c r="S90">
        <v>1512</v>
      </c>
    </row>
    <row r="91" spans="1:19" x14ac:dyDescent="0.3">
      <c r="A91">
        <v>130</v>
      </c>
      <c r="B91">
        <v>217</v>
      </c>
      <c r="C91">
        <f t="shared" si="2"/>
        <v>347</v>
      </c>
      <c r="F91">
        <v>829</v>
      </c>
      <c r="G91">
        <v>1191</v>
      </c>
      <c r="H91">
        <f t="shared" si="3"/>
        <v>2020</v>
      </c>
      <c r="R91">
        <v>347</v>
      </c>
      <c r="S91">
        <v>2020</v>
      </c>
    </row>
    <row r="92" spans="1:19" x14ac:dyDescent="0.3">
      <c r="A92">
        <v>271</v>
      </c>
      <c r="B92">
        <v>359</v>
      </c>
      <c r="C92">
        <f t="shared" si="2"/>
        <v>630</v>
      </c>
      <c r="F92">
        <v>918</v>
      </c>
      <c r="G92">
        <v>1282</v>
      </c>
      <c r="H92">
        <f t="shared" si="3"/>
        <v>2200</v>
      </c>
      <c r="R92">
        <v>630</v>
      </c>
      <c r="S92">
        <v>2200</v>
      </c>
    </row>
    <row r="93" spans="1:19" x14ac:dyDescent="0.3">
      <c r="A93">
        <v>300</v>
      </c>
      <c r="B93">
        <v>344</v>
      </c>
      <c r="C93">
        <f t="shared" si="2"/>
        <v>644</v>
      </c>
      <c r="F93">
        <v>683</v>
      </c>
      <c r="G93">
        <v>1050</v>
      </c>
      <c r="H93">
        <f t="shared" si="3"/>
        <v>1733</v>
      </c>
      <c r="R93">
        <v>644</v>
      </c>
      <c r="S93">
        <v>1733</v>
      </c>
    </row>
    <row r="94" spans="1:19" x14ac:dyDescent="0.3">
      <c r="A94">
        <v>311</v>
      </c>
      <c r="B94">
        <v>398</v>
      </c>
      <c r="C94">
        <f t="shared" si="2"/>
        <v>709</v>
      </c>
      <c r="F94">
        <v>784</v>
      </c>
      <c r="G94">
        <v>1070</v>
      </c>
      <c r="H94">
        <f t="shared" si="3"/>
        <v>1854</v>
      </c>
      <c r="R94">
        <v>709</v>
      </c>
      <c r="S94">
        <v>1854</v>
      </c>
    </row>
    <row r="95" spans="1:19" x14ac:dyDescent="0.3">
      <c r="A95">
        <v>304</v>
      </c>
      <c r="B95">
        <v>396</v>
      </c>
      <c r="C95">
        <f t="shared" si="2"/>
        <v>700</v>
      </c>
      <c r="F95">
        <v>1048</v>
      </c>
      <c r="G95">
        <v>1318</v>
      </c>
      <c r="H95">
        <f t="shared" si="3"/>
        <v>2366</v>
      </c>
      <c r="R95">
        <v>700</v>
      </c>
      <c r="S95">
        <v>2366</v>
      </c>
    </row>
    <row r="96" spans="1:19" x14ac:dyDescent="0.3">
      <c r="A96">
        <v>315</v>
      </c>
      <c r="B96">
        <v>357</v>
      </c>
      <c r="C96">
        <f t="shared" si="2"/>
        <v>672</v>
      </c>
      <c r="F96">
        <v>1046</v>
      </c>
      <c r="G96">
        <v>1323</v>
      </c>
      <c r="H96">
        <f t="shared" si="3"/>
        <v>2369</v>
      </c>
      <c r="R96">
        <v>672</v>
      </c>
      <c r="S96">
        <v>2369</v>
      </c>
    </row>
    <row r="97" spans="1:19" x14ac:dyDescent="0.3">
      <c r="A97">
        <v>283</v>
      </c>
      <c r="B97">
        <v>374</v>
      </c>
      <c r="C97">
        <f t="shared" si="2"/>
        <v>657</v>
      </c>
      <c r="F97">
        <v>1038</v>
      </c>
      <c r="G97">
        <v>1301</v>
      </c>
      <c r="H97">
        <f t="shared" si="3"/>
        <v>2339</v>
      </c>
      <c r="R97">
        <v>657</v>
      </c>
      <c r="S97">
        <v>2339</v>
      </c>
    </row>
    <row r="98" spans="1:19" x14ac:dyDescent="0.3">
      <c r="A98">
        <v>276</v>
      </c>
      <c r="B98">
        <v>362</v>
      </c>
      <c r="C98">
        <f t="shared" si="2"/>
        <v>638</v>
      </c>
      <c r="F98">
        <v>1093</v>
      </c>
      <c r="G98">
        <v>1273</v>
      </c>
      <c r="H98">
        <f t="shared" si="3"/>
        <v>2366</v>
      </c>
      <c r="R98">
        <v>638</v>
      </c>
      <c r="S98">
        <v>2366</v>
      </c>
    </row>
    <row r="99" spans="1:19" x14ac:dyDescent="0.3">
      <c r="A99">
        <v>276</v>
      </c>
      <c r="B99">
        <v>313</v>
      </c>
      <c r="C99">
        <f t="shared" si="2"/>
        <v>589</v>
      </c>
      <c r="F99">
        <v>1079</v>
      </c>
      <c r="G99">
        <v>1281</v>
      </c>
      <c r="H99">
        <f t="shared" si="3"/>
        <v>2360</v>
      </c>
      <c r="R99">
        <v>589</v>
      </c>
      <c r="S99">
        <v>2360</v>
      </c>
    </row>
    <row r="100" spans="1:19" x14ac:dyDescent="0.3">
      <c r="A100">
        <v>314</v>
      </c>
      <c r="B100">
        <v>407</v>
      </c>
      <c r="C100">
        <f t="shared" si="2"/>
        <v>721</v>
      </c>
      <c r="F100">
        <v>1127</v>
      </c>
      <c r="G100">
        <v>1245</v>
      </c>
      <c r="H100">
        <f t="shared" si="3"/>
        <v>2372</v>
      </c>
      <c r="R100">
        <v>721</v>
      </c>
      <c r="S100">
        <v>2372</v>
      </c>
    </row>
    <row r="101" spans="1:19" x14ac:dyDescent="0.3">
      <c r="A101">
        <v>302</v>
      </c>
      <c r="B101">
        <v>388</v>
      </c>
      <c r="C101">
        <f t="shared" si="2"/>
        <v>690</v>
      </c>
      <c r="F101">
        <v>1062</v>
      </c>
      <c r="G101">
        <v>1296</v>
      </c>
      <c r="H101">
        <f t="shared" si="3"/>
        <v>2358</v>
      </c>
      <c r="R101">
        <v>690</v>
      </c>
      <c r="S101">
        <v>2358</v>
      </c>
    </row>
    <row r="102" spans="1:19" x14ac:dyDescent="0.3">
      <c r="A102">
        <v>297</v>
      </c>
      <c r="B102">
        <v>332</v>
      </c>
      <c r="C102">
        <f t="shared" si="2"/>
        <v>629</v>
      </c>
      <c r="F102">
        <v>1050</v>
      </c>
      <c r="G102">
        <v>1306</v>
      </c>
      <c r="H102">
        <f t="shared" si="3"/>
        <v>2356</v>
      </c>
      <c r="R102">
        <v>629</v>
      </c>
      <c r="S102">
        <v>2356</v>
      </c>
    </row>
    <row r="103" spans="1:19" x14ac:dyDescent="0.3">
      <c r="A103">
        <v>295</v>
      </c>
      <c r="B103">
        <v>386</v>
      </c>
      <c r="C103">
        <f t="shared" si="2"/>
        <v>681</v>
      </c>
      <c r="F103">
        <v>980</v>
      </c>
      <c r="G103">
        <v>1332</v>
      </c>
      <c r="H103">
        <f t="shared" si="3"/>
        <v>2312</v>
      </c>
      <c r="R103">
        <v>681</v>
      </c>
      <c r="S103">
        <v>2312</v>
      </c>
    </row>
    <row r="104" spans="1:19" x14ac:dyDescent="0.3">
      <c r="A104">
        <v>270</v>
      </c>
      <c r="B104">
        <v>359</v>
      </c>
      <c r="C104">
        <f t="shared" si="2"/>
        <v>629</v>
      </c>
      <c r="F104">
        <v>431</v>
      </c>
      <c r="G104">
        <v>804</v>
      </c>
      <c r="H104">
        <f t="shared" si="3"/>
        <v>1235</v>
      </c>
      <c r="R104">
        <v>629</v>
      </c>
      <c r="S104">
        <v>1235</v>
      </c>
    </row>
    <row r="105" spans="1:19" x14ac:dyDescent="0.3">
      <c r="A105">
        <v>295</v>
      </c>
      <c r="B105">
        <v>337</v>
      </c>
      <c r="C105">
        <f t="shared" si="2"/>
        <v>632</v>
      </c>
      <c r="F105">
        <v>660</v>
      </c>
      <c r="G105">
        <v>1029</v>
      </c>
      <c r="H105">
        <f t="shared" si="3"/>
        <v>1689</v>
      </c>
      <c r="R105">
        <v>632</v>
      </c>
      <c r="S105">
        <v>1689</v>
      </c>
    </row>
    <row r="106" spans="1:19" x14ac:dyDescent="0.3">
      <c r="A106">
        <v>290</v>
      </c>
      <c r="B106">
        <v>375</v>
      </c>
      <c r="C106">
        <f t="shared" si="2"/>
        <v>665</v>
      </c>
      <c r="F106">
        <v>634</v>
      </c>
      <c r="G106">
        <v>989</v>
      </c>
      <c r="H106">
        <f t="shared" si="3"/>
        <v>1623</v>
      </c>
      <c r="R106">
        <v>665</v>
      </c>
      <c r="S106">
        <v>1623</v>
      </c>
    </row>
    <row r="107" spans="1:19" x14ac:dyDescent="0.3">
      <c r="A107">
        <v>290</v>
      </c>
      <c r="B107">
        <v>383</v>
      </c>
      <c r="C107">
        <f t="shared" si="2"/>
        <v>673</v>
      </c>
      <c r="F107">
        <v>473</v>
      </c>
      <c r="G107">
        <v>834</v>
      </c>
      <c r="H107">
        <f t="shared" si="3"/>
        <v>1307</v>
      </c>
      <c r="R107">
        <v>673</v>
      </c>
      <c r="S107">
        <v>1307</v>
      </c>
    </row>
    <row r="108" spans="1:19" x14ac:dyDescent="0.3">
      <c r="A108">
        <v>84</v>
      </c>
      <c r="B108">
        <v>121</v>
      </c>
      <c r="C108">
        <f t="shared" si="2"/>
        <v>205</v>
      </c>
      <c r="F108">
        <v>843</v>
      </c>
      <c r="G108">
        <v>1218</v>
      </c>
      <c r="H108">
        <f t="shared" si="3"/>
        <v>2061</v>
      </c>
      <c r="R108">
        <v>205</v>
      </c>
      <c r="S108">
        <v>2061</v>
      </c>
    </row>
    <row r="109" spans="1:19" x14ac:dyDescent="0.3">
      <c r="A109">
        <v>189</v>
      </c>
      <c r="B109">
        <v>271</v>
      </c>
      <c r="C109">
        <f t="shared" si="2"/>
        <v>460</v>
      </c>
      <c r="F109">
        <v>941</v>
      </c>
      <c r="G109">
        <v>1309</v>
      </c>
      <c r="H109">
        <f t="shared" si="3"/>
        <v>2250</v>
      </c>
      <c r="R109">
        <v>460</v>
      </c>
      <c r="S109">
        <v>2250</v>
      </c>
    </row>
    <row r="110" spans="1:19" x14ac:dyDescent="0.3">
      <c r="A110">
        <v>237</v>
      </c>
      <c r="B110">
        <v>325</v>
      </c>
      <c r="C110">
        <f t="shared" si="2"/>
        <v>562</v>
      </c>
      <c r="F110">
        <v>731</v>
      </c>
      <c r="G110">
        <v>1096</v>
      </c>
      <c r="H110">
        <f t="shared" si="3"/>
        <v>1827</v>
      </c>
      <c r="R110">
        <v>562</v>
      </c>
      <c r="S110">
        <v>1827</v>
      </c>
    </row>
    <row r="111" spans="1:19" x14ac:dyDescent="0.3">
      <c r="A111">
        <v>284</v>
      </c>
      <c r="B111">
        <v>320</v>
      </c>
      <c r="C111">
        <f t="shared" si="2"/>
        <v>604</v>
      </c>
      <c r="F111">
        <v>652</v>
      </c>
      <c r="G111">
        <v>1036</v>
      </c>
      <c r="H111">
        <f t="shared" si="3"/>
        <v>1688</v>
      </c>
      <c r="R111">
        <v>604</v>
      </c>
      <c r="S111">
        <v>1688</v>
      </c>
    </row>
    <row r="112" spans="1:19" x14ac:dyDescent="0.3">
      <c r="A112">
        <v>289</v>
      </c>
      <c r="B112">
        <v>377</v>
      </c>
      <c r="C112">
        <f t="shared" si="2"/>
        <v>666</v>
      </c>
      <c r="F112">
        <v>823</v>
      </c>
      <c r="G112">
        <v>1232</v>
      </c>
      <c r="H112">
        <f t="shared" si="3"/>
        <v>2055</v>
      </c>
      <c r="R112">
        <v>666</v>
      </c>
      <c r="S112">
        <v>2055</v>
      </c>
    </row>
    <row r="113" spans="1:19" x14ac:dyDescent="0.3">
      <c r="A113">
        <v>294</v>
      </c>
      <c r="B113">
        <v>383</v>
      </c>
      <c r="C113">
        <f t="shared" si="2"/>
        <v>677</v>
      </c>
      <c r="F113">
        <v>1066</v>
      </c>
      <c r="G113">
        <v>1252</v>
      </c>
      <c r="H113">
        <f t="shared" si="3"/>
        <v>2318</v>
      </c>
      <c r="R113">
        <v>677</v>
      </c>
      <c r="S113">
        <v>2318</v>
      </c>
    </row>
    <row r="114" spans="1:19" x14ac:dyDescent="0.3">
      <c r="A114">
        <v>300</v>
      </c>
      <c r="B114">
        <v>339</v>
      </c>
      <c r="C114">
        <f t="shared" si="2"/>
        <v>639</v>
      </c>
      <c r="F114">
        <v>1095</v>
      </c>
      <c r="G114">
        <v>1272</v>
      </c>
      <c r="H114">
        <f t="shared" si="3"/>
        <v>2367</v>
      </c>
      <c r="R114">
        <v>639</v>
      </c>
      <c r="S114">
        <v>2367</v>
      </c>
    </row>
    <row r="115" spans="1:19" x14ac:dyDescent="0.3">
      <c r="A115">
        <v>274</v>
      </c>
      <c r="B115">
        <v>356</v>
      </c>
      <c r="C115">
        <f t="shared" si="2"/>
        <v>630</v>
      </c>
      <c r="F115">
        <v>1081</v>
      </c>
      <c r="G115">
        <v>1270</v>
      </c>
      <c r="H115">
        <f t="shared" si="3"/>
        <v>2351</v>
      </c>
      <c r="R115">
        <v>630</v>
      </c>
      <c r="S115">
        <v>2351</v>
      </c>
    </row>
    <row r="116" spans="1:19" x14ac:dyDescent="0.3">
      <c r="A116">
        <v>265</v>
      </c>
      <c r="B116">
        <v>341</v>
      </c>
      <c r="C116">
        <f t="shared" si="2"/>
        <v>606</v>
      </c>
      <c r="F116">
        <v>1053</v>
      </c>
      <c r="G116">
        <v>1284</v>
      </c>
      <c r="H116">
        <f t="shared" si="3"/>
        <v>2337</v>
      </c>
      <c r="R116">
        <v>606</v>
      </c>
      <c r="S116">
        <v>2337</v>
      </c>
    </row>
    <row r="117" spans="1:19" x14ac:dyDescent="0.3">
      <c r="A117">
        <v>272</v>
      </c>
      <c r="B117">
        <v>321</v>
      </c>
      <c r="C117">
        <f t="shared" si="2"/>
        <v>593</v>
      </c>
      <c r="F117">
        <v>1070</v>
      </c>
      <c r="G117">
        <v>1252</v>
      </c>
      <c r="H117">
        <f t="shared" si="3"/>
        <v>2322</v>
      </c>
      <c r="R117">
        <v>593</v>
      </c>
      <c r="S117">
        <v>2322</v>
      </c>
    </row>
    <row r="118" spans="1:19" x14ac:dyDescent="0.3">
      <c r="A118">
        <v>226</v>
      </c>
      <c r="B118">
        <v>307</v>
      </c>
      <c r="C118">
        <f t="shared" si="2"/>
        <v>533</v>
      </c>
      <c r="F118">
        <v>1082</v>
      </c>
      <c r="G118">
        <v>1248</v>
      </c>
      <c r="H118">
        <f t="shared" si="3"/>
        <v>2330</v>
      </c>
      <c r="R118">
        <v>533</v>
      </c>
      <c r="S118">
        <v>2330</v>
      </c>
    </row>
    <row r="119" spans="1:19" x14ac:dyDescent="0.3">
      <c r="A119">
        <v>294</v>
      </c>
      <c r="B119">
        <v>332</v>
      </c>
      <c r="C119">
        <f t="shared" si="2"/>
        <v>626</v>
      </c>
      <c r="F119">
        <v>1078</v>
      </c>
      <c r="G119">
        <v>1248</v>
      </c>
      <c r="H119">
        <f t="shared" si="3"/>
        <v>2326</v>
      </c>
      <c r="R119">
        <v>626</v>
      </c>
      <c r="S119">
        <v>2326</v>
      </c>
    </row>
    <row r="120" spans="1:19" x14ac:dyDescent="0.3">
      <c r="A120">
        <v>280</v>
      </c>
      <c r="B120">
        <v>367</v>
      </c>
      <c r="C120">
        <f t="shared" si="2"/>
        <v>647</v>
      </c>
      <c r="F120">
        <v>1081</v>
      </c>
      <c r="G120">
        <v>1256</v>
      </c>
      <c r="H120">
        <f t="shared" si="3"/>
        <v>2337</v>
      </c>
      <c r="R120">
        <v>647</v>
      </c>
      <c r="S120">
        <v>2337</v>
      </c>
    </row>
    <row r="121" spans="1:19" x14ac:dyDescent="0.3">
      <c r="A121">
        <v>180</v>
      </c>
      <c r="B121">
        <v>253</v>
      </c>
      <c r="C121">
        <f t="shared" si="2"/>
        <v>433</v>
      </c>
      <c r="F121">
        <v>1074</v>
      </c>
      <c r="G121">
        <v>1239</v>
      </c>
      <c r="H121">
        <f t="shared" si="3"/>
        <v>2313</v>
      </c>
      <c r="R121">
        <v>433</v>
      </c>
      <c r="S121">
        <v>2313</v>
      </c>
    </row>
    <row r="122" spans="1:19" x14ac:dyDescent="0.3">
      <c r="A122">
        <v>271</v>
      </c>
      <c r="B122">
        <v>317</v>
      </c>
      <c r="C122">
        <f t="shared" si="2"/>
        <v>588</v>
      </c>
      <c r="F122">
        <v>1089</v>
      </c>
      <c r="G122">
        <v>1249</v>
      </c>
      <c r="H122">
        <f t="shared" si="3"/>
        <v>2338</v>
      </c>
      <c r="R122">
        <v>588</v>
      </c>
      <c r="S122">
        <v>2338</v>
      </c>
    </row>
    <row r="123" spans="1:19" x14ac:dyDescent="0.3">
      <c r="A123">
        <v>294</v>
      </c>
      <c r="B123">
        <v>381</v>
      </c>
      <c r="C123">
        <f t="shared" si="2"/>
        <v>675</v>
      </c>
      <c r="F123">
        <v>1071</v>
      </c>
      <c r="G123">
        <v>1270</v>
      </c>
      <c r="H123">
        <f t="shared" si="3"/>
        <v>2341</v>
      </c>
      <c r="R123">
        <v>675</v>
      </c>
      <c r="S123">
        <v>2341</v>
      </c>
    </row>
    <row r="124" spans="1:19" x14ac:dyDescent="0.3">
      <c r="A124">
        <v>301</v>
      </c>
      <c r="B124">
        <v>349</v>
      </c>
      <c r="C124">
        <f t="shared" si="2"/>
        <v>650</v>
      </c>
      <c r="F124">
        <v>1083</v>
      </c>
      <c r="G124">
        <v>1268</v>
      </c>
      <c r="H124">
        <f t="shared" si="3"/>
        <v>2351</v>
      </c>
      <c r="R124">
        <v>650</v>
      </c>
      <c r="S124">
        <v>2351</v>
      </c>
    </row>
    <row r="125" spans="1:19" x14ac:dyDescent="0.3">
      <c r="A125">
        <v>311</v>
      </c>
      <c r="B125">
        <v>387</v>
      </c>
      <c r="C125">
        <f t="shared" si="2"/>
        <v>698</v>
      </c>
      <c r="F125">
        <v>1076</v>
      </c>
      <c r="G125">
        <v>1289</v>
      </c>
      <c r="H125">
        <f t="shared" si="3"/>
        <v>2365</v>
      </c>
      <c r="R125">
        <v>698</v>
      </c>
      <c r="S125">
        <v>2365</v>
      </c>
    </row>
    <row r="126" spans="1:19" x14ac:dyDescent="0.3">
      <c r="A126">
        <v>73</v>
      </c>
      <c r="B126">
        <v>161</v>
      </c>
      <c r="C126">
        <f t="shared" si="2"/>
        <v>234</v>
      </c>
      <c r="F126">
        <v>1064</v>
      </c>
      <c r="G126">
        <v>1321</v>
      </c>
      <c r="H126">
        <f t="shared" si="3"/>
        <v>2385</v>
      </c>
      <c r="R126">
        <v>234</v>
      </c>
      <c r="S126">
        <v>2385</v>
      </c>
    </row>
    <row r="127" spans="1:19" x14ac:dyDescent="0.3">
      <c r="A127">
        <v>0</v>
      </c>
      <c r="B127">
        <v>36</v>
      </c>
      <c r="C127">
        <f t="shared" si="2"/>
        <v>36</v>
      </c>
      <c r="F127">
        <v>1030</v>
      </c>
      <c r="G127">
        <v>1334</v>
      </c>
      <c r="H127">
        <f t="shared" si="3"/>
        <v>2364</v>
      </c>
      <c r="R127">
        <v>36</v>
      </c>
      <c r="S127">
        <v>2364</v>
      </c>
    </row>
    <row r="128" spans="1:19" x14ac:dyDescent="0.3">
      <c r="A128">
        <v>206</v>
      </c>
      <c r="B128">
        <v>297</v>
      </c>
      <c r="C128">
        <f t="shared" si="2"/>
        <v>503</v>
      </c>
      <c r="F128">
        <v>594</v>
      </c>
      <c r="G128">
        <v>968</v>
      </c>
      <c r="H128">
        <f t="shared" si="3"/>
        <v>1562</v>
      </c>
      <c r="R128">
        <v>503</v>
      </c>
      <c r="S128">
        <v>1562</v>
      </c>
    </row>
    <row r="129" spans="1:19" x14ac:dyDescent="0.3">
      <c r="A129">
        <v>281</v>
      </c>
      <c r="B129">
        <v>368</v>
      </c>
      <c r="C129">
        <f t="shared" si="2"/>
        <v>649</v>
      </c>
      <c r="F129">
        <v>651</v>
      </c>
      <c r="G129">
        <v>1027</v>
      </c>
      <c r="H129">
        <f t="shared" si="3"/>
        <v>1678</v>
      </c>
      <c r="R129">
        <v>649</v>
      </c>
      <c r="S129">
        <v>1678</v>
      </c>
    </row>
    <row r="130" spans="1:19" x14ac:dyDescent="0.3">
      <c r="A130">
        <v>308</v>
      </c>
      <c r="B130">
        <v>345</v>
      </c>
      <c r="C130">
        <f t="shared" ref="C130:C193" si="4">A130+B130</f>
        <v>653</v>
      </c>
      <c r="F130">
        <v>587</v>
      </c>
      <c r="G130">
        <v>965</v>
      </c>
      <c r="H130">
        <f t="shared" ref="H130:H193" si="5">F130+G130</f>
        <v>1552</v>
      </c>
      <c r="R130">
        <v>653</v>
      </c>
      <c r="S130">
        <v>1552</v>
      </c>
    </row>
    <row r="131" spans="1:19" x14ac:dyDescent="0.3">
      <c r="A131">
        <v>300</v>
      </c>
      <c r="B131">
        <v>388</v>
      </c>
      <c r="C131">
        <f t="shared" si="4"/>
        <v>688</v>
      </c>
      <c r="F131">
        <v>570</v>
      </c>
      <c r="G131">
        <v>940</v>
      </c>
      <c r="H131">
        <f t="shared" si="5"/>
        <v>1510</v>
      </c>
      <c r="R131">
        <v>688</v>
      </c>
      <c r="S131">
        <v>1510</v>
      </c>
    </row>
    <row r="132" spans="1:19" x14ac:dyDescent="0.3">
      <c r="A132">
        <v>306</v>
      </c>
      <c r="B132">
        <v>394</v>
      </c>
      <c r="C132">
        <f t="shared" si="4"/>
        <v>700</v>
      </c>
      <c r="F132">
        <v>792</v>
      </c>
      <c r="G132">
        <v>1155</v>
      </c>
      <c r="H132">
        <f t="shared" si="5"/>
        <v>1947</v>
      </c>
      <c r="R132">
        <v>700</v>
      </c>
      <c r="S132">
        <v>1947</v>
      </c>
    </row>
    <row r="133" spans="1:19" x14ac:dyDescent="0.3">
      <c r="A133">
        <v>54</v>
      </c>
      <c r="B133">
        <v>90</v>
      </c>
      <c r="C133">
        <f t="shared" si="4"/>
        <v>144</v>
      </c>
      <c r="F133">
        <v>876</v>
      </c>
      <c r="G133">
        <v>1241</v>
      </c>
      <c r="H133">
        <f t="shared" si="5"/>
        <v>2117</v>
      </c>
      <c r="R133">
        <v>144</v>
      </c>
      <c r="S133">
        <v>2117</v>
      </c>
    </row>
    <row r="134" spans="1:19" x14ac:dyDescent="0.3">
      <c r="A134">
        <v>158</v>
      </c>
      <c r="B134">
        <v>245</v>
      </c>
      <c r="C134">
        <f t="shared" si="4"/>
        <v>403</v>
      </c>
      <c r="F134">
        <v>828</v>
      </c>
      <c r="G134">
        <v>1141</v>
      </c>
      <c r="H134">
        <f t="shared" si="5"/>
        <v>1969</v>
      </c>
      <c r="R134">
        <v>403</v>
      </c>
      <c r="S134">
        <v>1969</v>
      </c>
    </row>
    <row r="135" spans="1:19" x14ac:dyDescent="0.3">
      <c r="A135">
        <v>285</v>
      </c>
      <c r="B135">
        <v>364</v>
      </c>
      <c r="C135">
        <f t="shared" si="4"/>
        <v>649</v>
      </c>
      <c r="F135">
        <v>694</v>
      </c>
      <c r="G135">
        <v>1082</v>
      </c>
      <c r="H135">
        <f t="shared" si="5"/>
        <v>1776</v>
      </c>
      <c r="R135">
        <v>649</v>
      </c>
      <c r="S135">
        <v>1776</v>
      </c>
    </row>
    <row r="136" spans="1:19" x14ac:dyDescent="0.3">
      <c r="A136">
        <v>290</v>
      </c>
      <c r="B136">
        <v>332</v>
      </c>
      <c r="C136">
        <f t="shared" si="4"/>
        <v>622</v>
      </c>
      <c r="F136">
        <v>659</v>
      </c>
      <c r="G136">
        <v>1040</v>
      </c>
      <c r="H136">
        <f t="shared" si="5"/>
        <v>1699</v>
      </c>
      <c r="R136">
        <v>622</v>
      </c>
      <c r="S136">
        <v>1699</v>
      </c>
    </row>
    <row r="137" spans="1:19" x14ac:dyDescent="0.3">
      <c r="A137">
        <v>290</v>
      </c>
      <c r="B137">
        <v>377</v>
      </c>
      <c r="C137">
        <f t="shared" si="4"/>
        <v>667</v>
      </c>
      <c r="F137">
        <v>920</v>
      </c>
      <c r="G137">
        <v>1242</v>
      </c>
      <c r="H137">
        <f t="shared" si="5"/>
        <v>2162</v>
      </c>
      <c r="R137">
        <v>667</v>
      </c>
      <c r="S137">
        <v>2162</v>
      </c>
    </row>
    <row r="138" spans="1:19" x14ac:dyDescent="0.3">
      <c r="A138">
        <v>283</v>
      </c>
      <c r="B138">
        <v>326</v>
      </c>
      <c r="C138">
        <f t="shared" si="4"/>
        <v>609</v>
      </c>
      <c r="F138">
        <v>1085</v>
      </c>
      <c r="G138">
        <v>1296</v>
      </c>
      <c r="H138">
        <f t="shared" si="5"/>
        <v>2381</v>
      </c>
      <c r="R138">
        <v>609</v>
      </c>
      <c r="S138">
        <v>2381</v>
      </c>
    </row>
    <row r="139" spans="1:19" x14ac:dyDescent="0.3">
      <c r="A139">
        <v>286</v>
      </c>
      <c r="B139">
        <v>368</v>
      </c>
      <c r="C139">
        <f t="shared" si="4"/>
        <v>654</v>
      </c>
      <c r="F139">
        <v>1099</v>
      </c>
      <c r="G139">
        <v>1282</v>
      </c>
      <c r="H139">
        <f t="shared" si="5"/>
        <v>2381</v>
      </c>
      <c r="R139">
        <v>654</v>
      </c>
      <c r="S139">
        <v>2381</v>
      </c>
    </row>
    <row r="140" spans="1:19" x14ac:dyDescent="0.3">
      <c r="A140">
        <v>285</v>
      </c>
      <c r="B140">
        <v>371</v>
      </c>
      <c r="C140">
        <f t="shared" si="4"/>
        <v>656</v>
      </c>
      <c r="F140">
        <v>1095</v>
      </c>
      <c r="G140">
        <v>1271</v>
      </c>
      <c r="H140">
        <f t="shared" si="5"/>
        <v>2366</v>
      </c>
      <c r="R140">
        <v>656</v>
      </c>
      <c r="S140">
        <v>2366</v>
      </c>
    </row>
    <row r="141" spans="1:19" x14ac:dyDescent="0.3">
      <c r="A141">
        <v>263</v>
      </c>
      <c r="B141">
        <v>301</v>
      </c>
      <c r="C141">
        <f t="shared" si="4"/>
        <v>564</v>
      </c>
      <c r="F141">
        <v>1090</v>
      </c>
      <c r="G141">
        <v>1287</v>
      </c>
      <c r="H141">
        <f t="shared" si="5"/>
        <v>2377</v>
      </c>
      <c r="R141">
        <v>564</v>
      </c>
      <c r="S141">
        <v>2377</v>
      </c>
    </row>
    <row r="142" spans="1:19" x14ac:dyDescent="0.3">
      <c r="A142">
        <v>271</v>
      </c>
      <c r="B142">
        <v>362</v>
      </c>
      <c r="C142">
        <f t="shared" si="4"/>
        <v>633</v>
      </c>
      <c r="F142">
        <v>1085</v>
      </c>
      <c r="G142">
        <v>1278</v>
      </c>
      <c r="H142">
        <f t="shared" si="5"/>
        <v>2363</v>
      </c>
      <c r="R142">
        <v>633</v>
      </c>
      <c r="S142">
        <v>2363</v>
      </c>
    </row>
    <row r="143" spans="1:19" x14ac:dyDescent="0.3">
      <c r="A143">
        <v>304</v>
      </c>
      <c r="B143">
        <v>391</v>
      </c>
      <c r="C143">
        <f t="shared" si="4"/>
        <v>695</v>
      </c>
      <c r="F143">
        <v>1093</v>
      </c>
      <c r="G143">
        <v>1285</v>
      </c>
      <c r="H143">
        <f t="shared" si="5"/>
        <v>2378</v>
      </c>
      <c r="R143">
        <v>695</v>
      </c>
      <c r="S143">
        <v>2378</v>
      </c>
    </row>
    <row r="144" spans="1:19" x14ac:dyDescent="0.3">
      <c r="A144">
        <v>300</v>
      </c>
      <c r="B144">
        <v>342</v>
      </c>
      <c r="C144">
        <f t="shared" si="4"/>
        <v>642</v>
      </c>
      <c r="F144">
        <v>1085</v>
      </c>
      <c r="G144">
        <v>1283</v>
      </c>
      <c r="H144">
        <f t="shared" si="5"/>
        <v>2368</v>
      </c>
      <c r="R144">
        <v>642</v>
      </c>
      <c r="S144">
        <v>2368</v>
      </c>
    </row>
    <row r="145" spans="1:19" x14ac:dyDescent="0.3">
      <c r="A145">
        <v>298</v>
      </c>
      <c r="B145">
        <v>384</v>
      </c>
      <c r="C145">
        <f t="shared" si="4"/>
        <v>682</v>
      </c>
      <c r="F145">
        <v>1101</v>
      </c>
      <c r="G145">
        <v>1257</v>
      </c>
      <c r="H145">
        <f t="shared" si="5"/>
        <v>2358</v>
      </c>
      <c r="R145">
        <v>682</v>
      </c>
      <c r="S145">
        <v>2358</v>
      </c>
    </row>
    <row r="146" spans="1:19" x14ac:dyDescent="0.3">
      <c r="A146">
        <v>274</v>
      </c>
      <c r="B146">
        <v>365</v>
      </c>
      <c r="C146">
        <f t="shared" si="4"/>
        <v>639</v>
      </c>
      <c r="F146">
        <v>1088</v>
      </c>
      <c r="G146">
        <v>1264</v>
      </c>
      <c r="H146">
        <f t="shared" si="5"/>
        <v>2352</v>
      </c>
      <c r="R146">
        <v>639</v>
      </c>
      <c r="S146">
        <v>2352</v>
      </c>
    </row>
    <row r="147" spans="1:19" x14ac:dyDescent="0.3">
      <c r="A147">
        <v>246</v>
      </c>
      <c r="B147">
        <v>301</v>
      </c>
      <c r="C147">
        <f t="shared" si="4"/>
        <v>547</v>
      </c>
      <c r="F147">
        <v>1090</v>
      </c>
      <c r="G147">
        <v>1280</v>
      </c>
      <c r="H147">
        <f t="shared" si="5"/>
        <v>2370</v>
      </c>
      <c r="R147">
        <v>547</v>
      </c>
      <c r="S147">
        <v>2370</v>
      </c>
    </row>
    <row r="148" spans="1:19" x14ac:dyDescent="0.3">
      <c r="A148">
        <v>279</v>
      </c>
      <c r="B148">
        <v>354</v>
      </c>
      <c r="C148">
        <f t="shared" si="4"/>
        <v>633</v>
      </c>
      <c r="F148">
        <v>1098</v>
      </c>
      <c r="G148">
        <v>1229</v>
      </c>
      <c r="H148">
        <f t="shared" si="5"/>
        <v>2327</v>
      </c>
      <c r="R148">
        <v>633</v>
      </c>
      <c r="S148">
        <v>2327</v>
      </c>
    </row>
    <row r="149" spans="1:19" x14ac:dyDescent="0.3">
      <c r="A149">
        <v>284</v>
      </c>
      <c r="B149">
        <v>376</v>
      </c>
      <c r="C149">
        <f t="shared" si="4"/>
        <v>660</v>
      </c>
      <c r="F149">
        <v>1083</v>
      </c>
      <c r="G149">
        <v>1258</v>
      </c>
      <c r="H149">
        <f t="shared" si="5"/>
        <v>2341</v>
      </c>
      <c r="R149">
        <v>660</v>
      </c>
      <c r="S149">
        <v>2341</v>
      </c>
    </row>
    <row r="150" spans="1:19" x14ac:dyDescent="0.3">
      <c r="A150">
        <v>288</v>
      </c>
      <c r="B150">
        <v>355</v>
      </c>
      <c r="C150">
        <f t="shared" si="4"/>
        <v>643</v>
      </c>
      <c r="F150">
        <v>1066</v>
      </c>
      <c r="G150">
        <v>1270</v>
      </c>
      <c r="H150">
        <f t="shared" si="5"/>
        <v>2336</v>
      </c>
      <c r="R150">
        <v>643</v>
      </c>
      <c r="S150">
        <v>2336</v>
      </c>
    </row>
    <row r="151" spans="1:19" x14ac:dyDescent="0.3">
      <c r="A151">
        <v>305</v>
      </c>
      <c r="B151">
        <v>363</v>
      </c>
      <c r="C151">
        <f t="shared" si="4"/>
        <v>668</v>
      </c>
      <c r="F151">
        <v>1073</v>
      </c>
      <c r="G151">
        <v>1301</v>
      </c>
      <c r="H151">
        <f t="shared" si="5"/>
        <v>2374</v>
      </c>
      <c r="R151">
        <v>668</v>
      </c>
      <c r="S151">
        <v>2374</v>
      </c>
    </row>
    <row r="152" spans="1:19" x14ac:dyDescent="0.3">
      <c r="A152">
        <v>124</v>
      </c>
      <c r="B152">
        <v>211</v>
      </c>
      <c r="C152">
        <f t="shared" si="4"/>
        <v>335</v>
      </c>
      <c r="F152">
        <v>1072</v>
      </c>
      <c r="G152">
        <v>1306</v>
      </c>
      <c r="H152">
        <f t="shared" si="5"/>
        <v>2378</v>
      </c>
      <c r="R152">
        <v>335</v>
      </c>
      <c r="S152">
        <v>2378</v>
      </c>
    </row>
    <row r="153" spans="1:19" x14ac:dyDescent="0.3">
      <c r="A153">
        <v>261</v>
      </c>
      <c r="B153">
        <v>298</v>
      </c>
      <c r="C153">
        <f t="shared" si="4"/>
        <v>559</v>
      </c>
      <c r="F153">
        <v>1044</v>
      </c>
      <c r="G153">
        <v>1319</v>
      </c>
      <c r="H153">
        <f t="shared" si="5"/>
        <v>2363</v>
      </c>
      <c r="R153">
        <v>559</v>
      </c>
      <c r="S153">
        <v>2363</v>
      </c>
    </row>
    <row r="154" spans="1:19" x14ac:dyDescent="0.3">
      <c r="A154">
        <v>262</v>
      </c>
      <c r="B154">
        <v>349</v>
      </c>
      <c r="C154">
        <f t="shared" si="4"/>
        <v>611</v>
      </c>
      <c r="F154">
        <v>892</v>
      </c>
      <c r="G154">
        <v>1240</v>
      </c>
      <c r="H154">
        <f t="shared" si="5"/>
        <v>2132</v>
      </c>
      <c r="R154">
        <v>611</v>
      </c>
      <c r="S154">
        <v>2132</v>
      </c>
    </row>
    <row r="155" spans="1:19" x14ac:dyDescent="0.3">
      <c r="A155">
        <v>291</v>
      </c>
      <c r="B155">
        <v>385</v>
      </c>
      <c r="C155">
        <f t="shared" si="4"/>
        <v>676</v>
      </c>
      <c r="F155">
        <v>450</v>
      </c>
      <c r="G155">
        <v>817</v>
      </c>
      <c r="H155">
        <f t="shared" si="5"/>
        <v>1267</v>
      </c>
      <c r="R155">
        <v>676</v>
      </c>
      <c r="S155">
        <v>1267</v>
      </c>
    </row>
    <row r="156" spans="1:19" x14ac:dyDescent="0.3">
      <c r="A156">
        <v>279</v>
      </c>
      <c r="B156">
        <v>346</v>
      </c>
      <c r="C156">
        <f t="shared" si="4"/>
        <v>625</v>
      </c>
      <c r="F156">
        <v>684</v>
      </c>
      <c r="G156">
        <v>1058</v>
      </c>
      <c r="H156">
        <f t="shared" si="5"/>
        <v>1742</v>
      </c>
      <c r="R156">
        <v>625</v>
      </c>
      <c r="S156">
        <v>1742</v>
      </c>
    </row>
    <row r="157" spans="1:19" x14ac:dyDescent="0.3">
      <c r="A157">
        <v>113</v>
      </c>
      <c r="B157">
        <v>177</v>
      </c>
      <c r="C157">
        <f t="shared" si="4"/>
        <v>290</v>
      </c>
      <c r="F157">
        <v>693</v>
      </c>
      <c r="G157">
        <v>1126</v>
      </c>
      <c r="H157">
        <f t="shared" si="5"/>
        <v>1819</v>
      </c>
      <c r="R157">
        <v>290</v>
      </c>
      <c r="S157">
        <v>1819</v>
      </c>
    </row>
    <row r="158" spans="1:19" x14ac:dyDescent="0.3">
      <c r="A158">
        <v>142</v>
      </c>
      <c r="B158">
        <v>233</v>
      </c>
      <c r="C158">
        <f t="shared" si="4"/>
        <v>375</v>
      </c>
      <c r="F158">
        <v>596</v>
      </c>
      <c r="G158">
        <v>974</v>
      </c>
      <c r="H158">
        <f t="shared" si="5"/>
        <v>1570</v>
      </c>
      <c r="R158">
        <v>375</v>
      </c>
      <c r="S158">
        <v>1570</v>
      </c>
    </row>
    <row r="159" spans="1:19" x14ac:dyDescent="0.3">
      <c r="A159">
        <v>265</v>
      </c>
      <c r="B159">
        <v>349</v>
      </c>
      <c r="C159">
        <f t="shared" si="4"/>
        <v>614</v>
      </c>
      <c r="F159">
        <v>854</v>
      </c>
      <c r="G159">
        <v>1226</v>
      </c>
      <c r="H159">
        <f t="shared" si="5"/>
        <v>2080</v>
      </c>
      <c r="R159">
        <v>614</v>
      </c>
      <c r="S159">
        <v>2080</v>
      </c>
    </row>
    <row r="160" spans="1:19" x14ac:dyDescent="0.3">
      <c r="A160">
        <v>274</v>
      </c>
      <c r="B160">
        <v>314</v>
      </c>
      <c r="C160">
        <f t="shared" si="4"/>
        <v>588</v>
      </c>
      <c r="F160">
        <v>1064</v>
      </c>
      <c r="G160">
        <v>1205</v>
      </c>
      <c r="H160">
        <f t="shared" si="5"/>
        <v>2269</v>
      </c>
      <c r="R160">
        <v>588</v>
      </c>
      <c r="S160">
        <v>2269</v>
      </c>
    </row>
    <row r="161" spans="1:19" x14ac:dyDescent="0.3">
      <c r="A161">
        <v>292</v>
      </c>
      <c r="B161">
        <v>380</v>
      </c>
      <c r="C161">
        <f t="shared" si="4"/>
        <v>672</v>
      </c>
      <c r="F161">
        <v>459</v>
      </c>
      <c r="G161">
        <v>838</v>
      </c>
      <c r="H161">
        <f t="shared" si="5"/>
        <v>1297</v>
      </c>
      <c r="R161">
        <v>672</v>
      </c>
      <c r="S161">
        <v>1297</v>
      </c>
    </row>
    <row r="162" spans="1:19" x14ac:dyDescent="0.3">
      <c r="A162">
        <v>287</v>
      </c>
      <c r="B162">
        <v>378</v>
      </c>
      <c r="C162">
        <f t="shared" si="4"/>
        <v>665</v>
      </c>
      <c r="F162">
        <v>668</v>
      </c>
      <c r="G162">
        <v>1051</v>
      </c>
      <c r="H162">
        <f t="shared" si="5"/>
        <v>1719</v>
      </c>
      <c r="R162">
        <v>665</v>
      </c>
      <c r="S162">
        <v>1719</v>
      </c>
    </row>
    <row r="163" spans="1:19" x14ac:dyDescent="0.3">
      <c r="A163">
        <v>292</v>
      </c>
      <c r="B163">
        <v>329</v>
      </c>
      <c r="C163">
        <f t="shared" si="4"/>
        <v>621</v>
      </c>
      <c r="F163">
        <v>731</v>
      </c>
      <c r="G163">
        <v>1054</v>
      </c>
      <c r="H163">
        <f t="shared" si="5"/>
        <v>1785</v>
      </c>
      <c r="R163">
        <v>621</v>
      </c>
      <c r="S163">
        <v>1785</v>
      </c>
    </row>
    <row r="164" spans="1:19" x14ac:dyDescent="0.3">
      <c r="A164">
        <v>247</v>
      </c>
      <c r="B164">
        <v>338</v>
      </c>
      <c r="C164">
        <f t="shared" si="4"/>
        <v>585</v>
      </c>
      <c r="F164">
        <v>924</v>
      </c>
      <c r="G164">
        <v>1190</v>
      </c>
      <c r="H164">
        <f t="shared" si="5"/>
        <v>2114</v>
      </c>
      <c r="R164">
        <v>585</v>
      </c>
      <c r="S164">
        <v>2114</v>
      </c>
    </row>
    <row r="165" spans="1:19" x14ac:dyDescent="0.3">
      <c r="A165">
        <v>257</v>
      </c>
      <c r="B165">
        <v>341</v>
      </c>
      <c r="C165">
        <f t="shared" si="4"/>
        <v>598</v>
      </c>
      <c r="F165">
        <v>1076</v>
      </c>
      <c r="G165">
        <v>1302</v>
      </c>
      <c r="H165">
        <f t="shared" si="5"/>
        <v>2378</v>
      </c>
      <c r="R165">
        <v>598</v>
      </c>
      <c r="S165">
        <v>2378</v>
      </c>
    </row>
    <row r="166" spans="1:19" x14ac:dyDescent="0.3">
      <c r="A166">
        <v>263</v>
      </c>
      <c r="B166">
        <v>303</v>
      </c>
      <c r="C166">
        <f t="shared" si="4"/>
        <v>566</v>
      </c>
      <c r="F166">
        <v>1089</v>
      </c>
      <c r="G166">
        <v>1288</v>
      </c>
      <c r="H166">
        <f t="shared" si="5"/>
        <v>2377</v>
      </c>
      <c r="R166">
        <v>566</v>
      </c>
      <c r="S166">
        <v>2377</v>
      </c>
    </row>
    <row r="167" spans="1:19" x14ac:dyDescent="0.3">
      <c r="A167">
        <v>296</v>
      </c>
      <c r="B167">
        <v>389</v>
      </c>
      <c r="C167">
        <f t="shared" si="4"/>
        <v>685</v>
      </c>
      <c r="F167">
        <v>1090</v>
      </c>
      <c r="G167">
        <v>1280</v>
      </c>
      <c r="H167">
        <f t="shared" si="5"/>
        <v>2370</v>
      </c>
      <c r="R167">
        <v>685</v>
      </c>
      <c r="S167">
        <v>2370</v>
      </c>
    </row>
    <row r="168" spans="1:19" x14ac:dyDescent="0.3">
      <c r="A168">
        <v>290</v>
      </c>
      <c r="B168">
        <v>378</v>
      </c>
      <c r="C168">
        <f t="shared" si="4"/>
        <v>668</v>
      </c>
      <c r="F168">
        <v>1073</v>
      </c>
      <c r="G168">
        <v>1310</v>
      </c>
      <c r="H168">
        <f t="shared" si="5"/>
        <v>2383</v>
      </c>
      <c r="R168">
        <v>668</v>
      </c>
      <c r="S168">
        <v>2383</v>
      </c>
    </row>
    <row r="169" spans="1:19" x14ac:dyDescent="0.3">
      <c r="A169">
        <v>295</v>
      </c>
      <c r="B169">
        <v>335</v>
      </c>
      <c r="C169">
        <f t="shared" si="4"/>
        <v>630</v>
      </c>
      <c r="F169">
        <v>1077</v>
      </c>
      <c r="G169">
        <v>1285</v>
      </c>
      <c r="H169">
        <f t="shared" si="5"/>
        <v>2362</v>
      </c>
      <c r="R169">
        <v>630</v>
      </c>
      <c r="S169">
        <v>2362</v>
      </c>
    </row>
    <row r="170" spans="1:19" x14ac:dyDescent="0.3">
      <c r="A170">
        <v>280</v>
      </c>
      <c r="B170">
        <v>368</v>
      </c>
      <c r="C170">
        <f t="shared" si="4"/>
        <v>648</v>
      </c>
      <c r="F170">
        <v>1082</v>
      </c>
      <c r="G170">
        <v>1286</v>
      </c>
      <c r="H170">
        <f t="shared" si="5"/>
        <v>2368</v>
      </c>
      <c r="R170">
        <v>648</v>
      </c>
      <c r="S170">
        <v>2368</v>
      </c>
    </row>
    <row r="171" spans="1:19" x14ac:dyDescent="0.3">
      <c r="A171">
        <v>267</v>
      </c>
      <c r="B171">
        <v>354</v>
      </c>
      <c r="C171">
        <f t="shared" si="4"/>
        <v>621</v>
      </c>
      <c r="F171">
        <v>1103</v>
      </c>
      <c r="G171">
        <v>1277</v>
      </c>
      <c r="H171">
        <f t="shared" si="5"/>
        <v>2380</v>
      </c>
      <c r="R171">
        <v>621</v>
      </c>
      <c r="S171">
        <v>2380</v>
      </c>
    </row>
    <row r="172" spans="1:19" x14ac:dyDescent="0.3">
      <c r="A172">
        <v>254</v>
      </c>
      <c r="B172">
        <v>294</v>
      </c>
      <c r="C172">
        <f t="shared" si="4"/>
        <v>548</v>
      </c>
      <c r="F172">
        <v>1089</v>
      </c>
      <c r="G172">
        <v>1268</v>
      </c>
      <c r="H172">
        <f t="shared" si="5"/>
        <v>2357</v>
      </c>
      <c r="R172">
        <v>548</v>
      </c>
      <c r="S172">
        <v>2357</v>
      </c>
    </row>
    <row r="173" spans="1:19" x14ac:dyDescent="0.3">
      <c r="A173">
        <v>280</v>
      </c>
      <c r="B173">
        <v>368</v>
      </c>
      <c r="C173">
        <f t="shared" si="4"/>
        <v>648</v>
      </c>
      <c r="F173">
        <v>1094</v>
      </c>
      <c r="G173">
        <v>1282</v>
      </c>
      <c r="H173">
        <f t="shared" si="5"/>
        <v>2376</v>
      </c>
      <c r="R173">
        <v>648</v>
      </c>
      <c r="S173">
        <v>2376</v>
      </c>
    </row>
    <row r="174" spans="1:19" x14ac:dyDescent="0.3">
      <c r="A174">
        <v>274</v>
      </c>
      <c r="B174">
        <v>362</v>
      </c>
      <c r="C174">
        <f t="shared" si="4"/>
        <v>636</v>
      </c>
      <c r="F174">
        <v>1107</v>
      </c>
      <c r="G174">
        <v>1261</v>
      </c>
      <c r="H174">
        <f t="shared" si="5"/>
        <v>2368</v>
      </c>
      <c r="R174">
        <v>636</v>
      </c>
      <c r="S174">
        <v>2368</v>
      </c>
    </row>
    <row r="175" spans="1:19" x14ac:dyDescent="0.3">
      <c r="A175">
        <v>294</v>
      </c>
      <c r="B175">
        <v>334</v>
      </c>
      <c r="C175">
        <f t="shared" si="4"/>
        <v>628</v>
      </c>
      <c r="F175">
        <v>1127</v>
      </c>
      <c r="G175">
        <v>1252</v>
      </c>
      <c r="H175">
        <f t="shared" si="5"/>
        <v>2379</v>
      </c>
      <c r="R175">
        <v>628</v>
      </c>
      <c r="S175">
        <v>2379</v>
      </c>
    </row>
    <row r="176" spans="1:19" x14ac:dyDescent="0.3">
      <c r="A176">
        <v>269</v>
      </c>
      <c r="B176">
        <v>362</v>
      </c>
      <c r="C176">
        <f t="shared" si="4"/>
        <v>631</v>
      </c>
      <c r="F176">
        <v>1106</v>
      </c>
      <c r="G176">
        <v>1280</v>
      </c>
      <c r="H176">
        <f t="shared" si="5"/>
        <v>2386</v>
      </c>
      <c r="R176">
        <v>631</v>
      </c>
      <c r="S176">
        <v>2386</v>
      </c>
    </row>
    <row r="177" spans="1:19" x14ac:dyDescent="0.3">
      <c r="A177">
        <v>266</v>
      </c>
      <c r="B177">
        <v>353</v>
      </c>
      <c r="C177">
        <f t="shared" si="4"/>
        <v>619</v>
      </c>
      <c r="F177">
        <v>1087</v>
      </c>
      <c r="G177">
        <v>1289</v>
      </c>
      <c r="H177">
        <f t="shared" si="5"/>
        <v>2376</v>
      </c>
      <c r="R177">
        <v>619</v>
      </c>
      <c r="S177">
        <v>2376</v>
      </c>
    </row>
    <row r="178" spans="1:19" x14ac:dyDescent="0.3">
      <c r="A178">
        <v>251</v>
      </c>
      <c r="B178">
        <v>293</v>
      </c>
      <c r="C178">
        <f t="shared" si="4"/>
        <v>544</v>
      </c>
      <c r="F178">
        <v>1085</v>
      </c>
      <c r="G178">
        <v>1294</v>
      </c>
      <c r="H178">
        <f t="shared" si="5"/>
        <v>2379</v>
      </c>
      <c r="R178">
        <v>544</v>
      </c>
      <c r="S178">
        <v>2379</v>
      </c>
    </row>
    <row r="179" spans="1:19" x14ac:dyDescent="0.3">
      <c r="A179">
        <v>258</v>
      </c>
      <c r="B179">
        <v>346</v>
      </c>
      <c r="C179">
        <f t="shared" si="4"/>
        <v>604</v>
      </c>
      <c r="F179">
        <v>1117</v>
      </c>
      <c r="G179">
        <v>1266</v>
      </c>
      <c r="H179">
        <f t="shared" si="5"/>
        <v>2383</v>
      </c>
      <c r="R179">
        <v>604</v>
      </c>
      <c r="S179">
        <v>2383</v>
      </c>
    </row>
    <row r="180" spans="1:19" x14ac:dyDescent="0.3">
      <c r="A180">
        <v>294</v>
      </c>
      <c r="B180">
        <v>383</v>
      </c>
      <c r="C180">
        <f t="shared" si="4"/>
        <v>677</v>
      </c>
      <c r="F180">
        <v>1070</v>
      </c>
      <c r="G180">
        <v>1288</v>
      </c>
      <c r="H180">
        <f t="shared" si="5"/>
        <v>2358</v>
      </c>
      <c r="R180">
        <v>677</v>
      </c>
      <c r="S180">
        <v>2358</v>
      </c>
    </row>
    <row r="181" spans="1:19" x14ac:dyDescent="0.3">
      <c r="A181">
        <v>281</v>
      </c>
      <c r="B181">
        <v>320</v>
      </c>
      <c r="C181">
        <f t="shared" si="4"/>
        <v>601</v>
      </c>
      <c r="F181">
        <v>1082</v>
      </c>
      <c r="G181">
        <v>1297</v>
      </c>
      <c r="H181">
        <f t="shared" si="5"/>
        <v>2379</v>
      </c>
      <c r="R181">
        <v>601</v>
      </c>
      <c r="S181">
        <v>2379</v>
      </c>
    </row>
    <row r="182" spans="1:19" x14ac:dyDescent="0.3">
      <c r="A182">
        <v>299</v>
      </c>
      <c r="B182">
        <v>392</v>
      </c>
      <c r="C182">
        <f t="shared" si="4"/>
        <v>691</v>
      </c>
      <c r="F182">
        <v>1064</v>
      </c>
      <c r="G182">
        <v>1334</v>
      </c>
      <c r="H182">
        <f t="shared" si="5"/>
        <v>2398</v>
      </c>
      <c r="R182">
        <v>691</v>
      </c>
      <c r="S182">
        <v>2398</v>
      </c>
    </row>
    <row r="183" spans="1:19" x14ac:dyDescent="0.3">
      <c r="A183">
        <v>277</v>
      </c>
      <c r="B183">
        <v>367</v>
      </c>
      <c r="C183">
        <f t="shared" si="4"/>
        <v>644</v>
      </c>
      <c r="F183">
        <v>1040</v>
      </c>
      <c r="G183">
        <v>1363</v>
      </c>
      <c r="H183">
        <f t="shared" si="5"/>
        <v>2403</v>
      </c>
      <c r="R183">
        <v>644</v>
      </c>
      <c r="S183">
        <v>2403</v>
      </c>
    </row>
    <row r="184" spans="1:19" x14ac:dyDescent="0.3">
      <c r="A184">
        <v>255</v>
      </c>
      <c r="B184">
        <v>316</v>
      </c>
      <c r="C184">
        <f t="shared" si="4"/>
        <v>571</v>
      </c>
      <c r="F184">
        <v>566</v>
      </c>
      <c r="G184">
        <v>959</v>
      </c>
      <c r="H184">
        <f t="shared" si="5"/>
        <v>1525</v>
      </c>
      <c r="R184">
        <v>571</v>
      </c>
      <c r="S184">
        <v>1525</v>
      </c>
    </row>
    <row r="185" spans="1:19" x14ac:dyDescent="0.3">
      <c r="A185">
        <v>274</v>
      </c>
      <c r="B185">
        <v>342</v>
      </c>
      <c r="C185">
        <f t="shared" si="4"/>
        <v>616</v>
      </c>
      <c r="F185">
        <v>543</v>
      </c>
      <c r="G185">
        <v>931</v>
      </c>
      <c r="H185">
        <f t="shared" si="5"/>
        <v>1474</v>
      </c>
      <c r="R185">
        <v>616</v>
      </c>
      <c r="S185">
        <v>1474</v>
      </c>
    </row>
    <row r="186" spans="1:19" x14ac:dyDescent="0.3">
      <c r="A186">
        <v>280</v>
      </c>
      <c r="B186">
        <v>373</v>
      </c>
      <c r="C186">
        <f t="shared" si="4"/>
        <v>653</v>
      </c>
      <c r="F186">
        <v>656</v>
      </c>
      <c r="G186">
        <v>1049</v>
      </c>
      <c r="H186">
        <f t="shared" si="5"/>
        <v>1705</v>
      </c>
      <c r="R186">
        <v>653</v>
      </c>
      <c r="S186">
        <v>1705</v>
      </c>
    </row>
    <row r="187" spans="1:19" x14ac:dyDescent="0.3">
      <c r="A187">
        <v>272</v>
      </c>
      <c r="B187">
        <v>355</v>
      </c>
      <c r="C187">
        <f t="shared" si="4"/>
        <v>627</v>
      </c>
      <c r="F187">
        <v>696</v>
      </c>
      <c r="G187">
        <v>1101</v>
      </c>
      <c r="H187">
        <f t="shared" si="5"/>
        <v>1797</v>
      </c>
      <c r="R187">
        <v>627</v>
      </c>
      <c r="S187">
        <v>1797</v>
      </c>
    </row>
    <row r="188" spans="1:19" x14ac:dyDescent="0.3">
      <c r="A188">
        <v>262</v>
      </c>
      <c r="B188">
        <v>305</v>
      </c>
      <c r="C188">
        <f t="shared" si="4"/>
        <v>567</v>
      </c>
      <c r="F188">
        <v>714</v>
      </c>
      <c r="G188">
        <v>1111</v>
      </c>
      <c r="H188">
        <f t="shared" si="5"/>
        <v>1825</v>
      </c>
      <c r="R188">
        <v>567</v>
      </c>
      <c r="S188">
        <v>1825</v>
      </c>
    </row>
    <row r="189" spans="1:19" x14ac:dyDescent="0.3">
      <c r="A189">
        <v>252</v>
      </c>
      <c r="B189">
        <v>344</v>
      </c>
      <c r="C189">
        <f t="shared" si="4"/>
        <v>596</v>
      </c>
      <c r="F189">
        <v>873</v>
      </c>
      <c r="G189">
        <v>1233</v>
      </c>
      <c r="H189">
        <f t="shared" si="5"/>
        <v>2106</v>
      </c>
      <c r="R189">
        <v>596</v>
      </c>
      <c r="S189">
        <v>2106</v>
      </c>
    </row>
    <row r="190" spans="1:19" x14ac:dyDescent="0.3">
      <c r="A190">
        <v>274</v>
      </c>
      <c r="B190">
        <v>365</v>
      </c>
      <c r="C190">
        <f t="shared" si="4"/>
        <v>639</v>
      </c>
      <c r="F190">
        <v>966</v>
      </c>
      <c r="G190">
        <v>1120</v>
      </c>
      <c r="H190">
        <f t="shared" si="5"/>
        <v>2086</v>
      </c>
      <c r="R190">
        <v>639</v>
      </c>
      <c r="S190">
        <v>2086</v>
      </c>
    </row>
    <row r="191" spans="1:19" x14ac:dyDescent="0.3">
      <c r="A191">
        <v>295</v>
      </c>
      <c r="B191">
        <v>332</v>
      </c>
      <c r="C191">
        <f t="shared" si="4"/>
        <v>627</v>
      </c>
      <c r="F191">
        <v>541</v>
      </c>
      <c r="G191">
        <v>906</v>
      </c>
      <c r="H191">
        <f t="shared" si="5"/>
        <v>1447</v>
      </c>
      <c r="R191">
        <v>627</v>
      </c>
      <c r="S191">
        <v>1447</v>
      </c>
    </row>
    <row r="192" spans="1:19" x14ac:dyDescent="0.3">
      <c r="A192">
        <v>286</v>
      </c>
      <c r="B192">
        <v>376</v>
      </c>
      <c r="C192">
        <f t="shared" si="4"/>
        <v>662</v>
      </c>
      <c r="F192">
        <v>607</v>
      </c>
      <c r="G192">
        <v>981</v>
      </c>
      <c r="H192">
        <f t="shared" si="5"/>
        <v>1588</v>
      </c>
      <c r="R192">
        <v>662</v>
      </c>
      <c r="S192">
        <v>1588</v>
      </c>
    </row>
    <row r="193" spans="1:19" x14ac:dyDescent="0.3">
      <c r="A193">
        <v>278</v>
      </c>
      <c r="B193">
        <v>371</v>
      </c>
      <c r="C193">
        <f t="shared" si="4"/>
        <v>649</v>
      </c>
      <c r="F193">
        <v>853</v>
      </c>
      <c r="G193">
        <v>1190</v>
      </c>
      <c r="H193">
        <f t="shared" si="5"/>
        <v>2043</v>
      </c>
      <c r="R193">
        <v>649</v>
      </c>
      <c r="S193">
        <v>2043</v>
      </c>
    </row>
    <row r="194" spans="1:19" x14ac:dyDescent="0.3">
      <c r="A194">
        <v>269</v>
      </c>
      <c r="B194">
        <v>307</v>
      </c>
      <c r="C194">
        <f t="shared" ref="C194:C257" si="6">A194+B194</f>
        <v>576</v>
      </c>
      <c r="F194">
        <v>922</v>
      </c>
      <c r="G194">
        <v>1135</v>
      </c>
      <c r="H194">
        <f t="shared" ref="H194:H257" si="7">F194+G194</f>
        <v>2057</v>
      </c>
      <c r="R194">
        <v>576</v>
      </c>
      <c r="S194">
        <v>2057</v>
      </c>
    </row>
    <row r="195" spans="1:19" x14ac:dyDescent="0.3">
      <c r="A195">
        <v>276</v>
      </c>
      <c r="B195">
        <v>368</v>
      </c>
      <c r="C195">
        <f t="shared" si="6"/>
        <v>644</v>
      </c>
      <c r="F195">
        <v>1073</v>
      </c>
      <c r="G195">
        <v>1277</v>
      </c>
      <c r="H195">
        <f t="shared" si="7"/>
        <v>2350</v>
      </c>
      <c r="R195">
        <v>644</v>
      </c>
      <c r="S195">
        <v>2350</v>
      </c>
    </row>
    <row r="196" spans="1:19" x14ac:dyDescent="0.3">
      <c r="A196">
        <v>275</v>
      </c>
      <c r="B196">
        <v>362</v>
      </c>
      <c r="C196">
        <f t="shared" si="6"/>
        <v>637</v>
      </c>
      <c r="F196">
        <v>1087</v>
      </c>
      <c r="G196">
        <v>1300</v>
      </c>
      <c r="H196">
        <f t="shared" si="7"/>
        <v>2387</v>
      </c>
      <c r="R196">
        <v>637</v>
      </c>
      <c r="S196">
        <v>2387</v>
      </c>
    </row>
    <row r="197" spans="1:19" x14ac:dyDescent="0.3">
      <c r="A197">
        <v>271</v>
      </c>
      <c r="B197">
        <v>326</v>
      </c>
      <c r="C197">
        <f t="shared" si="6"/>
        <v>597</v>
      </c>
      <c r="F197">
        <v>1084</v>
      </c>
      <c r="G197">
        <v>1297</v>
      </c>
      <c r="H197">
        <f t="shared" si="7"/>
        <v>2381</v>
      </c>
      <c r="R197">
        <v>597</v>
      </c>
      <c r="S197">
        <v>2381</v>
      </c>
    </row>
    <row r="198" spans="1:19" x14ac:dyDescent="0.3">
      <c r="A198">
        <v>292</v>
      </c>
      <c r="B198">
        <v>365</v>
      </c>
      <c r="C198">
        <f t="shared" si="6"/>
        <v>657</v>
      </c>
      <c r="F198">
        <v>1086</v>
      </c>
      <c r="G198">
        <v>1286</v>
      </c>
      <c r="H198">
        <f t="shared" si="7"/>
        <v>2372</v>
      </c>
      <c r="R198">
        <v>657</v>
      </c>
      <c r="S198">
        <v>2372</v>
      </c>
    </row>
    <row r="199" spans="1:19" x14ac:dyDescent="0.3">
      <c r="A199">
        <v>264</v>
      </c>
      <c r="B199">
        <v>351</v>
      </c>
      <c r="C199">
        <f t="shared" si="6"/>
        <v>615</v>
      </c>
      <c r="F199">
        <v>1108</v>
      </c>
      <c r="G199">
        <v>1281</v>
      </c>
      <c r="H199">
        <f t="shared" si="7"/>
        <v>2389</v>
      </c>
      <c r="R199">
        <v>615</v>
      </c>
      <c r="S199">
        <v>2389</v>
      </c>
    </row>
    <row r="200" spans="1:19" x14ac:dyDescent="0.3">
      <c r="A200">
        <v>298</v>
      </c>
      <c r="B200">
        <v>360</v>
      </c>
      <c r="C200">
        <f t="shared" si="6"/>
        <v>658</v>
      </c>
      <c r="F200">
        <v>1102</v>
      </c>
      <c r="G200">
        <v>1293</v>
      </c>
      <c r="H200">
        <f t="shared" si="7"/>
        <v>2395</v>
      </c>
      <c r="R200">
        <v>658</v>
      </c>
      <c r="S200">
        <v>2395</v>
      </c>
    </row>
    <row r="201" spans="1:19" x14ac:dyDescent="0.3">
      <c r="A201">
        <v>259</v>
      </c>
      <c r="B201">
        <v>324</v>
      </c>
      <c r="C201">
        <f t="shared" si="6"/>
        <v>583</v>
      </c>
      <c r="F201">
        <v>1103</v>
      </c>
      <c r="G201">
        <v>1296</v>
      </c>
      <c r="H201">
        <f t="shared" si="7"/>
        <v>2399</v>
      </c>
      <c r="R201">
        <v>583</v>
      </c>
      <c r="S201">
        <v>2399</v>
      </c>
    </row>
    <row r="202" spans="1:19" x14ac:dyDescent="0.3">
      <c r="A202">
        <v>259</v>
      </c>
      <c r="B202">
        <v>351</v>
      </c>
      <c r="C202">
        <f t="shared" si="6"/>
        <v>610</v>
      </c>
      <c r="F202">
        <v>1092</v>
      </c>
      <c r="G202">
        <v>1295</v>
      </c>
      <c r="H202">
        <f t="shared" si="7"/>
        <v>2387</v>
      </c>
      <c r="R202">
        <v>610</v>
      </c>
      <c r="S202">
        <v>2387</v>
      </c>
    </row>
    <row r="203" spans="1:19" x14ac:dyDescent="0.3">
      <c r="A203">
        <v>281</v>
      </c>
      <c r="B203">
        <v>372</v>
      </c>
      <c r="C203">
        <f t="shared" si="6"/>
        <v>653</v>
      </c>
      <c r="F203">
        <v>1099</v>
      </c>
      <c r="G203">
        <v>1265</v>
      </c>
      <c r="H203">
        <f t="shared" si="7"/>
        <v>2364</v>
      </c>
      <c r="R203">
        <v>653</v>
      </c>
      <c r="S203">
        <v>2364</v>
      </c>
    </row>
    <row r="204" spans="1:19" x14ac:dyDescent="0.3">
      <c r="A204">
        <v>283</v>
      </c>
      <c r="B204">
        <v>323</v>
      </c>
      <c r="C204">
        <f t="shared" si="6"/>
        <v>606</v>
      </c>
      <c r="F204">
        <v>1114</v>
      </c>
      <c r="G204">
        <v>1265</v>
      </c>
      <c r="H204">
        <f t="shared" si="7"/>
        <v>2379</v>
      </c>
      <c r="R204">
        <v>606</v>
      </c>
      <c r="S204">
        <v>2379</v>
      </c>
    </row>
    <row r="205" spans="1:19" x14ac:dyDescent="0.3">
      <c r="A205">
        <v>286</v>
      </c>
      <c r="B205">
        <v>377</v>
      </c>
      <c r="C205">
        <f t="shared" si="6"/>
        <v>663</v>
      </c>
      <c r="F205">
        <v>1077</v>
      </c>
      <c r="G205">
        <v>1285</v>
      </c>
      <c r="H205">
        <f t="shared" si="7"/>
        <v>2362</v>
      </c>
      <c r="R205">
        <v>663</v>
      </c>
      <c r="S205">
        <v>2362</v>
      </c>
    </row>
    <row r="206" spans="1:19" x14ac:dyDescent="0.3">
      <c r="A206">
        <v>284</v>
      </c>
      <c r="B206">
        <v>372</v>
      </c>
      <c r="C206">
        <f t="shared" si="6"/>
        <v>656</v>
      </c>
      <c r="F206">
        <v>1094</v>
      </c>
      <c r="G206">
        <v>1282</v>
      </c>
      <c r="H206">
        <f t="shared" si="7"/>
        <v>2376</v>
      </c>
      <c r="R206">
        <v>656</v>
      </c>
      <c r="S206">
        <v>2376</v>
      </c>
    </row>
    <row r="207" spans="1:19" x14ac:dyDescent="0.3">
      <c r="A207">
        <v>279</v>
      </c>
      <c r="B207">
        <v>318</v>
      </c>
      <c r="C207">
        <f t="shared" si="6"/>
        <v>597</v>
      </c>
      <c r="F207">
        <v>1100</v>
      </c>
      <c r="G207">
        <v>1292</v>
      </c>
      <c r="H207">
        <f t="shared" si="7"/>
        <v>2392</v>
      </c>
      <c r="R207">
        <v>597</v>
      </c>
      <c r="S207">
        <v>2392</v>
      </c>
    </row>
    <row r="208" spans="1:19" x14ac:dyDescent="0.3">
      <c r="A208">
        <v>266</v>
      </c>
      <c r="B208">
        <v>358</v>
      </c>
      <c r="C208">
        <f t="shared" si="6"/>
        <v>624</v>
      </c>
      <c r="F208">
        <v>1093</v>
      </c>
      <c r="G208">
        <v>1289</v>
      </c>
      <c r="H208">
        <f t="shared" si="7"/>
        <v>2382</v>
      </c>
      <c r="R208">
        <v>624</v>
      </c>
      <c r="S208">
        <v>2382</v>
      </c>
    </row>
    <row r="209" spans="1:19" x14ac:dyDescent="0.3">
      <c r="A209">
        <v>263</v>
      </c>
      <c r="B209">
        <v>353</v>
      </c>
      <c r="C209">
        <f t="shared" si="6"/>
        <v>616</v>
      </c>
      <c r="F209">
        <v>1092</v>
      </c>
      <c r="G209">
        <v>1274</v>
      </c>
      <c r="H209">
        <f t="shared" si="7"/>
        <v>2366</v>
      </c>
      <c r="R209">
        <v>616</v>
      </c>
      <c r="S209">
        <v>2366</v>
      </c>
    </row>
    <row r="210" spans="1:19" x14ac:dyDescent="0.3">
      <c r="A210">
        <v>232</v>
      </c>
      <c r="B210">
        <v>293</v>
      </c>
      <c r="C210">
        <f t="shared" si="6"/>
        <v>525</v>
      </c>
      <c r="F210">
        <v>1108</v>
      </c>
      <c r="G210">
        <v>1257</v>
      </c>
      <c r="H210">
        <f t="shared" si="7"/>
        <v>2365</v>
      </c>
      <c r="R210">
        <v>525</v>
      </c>
      <c r="S210">
        <v>2365</v>
      </c>
    </row>
    <row r="211" spans="1:19" x14ac:dyDescent="0.3">
      <c r="A211">
        <v>268</v>
      </c>
      <c r="B211">
        <v>338</v>
      </c>
      <c r="C211">
        <f t="shared" si="6"/>
        <v>606</v>
      </c>
      <c r="F211">
        <v>1083</v>
      </c>
      <c r="G211">
        <v>1276</v>
      </c>
      <c r="H211">
        <f t="shared" si="7"/>
        <v>2359</v>
      </c>
      <c r="R211">
        <v>606</v>
      </c>
      <c r="S211">
        <v>2359</v>
      </c>
    </row>
    <row r="212" spans="1:19" x14ac:dyDescent="0.3">
      <c r="A212">
        <v>296</v>
      </c>
      <c r="B212">
        <v>387</v>
      </c>
      <c r="C212">
        <f t="shared" si="6"/>
        <v>683</v>
      </c>
      <c r="F212">
        <v>1087</v>
      </c>
      <c r="G212">
        <v>1281</v>
      </c>
      <c r="H212">
        <f t="shared" si="7"/>
        <v>2368</v>
      </c>
      <c r="R212">
        <v>683</v>
      </c>
      <c r="S212">
        <v>2368</v>
      </c>
    </row>
    <row r="213" spans="1:19" x14ac:dyDescent="0.3">
      <c r="A213">
        <v>260</v>
      </c>
      <c r="B213">
        <v>317</v>
      </c>
      <c r="C213">
        <f t="shared" si="6"/>
        <v>577</v>
      </c>
      <c r="F213">
        <v>1066</v>
      </c>
      <c r="G213">
        <v>1306</v>
      </c>
      <c r="H213">
        <f t="shared" si="7"/>
        <v>2372</v>
      </c>
      <c r="R213">
        <v>577</v>
      </c>
      <c r="S213">
        <v>2372</v>
      </c>
    </row>
    <row r="214" spans="1:19" x14ac:dyDescent="0.3">
      <c r="A214">
        <v>282</v>
      </c>
      <c r="B214">
        <v>349</v>
      </c>
      <c r="C214">
        <f t="shared" si="6"/>
        <v>631</v>
      </c>
      <c r="F214">
        <v>1078</v>
      </c>
      <c r="G214">
        <v>1302</v>
      </c>
      <c r="H214">
        <f t="shared" si="7"/>
        <v>2380</v>
      </c>
      <c r="R214">
        <v>631</v>
      </c>
      <c r="S214">
        <v>2380</v>
      </c>
    </row>
    <row r="215" spans="1:19" x14ac:dyDescent="0.3">
      <c r="A215">
        <v>275</v>
      </c>
      <c r="B215">
        <v>369</v>
      </c>
      <c r="C215">
        <f t="shared" si="6"/>
        <v>644</v>
      </c>
      <c r="F215">
        <v>1054</v>
      </c>
      <c r="G215">
        <v>1316</v>
      </c>
      <c r="H215">
        <f t="shared" si="7"/>
        <v>2370</v>
      </c>
      <c r="R215">
        <v>644</v>
      </c>
      <c r="S215">
        <v>2370</v>
      </c>
    </row>
    <row r="216" spans="1:19" x14ac:dyDescent="0.3">
      <c r="A216">
        <v>253</v>
      </c>
      <c r="B216">
        <v>338</v>
      </c>
      <c r="C216">
        <f t="shared" si="6"/>
        <v>591</v>
      </c>
      <c r="F216">
        <v>857</v>
      </c>
      <c r="G216">
        <v>1195</v>
      </c>
      <c r="H216">
        <f t="shared" si="7"/>
        <v>2052</v>
      </c>
      <c r="R216">
        <v>591</v>
      </c>
      <c r="S216">
        <v>2052</v>
      </c>
    </row>
    <row r="217" spans="1:19" x14ac:dyDescent="0.3">
      <c r="A217">
        <v>247</v>
      </c>
      <c r="B217">
        <v>288</v>
      </c>
      <c r="C217">
        <f t="shared" si="6"/>
        <v>535</v>
      </c>
      <c r="F217">
        <v>484</v>
      </c>
      <c r="G217">
        <v>916</v>
      </c>
      <c r="H217">
        <f t="shared" si="7"/>
        <v>1400</v>
      </c>
      <c r="R217">
        <v>535</v>
      </c>
      <c r="S217">
        <v>1400</v>
      </c>
    </row>
    <row r="218" spans="1:19" x14ac:dyDescent="0.3">
      <c r="A218">
        <v>264</v>
      </c>
      <c r="B218">
        <v>354</v>
      </c>
      <c r="C218">
        <f t="shared" si="6"/>
        <v>618</v>
      </c>
      <c r="F218">
        <v>687</v>
      </c>
      <c r="G218">
        <v>1070</v>
      </c>
      <c r="H218">
        <f t="shared" si="7"/>
        <v>1757</v>
      </c>
      <c r="R218">
        <v>618</v>
      </c>
      <c r="S218">
        <v>1757</v>
      </c>
    </row>
    <row r="219" spans="1:19" x14ac:dyDescent="0.3">
      <c r="A219">
        <v>292</v>
      </c>
      <c r="B219">
        <v>386</v>
      </c>
      <c r="C219">
        <f t="shared" si="6"/>
        <v>678</v>
      </c>
      <c r="F219">
        <v>695</v>
      </c>
      <c r="G219">
        <v>1086</v>
      </c>
      <c r="H219">
        <f t="shared" si="7"/>
        <v>1781</v>
      </c>
      <c r="R219">
        <v>678</v>
      </c>
      <c r="S219">
        <v>1781</v>
      </c>
    </row>
    <row r="220" spans="1:19" x14ac:dyDescent="0.3">
      <c r="A220">
        <v>277</v>
      </c>
      <c r="B220">
        <v>312</v>
      </c>
      <c r="C220">
        <f t="shared" si="6"/>
        <v>589</v>
      </c>
      <c r="F220">
        <v>676</v>
      </c>
      <c r="G220">
        <v>992</v>
      </c>
      <c r="H220">
        <f t="shared" si="7"/>
        <v>1668</v>
      </c>
      <c r="R220">
        <v>589</v>
      </c>
      <c r="S220">
        <v>1668</v>
      </c>
    </row>
    <row r="221" spans="1:19" x14ac:dyDescent="0.3">
      <c r="A221">
        <v>276</v>
      </c>
      <c r="B221">
        <v>367</v>
      </c>
      <c r="C221">
        <f t="shared" si="6"/>
        <v>643</v>
      </c>
      <c r="F221">
        <v>857</v>
      </c>
      <c r="G221">
        <v>1230</v>
      </c>
      <c r="H221">
        <f t="shared" si="7"/>
        <v>2087</v>
      </c>
      <c r="R221">
        <v>643</v>
      </c>
      <c r="S221">
        <v>2087</v>
      </c>
    </row>
    <row r="222" spans="1:19" x14ac:dyDescent="0.3">
      <c r="A222">
        <v>283</v>
      </c>
      <c r="B222">
        <v>376</v>
      </c>
      <c r="C222">
        <f t="shared" si="6"/>
        <v>659</v>
      </c>
      <c r="F222">
        <v>858</v>
      </c>
      <c r="G222">
        <v>948</v>
      </c>
      <c r="H222">
        <f t="shared" si="7"/>
        <v>1806</v>
      </c>
      <c r="R222">
        <v>659</v>
      </c>
      <c r="S222">
        <v>1806</v>
      </c>
    </row>
    <row r="223" spans="1:19" x14ac:dyDescent="0.3">
      <c r="A223">
        <v>271</v>
      </c>
      <c r="B223">
        <v>310</v>
      </c>
      <c r="C223">
        <f t="shared" si="6"/>
        <v>581</v>
      </c>
      <c r="F223">
        <v>682</v>
      </c>
      <c r="G223">
        <v>1091</v>
      </c>
      <c r="H223">
        <f t="shared" si="7"/>
        <v>1773</v>
      </c>
      <c r="R223">
        <v>581</v>
      </c>
      <c r="S223">
        <v>1773</v>
      </c>
    </row>
    <row r="224" spans="1:19" x14ac:dyDescent="0.3">
      <c r="A224">
        <v>271</v>
      </c>
      <c r="B224">
        <v>363</v>
      </c>
      <c r="C224">
        <f t="shared" si="6"/>
        <v>634</v>
      </c>
      <c r="F224">
        <v>698</v>
      </c>
      <c r="G224">
        <v>987</v>
      </c>
      <c r="H224">
        <f t="shared" si="7"/>
        <v>1685</v>
      </c>
      <c r="R224">
        <v>634</v>
      </c>
      <c r="S224">
        <v>1685</v>
      </c>
    </row>
    <row r="225" spans="1:19" x14ac:dyDescent="0.3">
      <c r="A225">
        <v>266</v>
      </c>
      <c r="B225">
        <v>352</v>
      </c>
      <c r="C225">
        <f t="shared" si="6"/>
        <v>618</v>
      </c>
      <c r="F225">
        <v>600</v>
      </c>
      <c r="G225">
        <v>917</v>
      </c>
      <c r="H225">
        <f t="shared" si="7"/>
        <v>1517</v>
      </c>
      <c r="R225">
        <v>618</v>
      </c>
      <c r="S225">
        <v>1517</v>
      </c>
    </row>
    <row r="226" spans="1:19" x14ac:dyDescent="0.3">
      <c r="A226">
        <v>287</v>
      </c>
      <c r="B226">
        <v>351</v>
      </c>
      <c r="C226">
        <f t="shared" si="6"/>
        <v>638</v>
      </c>
      <c r="F226">
        <v>777</v>
      </c>
      <c r="G226">
        <v>1072</v>
      </c>
      <c r="H226">
        <f t="shared" si="7"/>
        <v>1849</v>
      </c>
      <c r="R226">
        <v>638</v>
      </c>
      <c r="S226">
        <v>1849</v>
      </c>
    </row>
    <row r="227" spans="1:19" x14ac:dyDescent="0.3">
      <c r="A227">
        <v>289</v>
      </c>
      <c r="B227">
        <v>356</v>
      </c>
      <c r="C227">
        <f t="shared" si="6"/>
        <v>645</v>
      </c>
      <c r="F227">
        <v>1037</v>
      </c>
      <c r="G227">
        <v>1143</v>
      </c>
      <c r="H227">
        <f t="shared" si="7"/>
        <v>2180</v>
      </c>
      <c r="R227">
        <v>645</v>
      </c>
      <c r="S227">
        <v>2180</v>
      </c>
    </row>
    <row r="228" spans="1:19" x14ac:dyDescent="0.3">
      <c r="A228">
        <v>299</v>
      </c>
      <c r="B228">
        <v>389</v>
      </c>
      <c r="C228">
        <f t="shared" si="6"/>
        <v>688</v>
      </c>
      <c r="F228">
        <v>1098</v>
      </c>
      <c r="G228">
        <v>1279</v>
      </c>
      <c r="H228">
        <f t="shared" si="7"/>
        <v>2377</v>
      </c>
      <c r="R228">
        <v>688</v>
      </c>
      <c r="S228">
        <v>2377</v>
      </c>
    </row>
    <row r="229" spans="1:19" x14ac:dyDescent="0.3">
      <c r="A229">
        <v>293</v>
      </c>
      <c r="B229">
        <v>379</v>
      </c>
      <c r="C229">
        <f t="shared" si="6"/>
        <v>672</v>
      </c>
      <c r="F229">
        <v>1094</v>
      </c>
      <c r="G229">
        <v>1279</v>
      </c>
      <c r="H229">
        <f t="shared" si="7"/>
        <v>2373</v>
      </c>
      <c r="R229">
        <v>672</v>
      </c>
      <c r="S229">
        <v>2373</v>
      </c>
    </row>
    <row r="230" spans="1:19" x14ac:dyDescent="0.3">
      <c r="A230">
        <v>270</v>
      </c>
      <c r="B230">
        <v>313</v>
      </c>
      <c r="C230">
        <f t="shared" si="6"/>
        <v>583</v>
      </c>
      <c r="F230">
        <v>1071</v>
      </c>
      <c r="G230">
        <v>1287</v>
      </c>
      <c r="H230">
        <f t="shared" si="7"/>
        <v>2358</v>
      </c>
      <c r="R230">
        <v>583</v>
      </c>
      <c r="S230">
        <v>2358</v>
      </c>
    </row>
    <row r="231" spans="1:19" x14ac:dyDescent="0.3">
      <c r="A231">
        <v>272</v>
      </c>
      <c r="B231">
        <v>365</v>
      </c>
      <c r="C231">
        <f t="shared" si="6"/>
        <v>637</v>
      </c>
      <c r="F231">
        <v>1087</v>
      </c>
      <c r="G231">
        <v>1291</v>
      </c>
      <c r="H231">
        <f t="shared" si="7"/>
        <v>2378</v>
      </c>
      <c r="R231">
        <v>637</v>
      </c>
      <c r="S231">
        <v>2378</v>
      </c>
    </row>
    <row r="232" spans="1:19" x14ac:dyDescent="0.3">
      <c r="A232">
        <v>272</v>
      </c>
      <c r="B232">
        <v>359</v>
      </c>
      <c r="C232">
        <f t="shared" si="6"/>
        <v>631</v>
      </c>
      <c r="F232">
        <v>1097</v>
      </c>
      <c r="G232">
        <v>1274</v>
      </c>
      <c r="H232">
        <f t="shared" si="7"/>
        <v>2371</v>
      </c>
      <c r="R232">
        <v>631</v>
      </c>
      <c r="S232">
        <v>2371</v>
      </c>
    </row>
    <row r="233" spans="1:19" x14ac:dyDescent="0.3">
      <c r="A233">
        <v>290</v>
      </c>
      <c r="B233">
        <v>330</v>
      </c>
      <c r="C233">
        <f t="shared" si="6"/>
        <v>620</v>
      </c>
      <c r="F233">
        <v>1085</v>
      </c>
      <c r="G233">
        <v>1284</v>
      </c>
      <c r="H233">
        <f t="shared" si="7"/>
        <v>2369</v>
      </c>
      <c r="R233">
        <v>620</v>
      </c>
      <c r="S233">
        <v>2369</v>
      </c>
    </row>
    <row r="234" spans="1:19" x14ac:dyDescent="0.3">
      <c r="A234">
        <v>285</v>
      </c>
      <c r="B234">
        <v>377</v>
      </c>
      <c r="C234">
        <f t="shared" si="6"/>
        <v>662</v>
      </c>
      <c r="F234">
        <v>1124</v>
      </c>
      <c r="G234">
        <v>1255</v>
      </c>
      <c r="H234">
        <f t="shared" si="7"/>
        <v>2379</v>
      </c>
      <c r="R234">
        <v>662</v>
      </c>
      <c r="S234">
        <v>2379</v>
      </c>
    </row>
    <row r="235" spans="1:19" x14ac:dyDescent="0.3">
      <c r="A235">
        <v>301</v>
      </c>
      <c r="B235">
        <v>390</v>
      </c>
      <c r="C235">
        <f t="shared" si="6"/>
        <v>691</v>
      </c>
      <c r="F235">
        <v>1103</v>
      </c>
      <c r="G235">
        <v>1275</v>
      </c>
      <c r="H235">
        <f t="shared" si="7"/>
        <v>2378</v>
      </c>
      <c r="R235">
        <v>691</v>
      </c>
      <c r="S235">
        <v>2378</v>
      </c>
    </row>
    <row r="236" spans="1:19" x14ac:dyDescent="0.3">
      <c r="A236">
        <v>291</v>
      </c>
      <c r="B236">
        <v>348</v>
      </c>
      <c r="C236">
        <f t="shared" si="6"/>
        <v>639</v>
      </c>
      <c r="F236">
        <v>1094</v>
      </c>
      <c r="G236">
        <v>1260</v>
      </c>
      <c r="H236">
        <f t="shared" si="7"/>
        <v>2354</v>
      </c>
      <c r="R236">
        <v>639</v>
      </c>
      <c r="S236">
        <v>2354</v>
      </c>
    </row>
    <row r="237" spans="1:19" x14ac:dyDescent="0.3">
      <c r="A237">
        <v>291</v>
      </c>
      <c r="B237">
        <v>364</v>
      </c>
      <c r="C237">
        <f t="shared" si="6"/>
        <v>655</v>
      </c>
      <c r="F237">
        <v>1069</v>
      </c>
      <c r="G237">
        <v>1273</v>
      </c>
      <c r="H237">
        <f t="shared" si="7"/>
        <v>2342</v>
      </c>
      <c r="R237">
        <v>655</v>
      </c>
      <c r="S237">
        <v>2342</v>
      </c>
    </row>
    <row r="238" spans="1:19" x14ac:dyDescent="0.3">
      <c r="A238">
        <v>279</v>
      </c>
      <c r="B238">
        <v>370</v>
      </c>
      <c r="C238">
        <f t="shared" si="6"/>
        <v>649</v>
      </c>
      <c r="F238">
        <v>1094</v>
      </c>
      <c r="G238">
        <v>1281</v>
      </c>
      <c r="H238">
        <f t="shared" si="7"/>
        <v>2375</v>
      </c>
      <c r="R238">
        <v>649</v>
      </c>
      <c r="S238">
        <v>2375</v>
      </c>
    </row>
    <row r="239" spans="1:19" x14ac:dyDescent="0.3">
      <c r="A239">
        <v>256</v>
      </c>
      <c r="B239">
        <v>346</v>
      </c>
      <c r="C239">
        <f t="shared" si="6"/>
        <v>602</v>
      </c>
      <c r="F239">
        <v>1104</v>
      </c>
      <c r="G239">
        <v>1277</v>
      </c>
      <c r="H239">
        <f t="shared" si="7"/>
        <v>2381</v>
      </c>
      <c r="R239">
        <v>602</v>
      </c>
      <c r="S239">
        <v>2381</v>
      </c>
    </row>
    <row r="240" spans="1:19" x14ac:dyDescent="0.3">
      <c r="A240">
        <v>260</v>
      </c>
      <c r="B240">
        <v>303</v>
      </c>
      <c r="C240">
        <f t="shared" si="6"/>
        <v>563</v>
      </c>
      <c r="F240">
        <v>1107</v>
      </c>
      <c r="G240">
        <v>1276</v>
      </c>
      <c r="H240">
        <f t="shared" si="7"/>
        <v>2383</v>
      </c>
      <c r="R240">
        <v>563</v>
      </c>
      <c r="S240">
        <v>2383</v>
      </c>
    </row>
    <row r="241" spans="1:19" x14ac:dyDescent="0.3">
      <c r="A241">
        <v>256</v>
      </c>
      <c r="B241">
        <v>344</v>
      </c>
      <c r="C241">
        <f t="shared" si="6"/>
        <v>600</v>
      </c>
      <c r="F241">
        <v>1114</v>
      </c>
      <c r="G241">
        <v>1254</v>
      </c>
      <c r="H241">
        <f t="shared" si="7"/>
        <v>2368</v>
      </c>
      <c r="R241">
        <v>600</v>
      </c>
      <c r="S241">
        <v>2368</v>
      </c>
    </row>
    <row r="242" spans="1:19" x14ac:dyDescent="0.3">
      <c r="A242">
        <v>291</v>
      </c>
      <c r="B242">
        <v>382</v>
      </c>
      <c r="C242">
        <f t="shared" si="6"/>
        <v>673</v>
      </c>
      <c r="F242">
        <v>1097</v>
      </c>
      <c r="G242">
        <v>1268</v>
      </c>
      <c r="H242">
        <f t="shared" si="7"/>
        <v>2365</v>
      </c>
      <c r="R242">
        <v>673</v>
      </c>
      <c r="S242">
        <v>2365</v>
      </c>
    </row>
    <row r="243" spans="1:19" x14ac:dyDescent="0.3">
      <c r="A243">
        <v>286</v>
      </c>
      <c r="B243">
        <v>324</v>
      </c>
      <c r="C243">
        <f t="shared" si="6"/>
        <v>610</v>
      </c>
      <c r="F243">
        <v>1098</v>
      </c>
      <c r="G243">
        <v>1278</v>
      </c>
      <c r="H243">
        <f t="shared" si="7"/>
        <v>2376</v>
      </c>
      <c r="R243">
        <v>610</v>
      </c>
      <c r="S243">
        <v>2376</v>
      </c>
    </row>
    <row r="244" spans="1:19" x14ac:dyDescent="0.3">
      <c r="A244">
        <v>282</v>
      </c>
      <c r="B244">
        <v>372</v>
      </c>
      <c r="C244">
        <f t="shared" si="6"/>
        <v>654</v>
      </c>
      <c r="F244">
        <v>1079</v>
      </c>
      <c r="G244">
        <v>1297</v>
      </c>
      <c r="H244">
        <f t="shared" si="7"/>
        <v>2376</v>
      </c>
      <c r="R244">
        <v>654</v>
      </c>
      <c r="S244">
        <v>2376</v>
      </c>
    </row>
    <row r="245" spans="1:19" x14ac:dyDescent="0.3">
      <c r="A245">
        <v>261</v>
      </c>
      <c r="B245">
        <v>352</v>
      </c>
      <c r="C245">
        <f t="shared" si="6"/>
        <v>613</v>
      </c>
      <c r="F245">
        <v>1101</v>
      </c>
      <c r="G245">
        <v>1258</v>
      </c>
      <c r="H245">
        <f t="shared" si="7"/>
        <v>2359</v>
      </c>
      <c r="R245">
        <v>613</v>
      </c>
      <c r="S245">
        <v>2359</v>
      </c>
    </row>
    <row r="246" spans="1:19" x14ac:dyDescent="0.3">
      <c r="A246">
        <v>268</v>
      </c>
      <c r="B246">
        <v>304</v>
      </c>
      <c r="C246">
        <f t="shared" si="6"/>
        <v>572</v>
      </c>
      <c r="F246">
        <v>1102</v>
      </c>
      <c r="G246">
        <v>1276</v>
      </c>
      <c r="H246">
        <f t="shared" si="7"/>
        <v>2378</v>
      </c>
      <c r="R246">
        <v>572</v>
      </c>
      <c r="S246">
        <v>2378</v>
      </c>
    </row>
    <row r="247" spans="1:19" x14ac:dyDescent="0.3">
      <c r="A247">
        <v>269</v>
      </c>
      <c r="B247">
        <v>360</v>
      </c>
      <c r="C247">
        <f t="shared" si="6"/>
        <v>629</v>
      </c>
      <c r="F247">
        <v>1088</v>
      </c>
      <c r="G247">
        <v>1295</v>
      </c>
      <c r="H247">
        <f t="shared" si="7"/>
        <v>2383</v>
      </c>
      <c r="R247">
        <v>629</v>
      </c>
      <c r="S247">
        <v>2383</v>
      </c>
    </row>
    <row r="248" spans="1:19" x14ac:dyDescent="0.3">
      <c r="A248">
        <v>255</v>
      </c>
      <c r="B248">
        <v>344</v>
      </c>
      <c r="C248">
        <f t="shared" si="6"/>
        <v>599</v>
      </c>
      <c r="F248">
        <v>1083</v>
      </c>
      <c r="G248">
        <v>1282</v>
      </c>
      <c r="H248">
        <f t="shared" si="7"/>
        <v>2365</v>
      </c>
      <c r="R248">
        <v>599</v>
      </c>
      <c r="S248">
        <v>2365</v>
      </c>
    </row>
    <row r="249" spans="1:19" x14ac:dyDescent="0.3">
      <c r="A249">
        <v>246</v>
      </c>
      <c r="B249">
        <v>281</v>
      </c>
      <c r="C249">
        <f t="shared" si="6"/>
        <v>527</v>
      </c>
      <c r="F249">
        <v>1055</v>
      </c>
      <c r="G249">
        <v>1290</v>
      </c>
      <c r="H249">
        <f t="shared" si="7"/>
        <v>2345</v>
      </c>
      <c r="R249">
        <v>527</v>
      </c>
      <c r="S249">
        <v>2345</v>
      </c>
    </row>
    <row r="250" spans="1:19" x14ac:dyDescent="0.3">
      <c r="A250">
        <v>282</v>
      </c>
      <c r="B250">
        <v>374</v>
      </c>
      <c r="C250">
        <f t="shared" si="6"/>
        <v>656</v>
      </c>
      <c r="F250">
        <v>1102</v>
      </c>
      <c r="G250">
        <v>1280</v>
      </c>
      <c r="H250">
        <f t="shared" si="7"/>
        <v>2382</v>
      </c>
      <c r="R250">
        <v>656</v>
      </c>
      <c r="S250">
        <v>2382</v>
      </c>
    </row>
    <row r="251" spans="1:19" x14ac:dyDescent="0.3">
      <c r="A251">
        <v>281</v>
      </c>
      <c r="B251">
        <v>370</v>
      </c>
      <c r="C251">
        <f t="shared" si="6"/>
        <v>651</v>
      </c>
      <c r="F251">
        <v>858</v>
      </c>
      <c r="G251">
        <v>1054</v>
      </c>
      <c r="H251">
        <f t="shared" si="7"/>
        <v>1912</v>
      </c>
      <c r="R251">
        <v>651</v>
      </c>
      <c r="S251">
        <v>1912</v>
      </c>
    </row>
    <row r="252" spans="1:19" x14ac:dyDescent="0.3">
      <c r="A252">
        <v>277</v>
      </c>
      <c r="B252">
        <v>318</v>
      </c>
      <c r="C252">
        <f t="shared" si="6"/>
        <v>595</v>
      </c>
      <c r="F252">
        <v>440</v>
      </c>
      <c r="G252">
        <v>869</v>
      </c>
      <c r="H252">
        <f t="shared" si="7"/>
        <v>1309</v>
      </c>
      <c r="R252">
        <v>595</v>
      </c>
      <c r="S252">
        <v>1309</v>
      </c>
    </row>
    <row r="253" spans="1:19" x14ac:dyDescent="0.3">
      <c r="A253">
        <v>289</v>
      </c>
      <c r="B253">
        <v>377</v>
      </c>
      <c r="C253">
        <f t="shared" si="6"/>
        <v>666</v>
      </c>
      <c r="F253">
        <v>678</v>
      </c>
      <c r="G253">
        <v>1064</v>
      </c>
      <c r="H253">
        <f t="shared" si="7"/>
        <v>1742</v>
      </c>
      <c r="R253">
        <v>666</v>
      </c>
      <c r="S253">
        <v>1742</v>
      </c>
    </row>
    <row r="254" spans="1:19" x14ac:dyDescent="0.3">
      <c r="A254">
        <v>302</v>
      </c>
      <c r="B254">
        <v>393</v>
      </c>
      <c r="C254">
        <f t="shared" si="6"/>
        <v>695</v>
      </c>
      <c r="F254">
        <v>700</v>
      </c>
      <c r="G254">
        <v>1077</v>
      </c>
      <c r="H254">
        <f t="shared" si="7"/>
        <v>1777</v>
      </c>
      <c r="R254">
        <v>695</v>
      </c>
      <c r="S254">
        <v>1777</v>
      </c>
    </row>
    <row r="255" spans="1:19" x14ac:dyDescent="0.3">
      <c r="A255">
        <v>283</v>
      </c>
      <c r="B255">
        <v>345</v>
      </c>
      <c r="C255">
        <f t="shared" si="6"/>
        <v>628</v>
      </c>
      <c r="F255">
        <v>714</v>
      </c>
      <c r="G255">
        <v>1113</v>
      </c>
      <c r="H255">
        <f t="shared" si="7"/>
        <v>1827</v>
      </c>
      <c r="R255">
        <v>628</v>
      </c>
      <c r="S255">
        <v>1827</v>
      </c>
    </row>
    <row r="256" spans="1:19" x14ac:dyDescent="0.3">
      <c r="A256">
        <v>279</v>
      </c>
      <c r="B256">
        <v>345</v>
      </c>
      <c r="C256">
        <f t="shared" si="6"/>
        <v>624</v>
      </c>
      <c r="F256">
        <v>862</v>
      </c>
      <c r="G256">
        <v>1267</v>
      </c>
      <c r="H256">
        <f t="shared" si="7"/>
        <v>2129</v>
      </c>
      <c r="R256">
        <v>624</v>
      </c>
      <c r="S256">
        <v>2129</v>
      </c>
    </row>
    <row r="257" spans="1:19" x14ac:dyDescent="0.3">
      <c r="A257">
        <v>262</v>
      </c>
      <c r="B257">
        <v>353</v>
      </c>
      <c r="C257">
        <f t="shared" si="6"/>
        <v>615</v>
      </c>
      <c r="F257">
        <v>1007</v>
      </c>
      <c r="G257">
        <v>1170</v>
      </c>
      <c r="H257">
        <f t="shared" si="7"/>
        <v>2177</v>
      </c>
      <c r="R257">
        <v>615</v>
      </c>
      <c r="S257">
        <v>2177</v>
      </c>
    </row>
    <row r="258" spans="1:19" x14ac:dyDescent="0.3">
      <c r="A258">
        <v>266</v>
      </c>
      <c r="B258">
        <v>357</v>
      </c>
      <c r="C258">
        <f t="shared" ref="C258:C321" si="8">A258+B258</f>
        <v>623</v>
      </c>
      <c r="F258">
        <v>576</v>
      </c>
      <c r="G258">
        <v>988</v>
      </c>
      <c r="H258">
        <f t="shared" ref="H258:H321" si="9">F258+G258</f>
        <v>1564</v>
      </c>
      <c r="R258">
        <v>623</v>
      </c>
      <c r="S258">
        <v>1564</v>
      </c>
    </row>
    <row r="259" spans="1:19" x14ac:dyDescent="0.3">
      <c r="A259">
        <v>291</v>
      </c>
      <c r="B259">
        <v>333</v>
      </c>
      <c r="C259">
        <f t="shared" si="8"/>
        <v>624</v>
      </c>
      <c r="F259">
        <v>600</v>
      </c>
      <c r="G259">
        <v>1030</v>
      </c>
      <c r="H259">
        <f t="shared" si="9"/>
        <v>1630</v>
      </c>
      <c r="R259">
        <v>624</v>
      </c>
      <c r="S259">
        <v>1630</v>
      </c>
    </row>
    <row r="260" spans="1:19" x14ac:dyDescent="0.3">
      <c r="A260">
        <v>288</v>
      </c>
      <c r="B260">
        <v>377</v>
      </c>
      <c r="C260">
        <f t="shared" si="8"/>
        <v>665</v>
      </c>
      <c r="F260">
        <v>885</v>
      </c>
      <c r="G260">
        <v>1205</v>
      </c>
      <c r="H260">
        <f t="shared" si="9"/>
        <v>2090</v>
      </c>
      <c r="R260">
        <v>665</v>
      </c>
      <c r="S260">
        <v>2090</v>
      </c>
    </row>
    <row r="261" spans="1:19" x14ac:dyDescent="0.3">
      <c r="A261">
        <v>290</v>
      </c>
      <c r="B261">
        <v>380</v>
      </c>
      <c r="C261">
        <f t="shared" si="8"/>
        <v>670</v>
      </c>
      <c r="F261">
        <v>954</v>
      </c>
      <c r="G261">
        <v>1120</v>
      </c>
      <c r="H261">
        <f t="shared" si="9"/>
        <v>2074</v>
      </c>
      <c r="R261">
        <v>670</v>
      </c>
      <c r="S261">
        <v>2074</v>
      </c>
    </row>
    <row r="262" spans="1:19" x14ac:dyDescent="0.3">
      <c r="A262">
        <v>291</v>
      </c>
      <c r="B262">
        <v>331</v>
      </c>
      <c r="C262">
        <f t="shared" si="8"/>
        <v>622</v>
      </c>
      <c r="F262">
        <v>982</v>
      </c>
      <c r="G262">
        <v>1156</v>
      </c>
      <c r="H262">
        <f t="shared" si="9"/>
        <v>2138</v>
      </c>
      <c r="R262">
        <v>622</v>
      </c>
      <c r="S262">
        <v>2138</v>
      </c>
    </row>
    <row r="263" spans="1:19" x14ac:dyDescent="0.3">
      <c r="A263">
        <v>304</v>
      </c>
      <c r="B263">
        <v>395</v>
      </c>
      <c r="C263">
        <f t="shared" si="8"/>
        <v>699</v>
      </c>
      <c r="F263">
        <v>1060</v>
      </c>
      <c r="G263">
        <v>1304</v>
      </c>
      <c r="H263">
        <f t="shared" si="9"/>
        <v>2364</v>
      </c>
      <c r="R263">
        <v>699</v>
      </c>
      <c r="S263">
        <v>2364</v>
      </c>
    </row>
    <row r="264" spans="1:19" x14ac:dyDescent="0.3">
      <c r="A264">
        <v>293</v>
      </c>
      <c r="B264">
        <v>380</v>
      </c>
      <c r="C264">
        <f t="shared" si="8"/>
        <v>673</v>
      </c>
      <c r="F264">
        <v>1070</v>
      </c>
      <c r="G264">
        <v>1302</v>
      </c>
      <c r="H264">
        <f t="shared" si="9"/>
        <v>2372</v>
      </c>
      <c r="R264">
        <v>673</v>
      </c>
      <c r="S264">
        <v>2372</v>
      </c>
    </row>
    <row r="265" spans="1:19" x14ac:dyDescent="0.3">
      <c r="A265">
        <v>283</v>
      </c>
      <c r="B265">
        <v>325</v>
      </c>
      <c r="C265">
        <f t="shared" si="8"/>
        <v>608</v>
      </c>
      <c r="F265">
        <v>1082</v>
      </c>
      <c r="G265">
        <v>1302</v>
      </c>
      <c r="H265">
        <f t="shared" si="9"/>
        <v>2384</v>
      </c>
      <c r="R265">
        <v>608</v>
      </c>
      <c r="S265">
        <v>2384</v>
      </c>
    </row>
    <row r="266" spans="1:19" x14ac:dyDescent="0.3">
      <c r="A266">
        <v>276</v>
      </c>
      <c r="B266">
        <v>367</v>
      </c>
      <c r="C266">
        <f t="shared" si="8"/>
        <v>643</v>
      </c>
      <c r="F266">
        <v>1091</v>
      </c>
      <c r="G266">
        <v>1292</v>
      </c>
      <c r="H266">
        <f t="shared" si="9"/>
        <v>2383</v>
      </c>
      <c r="R266">
        <v>643</v>
      </c>
      <c r="S266">
        <v>2383</v>
      </c>
    </row>
    <row r="267" spans="1:19" x14ac:dyDescent="0.3">
      <c r="A267">
        <v>611</v>
      </c>
      <c r="B267">
        <v>677</v>
      </c>
      <c r="C267">
        <f t="shared" si="8"/>
        <v>1288</v>
      </c>
      <c r="F267">
        <v>1107</v>
      </c>
      <c r="G267">
        <v>1282</v>
      </c>
      <c r="H267">
        <f t="shared" si="9"/>
        <v>2389</v>
      </c>
      <c r="R267">
        <v>1288</v>
      </c>
      <c r="S267">
        <v>2389</v>
      </c>
    </row>
    <row r="268" spans="1:19" x14ac:dyDescent="0.3">
      <c r="A268">
        <v>1168</v>
      </c>
      <c r="B268">
        <v>1206</v>
      </c>
      <c r="C268">
        <f t="shared" si="8"/>
        <v>2374</v>
      </c>
      <c r="F268">
        <v>1098</v>
      </c>
      <c r="G268">
        <v>1286</v>
      </c>
      <c r="H268">
        <f t="shared" si="9"/>
        <v>2384</v>
      </c>
      <c r="R268">
        <v>2374</v>
      </c>
      <c r="S268">
        <v>2384</v>
      </c>
    </row>
    <row r="269" spans="1:19" x14ac:dyDescent="0.3">
      <c r="A269">
        <v>1152</v>
      </c>
      <c r="B269">
        <v>1237</v>
      </c>
      <c r="C269">
        <f t="shared" si="8"/>
        <v>2389</v>
      </c>
      <c r="F269">
        <v>1081</v>
      </c>
      <c r="G269">
        <v>1299</v>
      </c>
      <c r="H269">
        <f t="shared" si="9"/>
        <v>2380</v>
      </c>
      <c r="R269">
        <v>2389</v>
      </c>
      <c r="S269">
        <v>2380</v>
      </c>
    </row>
    <row r="270" spans="1:19" x14ac:dyDescent="0.3">
      <c r="A270">
        <v>246</v>
      </c>
      <c r="B270">
        <v>278</v>
      </c>
      <c r="C270">
        <f t="shared" si="8"/>
        <v>524</v>
      </c>
      <c r="F270">
        <v>1091</v>
      </c>
      <c r="G270">
        <v>1299</v>
      </c>
      <c r="H270">
        <f t="shared" si="9"/>
        <v>2390</v>
      </c>
      <c r="R270">
        <v>524</v>
      </c>
      <c r="S270">
        <v>2390</v>
      </c>
    </row>
    <row r="271" spans="1:19" x14ac:dyDescent="0.3">
      <c r="A271">
        <v>287</v>
      </c>
      <c r="B271">
        <v>377</v>
      </c>
      <c r="C271">
        <f t="shared" si="8"/>
        <v>664</v>
      </c>
      <c r="F271">
        <v>1096</v>
      </c>
      <c r="G271">
        <v>1278</v>
      </c>
      <c r="H271">
        <f t="shared" si="9"/>
        <v>2374</v>
      </c>
      <c r="R271">
        <v>664</v>
      </c>
      <c r="S271">
        <v>2374</v>
      </c>
    </row>
    <row r="272" spans="1:19" x14ac:dyDescent="0.3">
      <c r="A272">
        <v>300</v>
      </c>
      <c r="B272">
        <v>370</v>
      </c>
      <c r="C272">
        <f t="shared" si="8"/>
        <v>670</v>
      </c>
      <c r="F272">
        <v>1132</v>
      </c>
      <c r="G272">
        <v>1245</v>
      </c>
      <c r="H272">
        <f t="shared" si="9"/>
        <v>2377</v>
      </c>
      <c r="R272">
        <v>670</v>
      </c>
      <c r="S272">
        <v>2377</v>
      </c>
    </row>
    <row r="273" spans="1:19" x14ac:dyDescent="0.3">
      <c r="A273">
        <v>299</v>
      </c>
      <c r="B273">
        <v>353</v>
      </c>
      <c r="C273">
        <f t="shared" si="8"/>
        <v>652</v>
      </c>
      <c r="F273">
        <v>1108</v>
      </c>
      <c r="G273">
        <v>1261</v>
      </c>
      <c r="H273">
        <f t="shared" si="9"/>
        <v>2369</v>
      </c>
      <c r="R273">
        <v>652</v>
      </c>
      <c r="S273">
        <v>2369</v>
      </c>
    </row>
    <row r="274" spans="1:19" x14ac:dyDescent="0.3">
      <c r="A274">
        <v>284</v>
      </c>
      <c r="B274">
        <v>370</v>
      </c>
      <c r="C274">
        <f t="shared" si="8"/>
        <v>654</v>
      </c>
      <c r="F274">
        <v>1098</v>
      </c>
      <c r="G274">
        <v>1261</v>
      </c>
      <c r="H274">
        <f t="shared" si="9"/>
        <v>2359</v>
      </c>
      <c r="R274">
        <v>654</v>
      </c>
      <c r="S274">
        <v>2359</v>
      </c>
    </row>
    <row r="275" spans="1:19" x14ac:dyDescent="0.3">
      <c r="A275">
        <v>270</v>
      </c>
      <c r="B275">
        <v>326</v>
      </c>
      <c r="C275">
        <f t="shared" si="8"/>
        <v>596</v>
      </c>
      <c r="F275">
        <v>1074</v>
      </c>
      <c r="G275">
        <v>1302</v>
      </c>
      <c r="H275">
        <f t="shared" si="9"/>
        <v>2376</v>
      </c>
      <c r="R275">
        <v>596</v>
      </c>
      <c r="S275">
        <v>2376</v>
      </c>
    </row>
    <row r="276" spans="1:19" x14ac:dyDescent="0.3">
      <c r="A276">
        <v>267</v>
      </c>
      <c r="B276">
        <v>345</v>
      </c>
      <c r="C276">
        <f t="shared" si="8"/>
        <v>612</v>
      </c>
      <c r="F276">
        <v>1058</v>
      </c>
      <c r="G276">
        <v>1297</v>
      </c>
      <c r="H276">
        <f t="shared" si="9"/>
        <v>2355</v>
      </c>
      <c r="R276">
        <v>612</v>
      </c>
      <c r="S276">
        <v>2355</v>
      </c>
    </row>
    <row r="277" spans="1:19" x14ac:dyDescent="0.3">
      <c r="A277">
        <v>285</v>
      </c>
      <c r="B277">
        <v>372</v>
      </c>
      <c r="C277">
        <f t="shared" si="8"/>
        <v>657</v>
      </c>
      <c r="F277">
        <v>1044</v>
      </c>
      <c r="G277">
        <v>1327</v>
      </c>
      <c r="H277">
        <f t="shared" si="9"/>
        <v>2371</v>
      </c>
      <c r="R277">
        <v>657</v>
      </c>
      <c r="S277">
        <v>2371</v>
      </c>
    </row>
    <row r="278" spans="1:19" x14ac:dyDescent="0.3">
      <c r="A278">
        <v>299</v>
      </c>
      <c r="B278">
        <v>390</v>
      </c>
      <c r="C278">
        <f t="shared" si="8"/>
        <v>689</v>
      </c>
      <c r="F278">
        <v>1033</v>
      </c>
      <c r="G278">
        <v>1373</v>
      </c>
      <c r="H278">
        <f t="shared" si="9"/>
        <v>2406</v>
      </c>
      <c r="R278">
        <v>689</v>
      </c>
      <c r="S278">
        <v>2406</v>
      </c>
    </row>
    <row r="279" spans="1:19" x14ac:dyDescent="0.3">
      <c r="A279">
        <v>286</v>
      </c>
      <c r="B279">
        <v>327</v>
      </c>
      <c r="C279">
        <f t="shared" si="8"/>
        <v>613</v>
      </c>
      <c r="F279">
        <v>739</v>
      </c>
      <c r="G279">
        <v>1096</v>
      </c>
      <c r="H279">
        <f t="shared" si="9"/>
        <v>1835</v>
      </c>
      <c r="R279">
        <v>613</v>
      </c>
      <c r="S279">
        <v>1835</v>
      </c>
    </row>
    <row r="280" spans="1:19" x14ac:dyDescent="0.3">
      <c r="A280">
        <v>290</v>
      </c>
      <c r="B280">
        <v>382</v>
      </c>
      <c r="C280">
        <f t="shared" si="8"/>
        <v>672</v>
      </c>
      <c r="F280">
        <v>438</v>
      </c>
      <c r="G280">
        <v>869</v>
      </c>
      <c r="H280">
        <f t="shared" si="9"/>
        <v>1307</v>
      </c>
      <c r="R280">
        <v>672</v>
      </c>
      <c r="S280">
        <v>1307</v>
      </c>
    </row>
    <row r="281" spans="1:19" x14ac:dyDescent="0.3">
      <c r="A281">
        <v>294</v>
      </c>
      <c r="B281">
        <v>386</v>
      </c>
      <c r="C281">
        <f t="shared" si="8"/>
        <v>680</v>
      </c>
      <c r="F281">
        <v>667</v>
      </c>
      <c r="G281">
        <v>1072</v>
      </c>
      <c r="H281">
        <f t="shared" si="9"/>
        <v>1739</v>
      </c>
      <c r="R281">
        <v>680</v>
      </c>
      <c r="S281">
        <v>1739</v>
      </c>
    </row>
    <row r="282" spans="1:19" x14ac:dyDescent="0.3">
      <c r="A282">
        <v>276</v>
      </c>
      <c r="B282">
        <v>327</v>
      </c>
      <c r="C282">
        <f t="shared" si="8"/>
        <v>603</v>
      </c>
      <c r="F282">
        <v>700</v>
      </c>
      <c r="G282">
        <v>1085</v>
      </c>
      <c r="H282">
        <f t="shared" si="9"/>
        <v>1785</v>
      </c>
      <c r="R282">
        <v>603</v>
      </c>
      <c r="S282">
        <v>1785</v>
      </c>
    </row>
    <row r="283" spans="1:19" x14ac:dyDescent="0.3">
      <c r="A283">
        <v>270</v>
      </c>
      <c r="B283">
        <v>350</v>
      </c>
      <c r="C283">
        <f t="shared" si="8"/>
        <v>620</v>
      </c>
      <c r="F283">
        <v>698</v>
      </c>
      <c r="G283">
        <v>1081</v>
      </c>
      <c r="H283">
        <f t="shared" si="9"/>
        <v>1779</v>
      </c>
      <c r="R283">
        <v>620</v>
      </c>
      <c r="S283">
        <v>1779</v>
      </c>
    </row>
    <row r="284" spans="1:19" x14ac:dyDescent="0.3">
      <c r="A284">
        <v>270</v>
      </c>
      <c r="B284">
        <v>362</v>
      </c>
      <c r="C284">
        <f t="shared" si="8"/>
        <v>632</v>
      </c>
      <c r="F284">
        <v>848</v>
      </c>
      <c r="G284">
        <v>1261</v>
      </c>
      <c r="H284">
        <f t="shared" si="9"/>
        <v>2109</v>
      </c>
      <c r="R284">
        <v>632</v>
      </c>
      <c r="S284">
        <v>2109</v>
      </c>
    </row>
    <row r="285" spans="1:19" x14ac:dyDescent="0.3">
      <c r="A285">
        <v>274</v>
      </c>
      <c r="B285">
        <v>366</v>
      </c>
      <c r="C285">
        <f t="shared" si="8"/>
        <v>640</v>
      </c>
      <c r="F285">
        <v>1012</v>
      </c>
      <c r="G285">
        <v>1174</v>
      </c>
      <c r="H285">
        <f t="shared" si="9"/>
        <v>2186</v>
      </c>
      <c r="R285">
        <v>640</v>
      </c>
      <c r="S285">
        <v>2186</v>
      </c>
    </row>
    <row r="286" spans="1:19" x14ac:dyDescent="0.3">
      <c r="A286">
        <v>297</v>
      </c>
      <c r="B286">
        <v>338</v>
      </c>
      <c r="C286">
        <f t="shared" si="8"/>
        <v>635</v>
      </c>
      <c r="F286">
        <v>547</v>
      </c>
      <c r="G286">
        <v>927</v>
      </c>
      <c r="H286">
        <f t="shared" si="9"/>
        <v>1474</v>
      </c>
      <c r="R286">
        <v>635</v>
      </c>
      <c r="S286">
        <v>1474</v>
      </c>
    </row>
    <row r="287" spans="1:19" x14ac:dyDescent="0.3">
      <c r="A287">
        <v>303</v>
      </c>
      <c r="B287">
        <v>390</v>
      </c>
      <c r="C287">
        <f t="shared" si="8"/>
        <v>693</v>
      </c>
      <c r="F287">
        <v>632</v>
      </c>
      <c r="G287">
        <v>1075</v>
      </c>
      <c r="H287">
        <f t="shared" si="9"/>
        <v>1707</v>
      </c>
      <c r="R287">
        <v>693</v>
      </c>
      <c r="S287">
        <v>1707</v>
      </c>
    </row>
    <row r="288" spans="1:19" x14ac:dyDescent="0.3">
      <c r="A288">
        <v>300</v>
      </c>
      <c r="B288">
        <v>391</v>
      </c>
      <c r="C288">
        <f t="shared" si="8"/>
        <v>691</v>
      </c>
      <c r="F288">
        <v>864</v>
      </c>
      <c r="G288">
        <v>1149</v>
      </c>
      <c r="H288">
        <f t="shared" si="9"/>
        <v>2013</v>
      </c>
      <c r="R288">
        <v>691</v>
      </c>
      <c r="S288">
        <v>2013</v>
      </c>
    </row>
    <row r="289" spans="1:19" x14ac:dyDescent="0.3">
      <c r="A289">
        <v>296</v>
      </c>
      <c r="B289">
        <v>335</v>
      </c>
      <c r="C289">
        <f t="shared" si="8"/>
        <v>631</v>
      </c>
      <c r="F289">
        <v>894</v>
      </c>
      <c r="G289">
        <v>1114</v>
      </c>
      <c r="H289">
        <f t="shared" si="9"/>
        <v>2008</v>
      </c>
      <c r="R289">
        <v>631</v>
      </c>
      <c r="S289">
        <v>2008</v>
      </c>
    </row>
    <row r="290" spans="1:19" x14ac:dyDescent="0.3">
      <c r="A290">
        <v>313</v>
      </c>
      <c r="B290">
        <v>402</v>
      </c>
      <c r="C290">
        <f t="shared" si="8"/>
        <v>715</v>
      </c>
      <c r="F290">
        <v>768</v>
      </c>
      <c r="G290">
        <v>1028</v>
      </c>
      <c r="H290">
        <f t="shared" si="9"/>
        <v>1796</v>
      </c>
      <c r="R290">
        <v>715</v>
      </c>
      <c r="S290">
        <v>1796</v>
      </c>
    </row>
    <row r="291" spans="1:19" x14ac:dyDescent="0.3">
      <c r="A291">
        <v>298</v>
      </c>
      <c r="B291">
        <v>386</v>
      </c>
      <c r="C291">
        <f t="shared" si="8"/>
        <v>684</v>
      </c>
      <c r="F291">
        <v>633</v>
      </c>
      <c r="G291">
        <v>964</v>
      </c>
      <c r="H291">
        <f t="shared" si="9"/>
        <v>1597</v>
      </c>
      <c r="R291">
        <v>684</v>
      </c>
      <c r="S291">
        <v>1597</v>
      </c>
    </row>
    <row r="292" spans="1:19" x14ac:dyDescent="0.3">
      <c r="A292">
        <v>250</v>
      </c>
      <c r="B292">
        <v>286</v>
      </c>
      <c r="C292">
        <f t="shared" si="8"/>
        <v>536</v>
      </c>
      <c r="F292">
        <v>1089</v>
      </c>
      <c r="G292">
        <v>1284</v>
      </c>
      <c r="H292">
        <f t="shared" si="9"/>
        <v>2373</v>
      </c>
      <c r="R292">
        <v>536</v>
      </c>
      <c r="S292">
        <v>2373</v>
      </c>
    </row>
    <row r="293" spans="1:19" x14ac:dyDescent="0.3">
      <c r="A293">
        <v>272</v>
      </c>
      <c r="B293">
        <v>365</v>
      </c>
      <c r="C293">
        <f t="shared" si="8"/>
        <v>637</v>
      </c>
      <c r="F293">
        <v>1083</v>
      </c>
      <c r="G293">
        <v>1263</v>
      </c>
      <c r="H293">
        <f t="shared" si="9"/>
        <v>2346</v>
      </c>
      <c r="R293">
        <v>637</v>
      </c>
      <c r="S293">
        <v>2346</v>
      </c>
    </row>
    <row r="294" spans="1:19" x14ac:dyDescent="0.3">
      <c r="A294">
        <v>281</v>
      </c>
      <c r="B294">
        <v>367</v>
      </c>
      <c r="C294">
        <f t="shared" si="8"/>
        <v>648</v>
      </c>
      <c r="F294">
        <v>1095</v>
      </c>
      <c r="G294">
        <v>1279</v>
      </c>
      <c r="H294">
        <f t="shared" si="9"/>
        <v>2374</v>
      </c>
      <c r="R294">
        <v>648</v>
      </c>
      <c r="S294">
        <v>2374</v>
      </c>
    </row>
    <row r="295" spans="1:19" x14ac:dyDescent="0.3">
      <c r="A295">
        <v>303</v>
      </c>
      <c r="B295">
        <v>345</v>
      </c>
      <c r="C295">
        <f t="shared" si="8"/>
        <v>648</v>
      </c>
      <c r="F295">
        <v>1094</v>
      </c>
      <c r="G295">
        <v>1274</v>
      </c>
      <c r="H295">
        <f t="shared" si="9"/>
        <v>2368</v>
      </c>
      <c r="R295">
        <v>648</v>
      </c>
      <c r="S295">
        <v>2368</v>
      </c>
    </row>
    <row r="296" spans="1:19" x14ac:dyDescent="0.3">
      <c r="A296">
        <v>302</v>
      </c>
      <c r="B296">
        <v>389</v>
      </c>
      <c r="C296">
        <f t="shared" si="8"/>
        <v>691</v>
      </c>
      <c r="F296">
        <v>1099</v>
      </c>
      <c r="G296">
        <v>1268</v>
      </c>
      <c r="H296">
        <f t="shared" si="9"/>
        <v>2367</v>
      </c>
      <c r="R296">
        <v>691</v>
      </c>
      <c r="S296">
        <v>2367</v>
      </c>
    </row>
    <row r="297" spans="1:19" x14ac:dyDescent="0.3">
      <c r="A297">
        <v>300</v>
      </c>
      <c r="B297">
        <v>387</v>
      </c>
      <c r="C297">
        <f t="shared" si="8"/>
        <v>687</v>
      </c>
      <c r="F297">
        <v>1089</v>
      </c>
      <c r="G297">
        <v>1279</v>
      </c>
      <c r="H297">
        <f t="shared" si="9"/>
        <v>2368</v>
      </c>
      <c r="R297">
        <v>687</v>
      </c>
      <c r="S297">
        <v>2368</v>
      </c>
    </row>
    <row r="298" spans="1:19" x14ac:dyDescent="0.3">
      <c r="A298">
        <v>304</v>
      </c>
      <c r="B298">
        <v>341</v>
      </c>
      <c r="C298">
        <f t="shared" si="8"/>
        <v>645</v>
      </c>
      <c r="F298">
        <v>1096</v>
      </c>
      <c r="G298">
        <v>1274</v>
      </c>
      <c r="H298">
        <f t="shared" si="9"/>
        <v>2370</v>
      </c>
      <c r="R298">
        <v>645</v>
      </c>
      <c r="S298">
        <v>2370</v>
      </c>
    </row>
    <row r="299" spans="1:19" x14ac:dyDescent="0.3">
      <c r="A299">
        <v>283</v>
      </c>
      <c r="B299">
        <v>371</v>
      </c>
      <c r="C299">
        <f t="shared" si="8"/>
        <v>654</v>
      </c>
      <c r="F299">
        <v>1084</v>
      </c>
      <c r="G299">
        <v>1289</v>
      </c>
      <c r="H299">
        <f t="shared" si="9"/>
        <v>2373</v>
      </c>
      <c r="R299">
        <v>654</v>
      </c>
      <c r="S299">
        <v>2373</v>
      </c>
    </row>
    <row r="300" spans="1:19" x14ac:dyDescent="0.3">
      <c r="A300">
        <v>277</v>
      </c>
      <c r="B300">
        <v>362</v>
      </c>
      <c r="C300">
        <f t="shared" si="8"/>
        <v>639</v>
      </c>
      <c r="F300">
        <v>1102</v>
      </c>
      <c r="G300">
        <v>1273</v>
      </c>
      <c r="H300">
        <f t="shared" si="9"/>
        <v>2375</v>
      </c>
      <c r="R300">
        <v>639</v>
      </c>
      <c r="S300">
        <v>2375</v>
      </c>
    </row>
    <row r="301" spans="1:19" x14ac:dyDescent="0.3">
      <c r="A301">
        <v>257</v>
      </c>
      <c r="B301">
        <v>295</v>
      </c>
      <c r="C301">
        <f t="shared" si="8"/>
        <v>552</v>
      </c>
      <c r="F301">
        <v>1080</v>
      </c>
      <c r="G301">
        <v>1288</v>
      </c>
      <c r="H301">
        <f t="shared" si="9"/>
        <v>2368</v>
      </c>
      <c r="R301">
        <v>552</v>
      </c>
      <c r="S301">
        <v>2368</v>
      </c>
    </row>
    <row r="302" spans="1:19" x14ac:dyDescent="0.3">
      <c r="A302">
        <v>271</v>
      </c>
      <c r="B302">
        <v>360</v>
      </c>
      <c r="C302">
        <f t="shared" si="8"/>
        <v>631</v>
      </c>
      <c r="F302">
        <v>1099</v>
      </c>
      <c r="G302">
        <v>1265</v>
      </c>
      <c r="H302">
        <f t="shared" si="9"/>
        <v>2364</v>
      </c>
      <c r="R302">
        <v>631</v>
      </c>
      <c r="S302">
        <v>2364</v>
      </c>
    </row>
    <row r="303" spans="1:19" x14ac:dyDescent="0.3">
      <c r="A303">
        <v>280</v>
      </c>
      <c r="B303">
        <v>357</v>
      </c>
      <c r="C303">
        <f t="shared" si="8"/>
        <v>637</v>
      </c>
      <c r="F303">
        <v>1129</v>
      </c>
      <c r="G303">
        <v>1245</v>
      </c>
      <c r="H303">
        <f t="shared" si="9"/>
        <v>2374</v>
      </c>
      <c r="R303">
        <v>637</v>
      </c>
      <c r="S303">
        <v>2374</v>
      </c>
    </row>
    <row r="304" spans="1:19" x14ac:dyDescent="0.3">
      <c r="A304">
        <v>300</v>
      </c>
      <c r="B304">
        <v>350</v>
      </c>
      <c r="C304">
        <f t="shared" si="8"/>
        <v>650</v>
      </c>
      <c r="F304">
        <v>1078</v>
      </c>
      <c r="G304">
        <v>1279</v>
      </c>
      <c r="H304">
        <f t="shared" si="9"/>
        <v>2357</v>
      </c>
      <c r="R304">
        <v>650</v>
      </c>
      <c r="S304">
        <v>2357</v>
      </c>
    </row>
    <row r="305" spans="1:19" x14ac:dyDescent="0.3">
      <c r="A305">
        <v>300</v>
      </c>
      <c r="B305">
        <v>392</v>
      </c>
      <c r="C305">
        <f t="shared" si="8"/>
        <v>692</v>
      </c>
      <c r="F305">
        <v>1080</v>
      </c>
      <c r="G305">
        <v>1268</v>
      </c>
      <c r="H305">
        <f t="shared" si="9"/>
        <v>2348</v>
      </c>
      <c r="R305">
        <v>692</v>
      </c>
      <c r="S305">
        <v>2348</v>
      </c>
    </row>
    <row r="306" spans="1:19" x14ac:dyDescent="0.3">
      <c r="A306">
        <v>301</v>
      </c>
      <c r="B306">
        <v>392</v>
      </c>
      <c r="C306">
        <f t="shared" si="8"/>
        <v>693</v>
      </c>
      <c r="F306">
        <v>1069</v>
      </c>
      <c r="G306">
        <v>1296</v>
      </c>
      <c r="H306">
        <f t="shared" si="9"/>
        <v>2365</v>
      </c>
      <c r="R306">
        <v>693</v>
      </c>
      <c r="S306">
        <v>2365</v>
      </c>
    </row>
    <row r="307" spans="1:19" x14ac:dyDescent="0.3">
      <c r="A307">
        <v>303</v>
      </c>
      <c r="B307">
        <v>343</v>
      </c>
      <c r="C307">
        <f t="shared" si="8"/>
        <v>646</v>
      </c>
      <c r="F307">
        <v>1045</v>
      </c>
      <c r="G307">
        <v>1341</v>
      </c>
      <c r="H307">
        <f t="shared" si="9"/>
        <v>2386</v>
      </c>
      <c r="R307">
        <v>646</v>
      </c>
      <c r="S307">
        <v>2386</v>
      </c>
    </row>
    <row r="308" spans="1:19" x14ac:dyDescent="0.3">
      <c r="A308">
        <v>304</v>
      </c>
      <c r="B308">
        <v>398</v>
      </c>
      <c r="C308">
        <f t="shared" si="8"/>
        <v>702</v>
      </c>
      <c r="F308">
        <v>1019</v>
      </c>
      <c r="G308">
        <v>1367</v>
      </c>
      <c r="H308">
        <f t="shared" si="9"/>
        <v>2386</v>
      </c>
      <c r="R308">
        <v>702</v>
      </c>
      <c r="S308">
        <v>2386</v>
      </c>
    </row>
    <row r="309" spans="1:19" x14ac:dyDescent="0.3">
      <c r="A309">
        <v>280</v>
      </c>
      <c r="B309">
        <v>366</v>
      </c>
      <c r="C309">
        <f t="shared" si="8"/>
        <v>646</v>
      </c>
      <c r="F309">
        <v>917</v>
      </c>
      <c r="G309">
        <v>1254</v>
      </c>
      <c r="H309">
        <f t="shared" si="9"/>
        <v>2171</v>
      </c>
      <c r="R309">
        <v>646</v>
      </c>
      <c r="S309">
        <v>2171</v>
      </c>
    </row>
    <row r="310" spans="1:19" x14ac:dyDescent="0.3">
      <c r="A310">
        <v>278</v>
      </c>
      <c r="B310">
        <v>324</v>
      </c>
      <c r="C310">
        <f t="shared" si="8"/>
        <v>602</v>
      </c>
      <c r="F310">
        <v>448</v>
      </c>
      <c r="G310">
        <v>865</v>
      </c>
      <c r="H310">
        <f t="shared" si="9"/>
        <v>1313</v>
      </c>
      <c r="R310">
        <v>602</v>
      </c>
      <c r="S310">
        <v>1313</v>
      </c>
    </row>
    <row r="311" spans="1:19" x14ac:dyDescent="0.3">
      <c r="A311">
        <v>269</v>
      </c>
      <c r="B311">
        <v>354</v>
      </c>
      <c r="C311">
        <f t="shared" si="8"/>
        <v>623</v>
      </c>
      <c r="F311">
        <v>685</v>
      </c>
      <c r="G311">
        <v>1068</v>
      </c>
      <c r="H311">
        <f t="shared" si="9"/>
        <v>1753</v>
      </c>
      <c r="R311">
        <v>623</v>
      </c>
      <c r="S311">
        <v>1753</v>
      </c>
    </row>
    <row r="312" spans="1:19" x14ac:dyDescent="0.3">
      <c r="A312">
        <v>279</v>
      </c>
      <c r="B312">
        <v>369</v>
      </c>
      <c r="C312">
        <f t="shared" si="8"/>
        <v>648</v>
      </c>
      <c r="F312">
        <v>689</v>
      </c>
      <c r="G312">
        <v>1063</v>
      </c>
      <c r="H312">
        <f t="shared" si="9"/>
        <v>1752</v>
      </c>
      <c r="R312">
        <v>648</v>
      </c>
      <c r="S312">
        <v>1752</v>
      </c>
    </row>
    <row r="313" spans="1:19" x14ac:dyDescent="0.3">
      <c r="A313">
        <v>302</v>
      </c>
      <c r="B313">
        <v>350</v>
      </c>
      <c r="C313">
        <f t="shared" si="8"/>
        <v>652</v>
      </c>
      <c r="F313">
        <v>721</v>
      </c>
      <c r="G313">
        <v>1061</v>
      </c>
      <c r="H313">
        <f t="shared" si="9"/>
        <v>1782</v>
      </c>
      <c r="R313">
        <v>652</v>
      </c>
      <c r="S313">
        <v>1782</v>
      </c>
    </row>
    <row r="314" spans="1:19" x14ac:dyDescent="0.3">
      <c r="A314">
        <v>304</v>
      </c>
      <c r="B314">
        <v>381</v>
      </c>
      <c r="C314">
        <f t="shared" si="8"/>
        <v>685</v>
      </c>
      <c r="F314">
        <v>867</v>
      </c>
      <c r="G314">
        <v>1227</v>
      </c>
      <c r="H314">
        <f t="shared" si="9"/>
        <v>2094</v>
      </c>
      <c r="R314">
        <v>685</v>
      </c>
      <c r="S314">
        <v>2094</v>
      </c>
    </row>
    <row r="315" spans="1:19" x14ac:dyDescent="0.3">
      <c r="A315">
        <v>295</v>
      </c>
      <c r="B315">
        <v>387</v>
      </c>
      <c r="C315">
        <f t="shared" si="8"/>
        <v>682</v>
      </c>
      <c r="F315">
        <v>744</v>
      </c>
      <c r="G315">
        <v>825</v>
      </c>
      <c r="H315">
        <f t="shared" si="9"/>
        <v>1569</v>
      </c>
      <c r="R315">
        <v>682</v>
      </c>
      <c r="S315">
        <v>1569</v>
      </c>
    </row>
    <row r="316" spans="1:19" x14ac:dyDescent="0.3">
      <c r="A316">
        <v>286</v>
      </c>
      <c r="B316">
        <v>322</v>
      </c>
      <c r="C316">
        <f t="shared" si="8"/>
        <v>608</v>
      </c>
      <c r="F316">
        <v>677</v>
      </c>
      <c r="G316">
        <v>1075</v>
      </c>
      <c r="H316">
        <f t="shared" si="9"/>
        <v>1752</v>
      </c>
      <c r="R316">
        <v>608</v>
      </c>
      <c r="S316">
        <v>1752</v>
      </c>
    </row>
    <row r="317" spans="1:19" x14ac:dyDescent="0.3">
      <c r="A317">
        <v>282</v>
      </c>
      <c r="B317">
        <v>370</v>
      </c>
      <c r="C317">
        <f t="shared" si="8"/>
        <v>652</v>
      </c>
      <c r="F317">
        <v>702</v>
      </c>
      <c r="G317">
        <v>994</v>
      </c>
      <c r="H317">
        <f t="shared" si="9"/>
        <v>1696</v>
      </c>
      <c r="R317">
        <v>652</v>
      </c>
      <c r="S317">
        <v>1696</v>
      </c>
    </row>
    <row r="318" spans="1:19" x14ac:dyDescent="0.3">
      <c r="A318">
        <v>297</v>
      </c>
      <c r="B318">
        <v>384</v>
      </c>
      <c r="C318">
        <f t="shared" si="8"/>
        <v>681</v>
      </c>
      <c r="F318">
        <v>584</v>
      </c>
      <c r="G318">
        <v>912</v>
      </c>
      <c r="H318">
        <f t="shared" si="9"/>
        <v>1496</v>
      </c>
      <c r="R318">
        <v>681</v>
      </c>
      <c r="S318">
        <v>1496</v>
      </c>
    </row>
    <row r="319" spans="1:19" x14ac:dyDescent="0.3">
      <c r="A319">
        <v>271</v>
      </c>
      <c r="B319">
        <v>305</v>
      </c>
      <c r="C319">
        <f t="shared" si="8"/>
        <v>576</v>
      </c>
      <c r="F319">
        <v>754</v>
      </c>
      <c r="G319">
        <v>1030</v>
      </c>
      <c r="H319">
        <f t="shared" si="9"/>
        <v>1784</v>
      </c>
      <c r="R319">
        <v>576</v>
      </c>
      <c r="S319">
        <v>1784</v>
      </c>
    </row>
    <row r="320" spans="1:19" x14ac:dyDescent="0.3">
      <c r="A320">
        <v>273</v>
      </c>
      <c r="B320">
        <v>366</v>
      </c>
      <c r="C320">
        <f t="shared" si="8"/>
        <v>639</v>
      </c>
      <c r="F320">
        <v>933</v>
      </c>
      <c r="G320">
        <v>1037</v>
      </c>
      <c r="H320">
        <f t="shared" si="9"/>
        <v>1970</v>
      </c>
      <c r="R320">
        <v>639</v>
      </c>
      <c r="S320">
        <v>1970</v>
      </c>
    </row>
    <row r="321" spans="1:19" x14ac:dyDescent="0.3">
      <c r="A321">
        <v>281</v>
      </c>
      <c r="B321">
        <v>368</v>
      </c>
      <c r="C321">
        <f t="shared" si="8"/>
        <v>649</v>
      </c>
      <c r="F321">
        <v>676</v>
      </c>
      <c r="G321">
        <v>953</v>
      </c>
      <c r="H321">
        <f t="shared" si="9"/>
        <v>1629</v>
      </c>
      <c r="R321">
        <v>649</v>
      </c>
      <c r="S321">
        <v>1629</v>
      </c>
    </row>
    <row r="322" spans="1:19" x14ac:dyDescent="0.3">
      <c r="A322">
        <v>302</v>
      </c>
      <c r="B322">
        <v>338</v>
      </c>
      <c r="C322">
        <f t="shared" ref="C322:C385" si="10">A322+B322</f>
        <v>640</v>
      </c>
      <c r="F322">
        <v>729</v>
      </c>
      <c r="G322">
        <v>967</v>
      </c>
      <c r="H322">
        <f t="shared" ref="H322:H385" si="11">F322+G322</f>
        <v>1696</v>
      </c>
      <c r="R322">
        <v>640</v>
      </c>
      <c r="S322">
        <v>1696</v>
      </c>
    </row>
    <row r="323" spans="1:19" x14ac:dyDescent="0.3">
      <c r="A323">
        <v>297</v>
      </c>
      <c r="B323">
        <v>389</v>
      </c>
      <c r="C323">
        <f t="shared" si="10"/>
        <v>686</v>
      </c>
      <c r="F323">
        <v>1069</v>
      </c>
      <c r="G323">
        <v>1303</v>
      </c>
      <c r="H323">
        <f t="shared" si="11"/>
        <v>2372</v>
      </c>
      <c r="R323">
        <v>686</v>
      </c>
      <c r="S323">
        <v>2372</v>
      </c>
    </row>
    <row r="324" spans="1:19" x14ac:dyDescent="0.3">
      <c r="A324">
        <v>304</v>
      </c>
      <c r="B324">
        <v>397</v>
      </c>
      <c r="C324">
        <f t="shared" si="10"/>
        <v>701</v>
      </c>
      <c r="F324">
        <v>1081</v>
      </c>
      <c r="G324">
        <v>1307</v>
      </c>
      <c r="H324">
        <f t="shared" si="11"/>
        <v>2388</v>
      </c>
      <c r="R324">
        <v>701</v>
      </c>
      <c r="S324">
        <v>2388</v>
      </c>
    </row>
    <row r="325" spans="1:19" x14ac:dyDescent="0.3">
      <c r="A325">
        <v>304</v>
      </c>
      <c r="B325">
        <v>361</v>
      </c>
      <c r="C325">
        <f t="shared" si="10"/>
        <v>665</v>
      </c>
      <c r="F325">
        <v>1089</v>
      </c>
      <c r="G325">
        <v>1317</v>
      </c>
      <c r="H325">
        <f t="shared" si="11"/>
        <v>2406</v>
      </c>
      <c r="R325">
        <v>665</v>
      </c>
      <c r="S325">
        <v>2406</v>
      </c>
    </row>
    <row r="326" spans="1:19" x14ac:dyDescent="0.3">
      <c r="A326">
        <v>302</v>
      </c>
      <c r="B326">
        <v>372</v>
      </c>
      <c r="C326">
        <f t="shared" si="10"/>
        <v>674</v>
      </c>
      <c r="F326">
        <v>1111</v>
      </c>
      <c r="G326">
        <v>1283</v>
      </c>
      <c r="H326">
        <f t="shared" si="11"/>
        <v>2394</v>
      </c>
      <c r="R326">
        <v>674</v>
      </c>
      <c r="S326">
        <v>2394</v>
      </c>
    </row>
    <row r="327" spans="1:19" x14ac:dyDescent="0.3">
      <c r="A327">
        <v>314</v>
      </c>
      <c r="B327">
        <v>406</v>
      </c>
      <c r="C327">
        <f t="shared" si="10"/>
        <v>720</v>
      </c>
      <c r="F327">
        <v>1090</v>
      </c>
      <c r="G327">
        <v>1299</v>
      </c>
      <c r="H327">
        <f t="shared" si="11"/>
        <v>2389</v>
      </c>
      <c r="R327">
        <v>720</v>
      </c>
      <c r="S327">
        <v>2389</v>
      </c>
    </row>
    <row r="328" spans="1:19" x14ac:dyDescent="0.3">
      <c r="A328">
        <v>304</v>
      </c>
      <c r="B328">
        <v>394</v>
      </c>
      <c r="C328">
        <f t="shared" si="10"/>
        <v>698</v>
      </c>
      <c r="F328">
        <v>1098</v>
      </c>
      <c r="G328">
        <v>1301</v>
      </c>
      <c r="H328">
        <f t="shared" si="11"/>
        <v>2399</v>
      </c>
      <c r="R328">
        <v>698</v>
      </c>
      <c r="S328">
        <v>2399</v>
      </c>
    </row>
    <row r="329" spans="1:19" x14ac:dyDescent="0.3">
      <c r="A329">
        <v>270</v>
      </c>
      <c r="B329">
        <v>308</v>
      </c>
      <c r="C329">
        <f t="shared" si="10"/>
        <v>578</v>
      </c>
      <c r="F329">
        <v>1091</v>
      </c>
      <c r="G329">
        <v>1290</v>
      </c>
      <c r="H329">
        <f t="shared" si="11"/>
        <v>2381</v>
      </c>
      <c r="R329">
        <v>578</v>
      </c>
      <c r="S329">
        <v>2381</v>
      </c>
    </row>
    <row r="330" spans="1:19" x14ac:dyDescent="0.3">
      <c r="A330">
        <v>728</v>
      </c>
      <c r="B330">
        <v>798</v>
      </c>
      <c r="C330">
        <f t="shared" si="10"/>
        <v>1526</v>
      </c>
      <c r="F330">
        <v>1081</v>
      </c>
      <c r="G330">
        <v>1297</v>
      </c>
      <c r="H330">
        <f t="shared" si="11"/>
        <v>2378</v>
      </c>
      <c r="R330">
        <v>1526</v>
      </c>
      <c r="S330">
        <v>2378</v>
      </c>
    </row>
    <row r="331" spans="1:19" x14ac:dyDescent="0.3">
      <c r="A331">
        <v>1176</v>
      </c>
      <c r="B331">
        <v>1209</v>
      </c>
      <c r="C331">
        <f t="shared" si="10"/>
        <v>2385</v>
      </c>
      <c r="F331">
        <v>1093</v>
      </c>
      <c r="G331">
        <v>1298</v>
      </c>
      <c r="H331">
        <f t="shared" si="11"/>
        <v>2391</v>
      </c>
      <c r="R331">
        <v>2385</v>
      </c>
      <c r="S331">
        <v>2391</v>
      </c>
    </row>
    <row r="332" spans="1:19" x14ac:dyDescent="0.3">
      <c r="A332">
        <v>1134</v>
      </c>
      <c r="B332">
        <v>1216</v>
      </c>
      <c r="C332">
        <f t="shared" si="10"/>
        <v>2350</v>
      </c>
      <c r="F332">
        <v>1085</v>
      </c>
      <c r="G332">
        <v>1283</v>
      </c>
      <c r="H332">
        <f t="shared" si="11"/>
        <v>2368</v>
      </c>
      <c r="R332">
        <v>2350</v>
      </c>
      <c r="S332">
        <v>2368</v>
      </c>
    </row>
    <row r="333" spans="1:19" x14ac:dyDescent="0.3">
      <c r="A333">
        <v>1155</v>
      </c>
      <c r="B333">
        <v>1197</v>
      </c>
      <c r="C333">
        <f t="shared" si="10"/>
        <v>2352</v>
      </c>
      <c r="F333">
        <v>1073</v>
      </c>
      <c r="G333">
        <v>1301</v>
      </c>
      <c r="H333">
        <f t="shared" si="11"/>
        <v>2374</v>
      </c>
      <c r="R333">
        <v>2352</v>
      </c>
      <c r="S333">
        <v>2374</v>
      </c>
    </row>
    <row r="334" spans="1:19" x14ac:dyDescent="0.3">
      <c r="A334">
        <v>221</v>
      </c>
      <c r="B334">
        <v>308</v>
      </c>
      <c r="C334">
        <f t="shared" si="10"/>
        <v>529</v>
      </c>
      <c r="F334">
        <v>1123</v>
      </c>
      <c r="G334">
        <v>1245</v>
      </c>
      <c r="H334">
        <f t="shared" si="11"/>
        <v>2368</v>
      </c>
      <c r="R334">
        <v>529</v>
      </c>
      <c r="S334">
        <v>2368</v>
      </c>
    </row>
    <row r="335" spans="1:19" x14ac:dyDescent="0.3">
      <c r="A335">
        <v>267</v>
      </c>
      <c r="B335">
        <v>335</v>
      </c>
      <c r="C335">
        <f t="shared" si="10"/>
        <v>602</v>
      </c>
      <c r="F335">
        <v>1103</v>
      </c>
      <c r="G335">
        <v>1260</v>
      </c>
      <c r="H335">
        <f t="shared" si="11"/>
        <v>2363</v>
      </c>
      <c r="R335">
        <v>602</v>
      </c>
      <c r="S335">
        <v>2363</v>
      </c>
    </row>
    <row r="336" spans="1:19" x14ac:dyDescent="0.3">
      <c r="A336">
        <v>279</v>
      </c>
      <c r="B336">
        <v>331</v>
      </c>
      <c r="C336">
        <f t="shared" si="10"/>
        <v>610</v>
      </c>
      <c r="F336">
        <v>1077</v>
      </c>
      <c r="G336">
        <v>1295</v>
      </c>
      <c r="H336">
        <f t="shared" si="11"/>
        <v>2372</v>
      </c>
      <c r="R336">
        <v>610</v>
      </c>
      <c r="S336">
        <v>2372</v>
      </c>
    </row>
    <row r="337" spans="1:19" x14ac:dyDescent="0.3">
      <c r="A337">
        <v>276</v>
      </c>
      <c r="B337">
        <v>364</v>
      </c>
      <c r="C337">
        <f t="shared" si="10"/>
        <v>640</v>
      </c>
      <c r="F337">
        <v>1105</v>
      </c>
      <c r="G337">
        <v>1262</v>
      </c>
      <c r="H337">
        <f t="shared" si="11"/>
        <v>2367</v>
      </c>
      <c r="R337">
        <v>640</v>
      </c>
      <c r="S337">
        <v>2367</v>
      </c>
    </row>
    <row r="338" spans="1:19" x14ac:dyDescent="0.3">
      <c r="A338">
        <v>258</v>
      </c>
      <c r="B338">
        <v>308</v>
      </c>
      <c r="C338">
        <f t="shared" si="10"/>
        <v>566</v>
      </c>
      <c r="F338">
        <v>1062</v>
      </c>
      <c r="G338">
        <v>1259</v>
      </c>
      <c r="H338">
        <f t="shared" si="11"/>
        <v>2321</v>
      </c>
      <c r="R338">
        <v>566</v>
      </c>
      <c r="S338">
        <v>2321</v>
      </c>
    </row>
    <row r="339" spans="1:19" x14ac:dyDescent="0.3">
      <c r="A339">
        <v>274</v>
      </c>
      <c r="B339">
        <v>349</v>
      </c>
      <c r="C339">
        <f t="shared" si="10"/>
        <v>623</v>
      </c>
      <c r="F339">
        <v>1056</v>
      </c>
      <c r="G339">
        <v>1318</v>
      </c>
      <c r="H339">
        <f t="shared" si="11"/>
        <v>2374</v>
      </c>
      <c r="R339">
        <v>623</v>
      </c>
      <c r="S339">
        <v>2374</v>
      </c>
    </row>
    <row r="340" spans="1:19" x14ac:dyDescent="0.3">
      <c r="A340">
        <v>261</v>
      </c>
      <c r="B340">
        <v>348</v>
      </c>
      <c r="C340">
        <f t="shared" si="10"/>
        <v>609</v>
      </c>
      <c r="F340">
        <v>1043</v>
      </c>
      <c r="G340">
        <v>1362</v>
      </c>
      <c r="H340">
        <f t="shared" si="11"/>
        <v>2405</v>
      </c>
      <c r="R340">
        <v>609</v>
      </c>
      <c r="S340">
        <v>2405</v>
      </c>
    </row>
    <row r="341" spans="1:19" x14ac:dyDescent="0.3">
      <c r="A341">
        <v>257</v>
      </c>
      <c r="B341">
        <v>298</v>
      </c>
      <c r="C341">
        <f t="shared" si="10"/>
        <v>555</v>
      </c>
      <c r="F341">
        <v>907</v>
      </c>
      <c r="G341">
        <v>1262</v>
      </c>
      <c r="H341">
        <f t="shared" si="11"/>
        <v>2169</v>
      </c>
      <c r="R341">
        <v>555</v>
      </c>
      <c r="S341">
        <v>2169</v>
      </c>
    </row>
    <row r="342" spans="1:19" x14ac:dyDescent="0.3">
      <c r="A342">
        <v>1013</v>
      </c>
      <c r="B342">
        <v>1097</v>
      </c>
      <c r="C342">
        <f t="shared" si="10"/>
        <v>2110</v>
      </c>
      <c r="F342">
        <v>413</v>
      </c>
      <c r="G342">
        <v>772</v>
      </c>
      <c r="H342">
        <f t="shared" si="11"/>
        <v>1185</v>
      </c>
      <c r="R342">
        <v>2110</v>
      </c>
      <c r="S342">
        <v>1185</v>
      </c>
    </row>
    <row r="343" spans="1:19" x14ac:dyDescent="0.3">
      <c r="A343">
        <v>374</v>
      </c>
      <c r="B343">
        <v>462</v>
      </c>
      <c r="C343">
        <f t="shared" si="10"/>
        <v>836</v>
      </c>
      <c r="F343">
        <v>685</v>
      </c>
      <c r="G343">
        <v>1064</v>
      </c>
      <c r="H343">
        <f t="shared" si="11"/>
        <v>1749</v>
      </c>
      <c r="R343">
        <v>836</v>
      </c>
      <c r="S343">
        <v>1749</v>
      </c>
    </row>
    <row r="344" spans="1:19" x14ac:dyDescent="0.3">
      <c r="A344">
        <v>275</v>
      </c>
      <c r="B344">
        <v>312</v>
      </c>
      <c r="C344">
        <f t="shared" si="10"/>
        <v>587</v>
      </c>
      <c r="F344">
        <v>651</v>
      </c>
      <c r="G344">
        <v>1008</v>
      </c>
      <c r="H344">
        <f t="shared" si="11"/>
        <v>1659</v>
      </c>
      <c r="R344">
        <v>587</v>
      </c>
      <c r="S344">
        <v>1659</v>
      </c>
    </row>
    <row r="345" spans="1:19" x14ac:dyDescent="0.3">
      <c r="A345">
        <v>279</v>
      </c>
      <c r="B345">
        <v>366</v>
      </c>
      <c r="C345">
        <f t="shared" si="10"/>
        <v>645</v>
      </c>
      <c r="F345">
        <v>548</v>
      </c>
      <c r="G345">
        <v>909</v>
      </c>
      <c r="H345">
        <f t="shared" si="11"/>
        <v>1457</v>
      </c>
      <c r="R345">
        <v>645</v>
      </c>
      <c r="S345">
        <v>1457</v>
      </c>
    </row>
    <row r="346" spans="1:19" x14ac:dyDescent="0.3">
      <c r="A346">
        <v>292</v>
      </c>
      <c r="B346">
        <v>376</v>
      </c>
      <c r="C346">
        <f t="shared" si="10"/>
        <v>668</v>
      </c>
      <c r="F346">
        <v>785</v>
      </c>
      <c r="G346">
        <v>972</v>
      </c>
      <c r="H346">
        <f t="shared" si="11"/>
        <v>1757</v>
      </c>
      <c r="R346">
        <v>668</v>
      </c>
      <c r="S346">
        <v>1757</v>
      </c>
    </row>
    <row r="347" spans="1:19" x14ac:dyDescent="0.3">
      <c r="A347">
        <v>296</v>
      </c>
      <c r="B347">
        <v>336</v>
      </c>
      <c r="C347">
        <f t="shared" si="10"/>
        <v>632</v>
      </c>
      <c r="F347">
        <v>884</v>
      </c>
      <c r="G347">
        <v>1074</v>
      </c>
      <c r="H347">
        <f t="shared" si="11"/>
        <v>1958</v>
      </c>
      <c r="R347">
        <v>632</v>
      </c>
      <c r="S347">
        <v>1958</v>
      </c>
    </row>
    <row r="348" spans="1:19" x14ac:dyDescent="0.3">
      <c r="A348">
        <v>299</v>
      </c>
      <c r="B348">
        <v>389</v>
      </c>
      <c r="C348">
        <f t="shared" si="10"/>
        <v>688</v>
      </c>
      <c r="F348">
        <v>701</v>
      </c>
      <c r="G348">
        <v>892</v>
      </c>
      <c r="H348">
        <f t="shared" si="11"/>
        <v>1593</v>
      </c>
      <c r="R348">
        <v>688</v>
      </c>
      <c r="S348">
        <v>1593</v>
      </c>
    </row>
    <row r="349" spans="1:19" x14ac:dyDescent="0.3">
      <c r="A349">
        <v>266</v>
      </c>
      <c r="B349">
        <v>335</v>
      </c>
      <c r="C349">
        <f t="shared" si="10"/>
        <v>601</v>
      </c>
      <c r="F349">
        <v>697</v>
      </c>
      <c r="G349">
        <v>1011</v>
      </c>
      <c r="H349">
        <f t="shared" si="11"/>
        <v>1708</v>
      </c>
      <c r="R349">
        <v>601</v>
      </c>
      <c r="S349">
        <v>1708</v>
      </c>
    </row>
    <row r="350" spans="1:19" x14ac:dyDescent="0.3">
      <c r="A350">
        <v>275</v>
      </c>
      <c r="B350">
        <v>329</v>
      </c>
      <c r="C350">
        <f t="shared" si="10"/>
        <v>604</v>
      </c>
      <c r="F350">
        <v>712</v>
      </c>
      <c r="G350">
        <v>936</v>
      </c>
      <c r="H350">
        <f t="shared" si="11"/>
        <v>1648</v>
      </c>
      <c r="R350">
        <v>604</v>
      </c>
      <c r="S350">
        <v>1648</v>
      </c>
    </row>
    <row r="351" spans="1:19" x14ac:dyDescent="0.3">
      <c r="A351">
        <v>287</v>
      </c>
      <c r="B351">
        <v>379</v>
      </c>
      <c r="C351">
        <f t="shared" si="10"/>
        <v>666</v>
      </c>
      <c r="F351">
        <v>472</v>
      </c>
      <c r="G351">
        <v>835</v>
      </c>
      <c r="H351">
        <f t="shared" si="11"/>
        <v>1307</v>
      </c>
      <c r="R351">
        <v>666</v>
      </c>
      <c r="S351">
        <v>1307</v>
      </c>
    </row>
    <row r="352" spans="1:19" x14ac:dyDescent="0.3">
      <c r="A352">
        <v>286</v>
      </c>
      <c r="B352">
        <v>358</v>
      </c>
      <c r="C352">
        <f t="shared" si="10"/>
        <v>644</v>
      </c>
      <c r="F352">
        <v>492</v>
      </c>
      <c r="G352">
        <v>503</v>
      </c>
      <c r="H352">
        <f t="shared" si="11"/>
        <v>995</v>
      </c>
      <c r="R352">
        <v>644</v>
      </c>
      <c r="S352">
        <v>995</v>
      </c>
    </row>
    <row r="353" spans="1:19" x14ac:dyDescent="0.3">
      <c r="A353">
        <v>288</v>
      </c>
      <c r="B353">
        <v>344</v>
      </c>
      <c r="C353">
        <f t="shared" si="10"/>
        <v>632</v>
      </c>
      <c r="F353">
        <v>494</v>
      </c>
      <c r="G353">
        <v>504</v>
      </c>
      <c r="H353">
        <f t="shared" si="11"/>
        <v>998</v>
      </c>
      <c r="R353">
        <v>632</v>
      </c>
      <c r="S353">
        <v>998</v>
      </c>
    </row>
    <row r="354" spans="1:19" x14ac:dyDescent="0.3">
      <c r="A354">
        <v>295</v>
      </c>
      <c r="B354">
        <v>382</v>
      </c>
      <c r="C354">
        <f t="shared" si="10"/>
        <v>677</v>
      </c>
      <c r="F354">
        <v>781</v>
      </c>
      <c r="G354">
        <v>837</v>
      </c>
      <c r="H354">
        <f t="shared" si="11"/>
        <v>1618</v>
      </c>
      <c r="R354">
        <v>677</v>
      </c>
      <c r="S354">
        <v>1618</v>
      </c>
    </row>
    <row r="355" spans="1:19" x14ac:dyDescent="0.3">
      <c r="A355">
        <v>309</v>
      </c>
      <c r="B355">
        <v>401</v>
      </c>
      <c r="C355">
        <f t="shared" si="10"/>
        <v>710</v>
      </c>
      <c r="F355">
        <v>1087</v>
      </c>
      <c r="G355">
        <v>1284</v>
      </c>
      <c r="H355">
        <f t="shared" si="11"/>
        <v>2371</v>
      </c>
      <c r="R355">
        <v>710</v>
      </c>
      <c r="S355">
        <v>2371</v>
      </c>
    </row>
    <row r="356" spans="1:19" x14ac:dyDescent="0.3">
      <c r="A356">
        <v>278</v>
      </c>
      <c r="B356">
        <v>314</v>
      </c>
      <c r="C356">
        <f t="shared" si="10"/>
        <v>592</v>
      </c>
      <c r="F356">
        <v>1094</v>
      </c>
      <c r="G356">
        <v>1281</v>
      </c>
      <c r="H356">
        <f t="shared" si="11"/>
        <v>2375</v>
      </c>
      <c r="R356">
        <v>592</v>
      </c>
      <c r="S356">
        <v>2375</v>
      </c>
    </row>
    <row r="357" spans="1:19" x14ac:dyDescent="0.3">
      <c r="A357">
        <v>266</v>
      </c>
      <c r="B357">
        <v>358</v>
      </c>
      <c r="C357">
        <f t="shared" si="10"/>
        <v>624</v>
      </c>
      <c r="F357">
        <v>1098</v>
      </c>
      <c r="G357">
        <v>1278</v>
      </c>
      <c r="H357">
        <f t="shared" si="11"/>
        <v>2376</v>
      </c>
      <c r="R357">
        <v>624</v>
      </c>
      <c r="S357">
        <v>2376</v>
      </c>
    </row>
    <row r="358" spans="1:19" x14ac:dyDescent="0.3">
      <c r="A358">
        <v>268</v>
      </c>
      <c r="B358">
        <v>359</v>
      </c>
      <c r="C358">
        <f t="shared" si="10"/>
        <v>627</v>
      </c>
      <c r="F358">
        <v>1095</v>
      </c>
      <c r="G358">
        <v>1289</v>
      </c>
      <c r="H358">
        <f t="shared" si="11"/>
        <v>2384</v>
      </c>
      <c r="R358">
        <v>627</v>
      </c>
      <c r="S358">
        <v>2384</v>
      </c>
    </row>
    <row r="359" spans="1:19" x14ac:dyDescent="0.3">
      <c r="A359">
        <v>303</v>
      </c>
      <c r="B359">
        <v>343</v>
      </c>
      <c r="C359">
        <f t="shared" si="10"/>
        <v>646</v>
      </c>
      <c r="F359">
        <v>1097</v>
      </c>
      <c r="G359">
        <v>1291</v>
      </c>
      <c r="H359">
        <f t="shared" si="11"/>
        <v>2388</v>
      </c>
      <c r="R359">
        <v>646</v>
      </c>
      <c r="S359">
        <v>2388</v>
      </c>
    </row>
    <row r="360" spans="1:19" x14ac:dyDescent="0.3">
      <c r="A360">
        <v>301</v>
      </c>
      <c r="B360">
        <v>393</v>
      </c>
      <c r="C360">
        <f t="shared" si="10"/>
        <v>694</v>
      </c>
      <c r="F360">
        <v>1099</v>
      </c>
      <c r="G360">
        <v>1295</v>
      </c>
      <c r="H360">
        <f t="shared" si="11"/>
        <v>2394</v>
      </c>
      <c r="R360">
        <v>694</v>
      </c>
      <c r="S360">
        <v>2394</v>
      </c>
    </row>
    <row r="361" spans="1:19" x14ac:dyDescent="0.3">
      <c r="A361">
        <v>302</v>
      </c>
      <c r="B361">
        <v>394</v>
      </c>
      <c r="C361">
        <f t="shared" si="10"/>
        <v>696</v>
      </c>
      <c r="F361">
        <v>1111</v>
      </c>
      <c r="G361">
        <v>1282</v>
      </c>
      <c r="H361">
        <f t="shared" si="11"/>
        <v>2393</v>
      </c>
      <c r="R361">
        <v>696</v>
      </c>
      <c r="S361">
        <v>2393</v>
      </c>
    </row>
    <row r="362" spans="1:19" x14ac:dyDescent="0.3">
      <c r="A362">
        <v>307</v>
      </c>
      <c r="B362">
        <v>372</v>
      </c>
      <c r="C362">
        <f t="shared" si="10"/>
        <v>679</v>
      </c>
      <c r="F362">
        <v>1090</v>
      </c>
      <c r="G362">
        <v>1292</v>
      </c>
      <c r="H362">
        <f t="shared" si="11"/>
        <v>2382</v>
      </c>
      <c r="R362">
        <v>679</v>
      </c>
      <c r="S362">
        <v>2382</v>
      </c>
    </row>
    <row r="363" spans="1:19" x14ac:dyDescent="0.3">
      <c r="A363">
        <v>305</v>
      </c>
      <c r="B363">
        <v>371</v>
      </c>
      <c r="C363">
        <f t="shared" si="10"/>
        <v>676</v>
      </c>
      <c r="F363">
        <v>1120</v>
      </c>
      <c r="G363">
        <v>1270</v>
      </c>
      <c r="H363">
        <f t="shared" si="11"/>
        <v>2390</v>
      </c>
      <c r="R363">
        <v>676</v>
      </c>
      <c r="S363">
        <v>2390</v>
      </c>
    </row>
    <row r="364" spans="1:19" x14ac:dyDescent="0.3">
      <c r="A364">
        <v>297</v>
      </c>
      <c r="B364">
        <v>387</v>
      </c>
      <c r="C364">
        <f t="shared" si="10"/>
        <v>684</v>
      </c>
      <c r="F364">
        <v>1131</v>
      </c>
      <c r="G364">
        <v>1244</v>
      </c>
      <c r="H364">
        <f t="shared" si="11"/>
        <v>2375</v>
      </c>
      <c r="R364">
        <v>684</v>
      </c>
      <c r="S364">
        <v>2375</v>
      </c>
    </row>
    <row r="365" spans="1:19" x14ac:dyDescent="0.3">
      <c r="A365">
        <v>256</v>
      </c>
      <c r="B365">
        <v>321</v>
      </c>
      <c r="C365">
        <f t="shared" si="10"/>
        <v>577</v>
      </c>
      <c r="F365">
        <v>1091</v>
      </c>
      <c r="G365">
        <v>1264</v>
      </c>
      <c r="H365">
        <f t="shared" si="11"/>
        <v>2355</v>
      </c>
      <c r="R365">
        <v>577</v>
      </c>
      <c r="S365">
        <v>2355</v>
      </c>
    </row>
    <row r="366" spans="1:19" x14ac:dyDescent="0.3">
      <c r="A366">
        <v>254</v>
      </c>
      <c r="B366">
        <v>315</v>
      </c>
      <c r="C366">
        <f t="shared" si="10"/>
        <v>569</v>
      </c>
      <c r="F366">
        <v>1098</v>
      </c>
      <c r="G366">
        <v>1273</v>
      </c>
      <c r="H366">
        <f t="shared" si="11"/>
        <v>2371</v>
      </c>
      <c r="R366">
        <v>569</v>
      </c>
      <c r="S366">
        <v>2371</v>
      </c>
    </row>
    <row r="367" spans="1:19" x14ac:dyDescent="0.3">
      <c r="A367">
        <v>282</v>
      </c>
      <c r="B367">
        <v>370</v>
      </c>
      <c r="C367">
        <f t="shared" si="10"/>
        <v>652</v>
      </c>
      <c r="F367">
        <v>1099</v>
      </c>
      <c r="G367">
        <v>1255</v>
      </c>
      <c r="H367">
        <f t="shared" si="11"/>
        <v>2354</v>
      </c>
      <c r="R367">
        <v>652</v>
      </c>
      <c r="S367">
        <v>2354</v>
      </c>
    </row>
    <row r="368" spans="1:19" x14ac:dyDescent="0.3">
      <c r="A368">
        <v>284</v>
      </c>
      <c r="B368">
        <v>362</v>
      </c>
      <c r="C368">
        <f t="shared" si="10"/>
        <v>646</v>
      </c>
      <c r="F368">
        <v>1083</v>
      </c>
      <c r="G368">
        <v>1268</v>
      </c>
      <c r="H368">
        <f t="shared" si="11"/>
        <v>2351</v>
      </c>
      <c r="R368">
        <v>646</v>
      </c>
      <c r="S368">
        <v>2351</v>
      </c>
    </row>
    <row r="369" spans="1:19" x14ac:dyDescent="0.3">
      <c r="A369">
        <v>301</v>
      </c>
      <c r="B369">
        <v>356</v>
      </c>
      <c r="C369">
        <f t="shared" si="10"/>
        <v>657</v>
      </c>
      <c r="F369">
        <v>1105</v>
      </c>
      <c r="G369">
        <v>1245</v>
      </c>
      <c r="H369">
        <f t="shared" si="11"/>
        <v>2350</v>
      </c>
      <c r="R369">
        <v>657</v>
      </c>
      <c r="S369">
        <v>2350</v>
      </c>
    </row>
    <row r="370" spans="1:19" x14ac:dyDescent="0.3">
      <c r="A370">
        <v>295</v>
      </c>
      <c r="B370">
        <v>382</v>
      </c>
      <c r="C370">
        <f t="shared" si="10"/>
        <v>677</v>
      </c>
      <c r="F370">
        <v>1078</v>
      </c>
      <c r="G370">
        <v>1271</v>
      </c>
      <c r="H370">
        <f t="shared" si="11"/>
        <v>2349</v>
      </c>
      <c r="R370">
        <v>677</v>
      </c>
      <c r="S370">
        <v>2349</v>
      </c>
    </row>
    <row r="371" spans="1:19" x14ac:dyDescent="0.3">
      <c r="A371">
        <v>220</v>
      </c>
      <c r="B371">
        <v>222</v>
      </c>
      <c r="C371">
        <f t="shared" si="10"/>
        <v>442</v>
      </c>
      <c r="D371" t="s">
        <v>571</v>
      </c>
      <c r="F371">
        <v>1072</v>
      </c>
      <c r="G371">
        <v>1288</v>
      </c>
      <c r="H371">
        <f t="shared" si="11"/>
        <v>2360</v>
      </c>
      <c r="R371">
        <v>442</v>
      </c>
      <c r="S371">
        <v>2360</v>
      </c>
    </row>
    <row r="372" spans="1:19" x14ac:dyDescent="0.3">
      <c r="A372">
        <v>309</v>
      </c>
      <c r="B372">
        <v>310</v>
      </c>
      <c r="C372">
        <f t="shared" si="10"/>
        <v>619</v>
      </c>
      <c r="F372">
        <v>1079</v>
      </c>
      <c r="G372">
        <v>1315</v>
      </c>
      <c r="H372">
        <f t="shared" si="11"/>
        <v>2394</v>
      </c>
      <c r="R372">
        <v>619</v>
      </c>
      <c r="S372">
        <v>2394</v>
      </c>
    </row>
    <row r="373" spans="1:19" x14ac:dyDescent="0.3">
      <c r="A373">
        <v>306</v>
      </c>
      <c r="B373">
        <v>305</v>
      </c>
      <c r="C373">
        <f t="shared" si="10"/>
        <v>611</v>
      </c>
      <c r="F373">
        <v>1077</v>
      </c>
      <c r="G373">
        <v>1320</v>
      </c>
      <c r="H373">
        <f t="shared" si="11"/>
        <v>2397</v>
      </c>
      <c r="R373">
        <v>611</v>
      </c>
      <c r="S373">
        <v>2397</v>
      </c>
    </row>
    <row r="374" spans="1:19" x14ac:dyDescent="0.3">
      <c r="A374">
        <v>318</v>
      </c>
      <c r="B374">
        <v>318</v>
      </c>
      <c r="C374">
        <f t="shared" si="10"/>
        <v>636</v>
      </c>
      <c r="F374">
        <v>1061</v>
      </c>
      <c r="G374">
        <v>1342</v>
      </c>
      <c r="H374">
        <f t="shared" si="11"/>
        <v>2403</v>
      </c>
      <c r="R374">
        <v>636</v>
      </c>
      <c r="S374">
        <v>2403</v>
      </c>
    </row>
    <row r="375" spans="1:19" x14ac:dyDescent="0.3">
      <c r="A375">
        <v>324</v>
      </c>
      <c r="B375">
        <v>324</v>
      </c>
      <c r="C375">
        <f t="shared" si="10"/>
        <v>648</v>
      </c>
      <c r="F375">
        <v>1020</v>
      </c>
      <c r="G375">
        <v>1349</v>
      </c>
      <c r="H375">
        <f t="shared" si="11"/>
        <v>2369</v>
      </c>
      <c r="R375">
        <v>648</v>
      </c>
      <c r="S375">
        <v>2369</v>
      </c>
    </row>
    <row r="376" spans="1:19" x14ac:dyDescent="0.3">
      <c r="A376">
        <v>318</v>
      </c>
      <c r="B376">
        <v>320</v>
      </c>
      <c r="C376">
        <f t="shared" si="10"/>
        <v>638</v>
      </c>
      <c r="F376">
        <v>476</v>
      </c>
      <c r="G376">
        <v>850</v>
      </c>
      <c r="H376">
        <f t="shared" si="11"/>
        <v>1326</v>
      </c>
      <c r="R376">
        <v>638</v>
      </c>
      <c r="S376">
        <v>1326</v>
      </c>
    </row>
    <row r="377" spans="1:19" x14ac:dyDescent="0.3">
      <c r="A377">
        <v>298</v>
      </c>
      <c r="B377">
        <v>299</v>
      </c>
      <c r="C377">
        <f t="shared" si="10"/>
        <v>597</v>
      </c>
      <c r="F377">
        <v>679</v>
      </c>
      <c r="G377">
        <v>1120</v>
      </c>
      <c r="H377">
        <f t="shared" si="11"/>
        <v>1799</v>
      </c>
      <c r="R377">
        <v>597</v>
      </c>
      <c r="S377">
        <v>1799</v>
      </c>
    </row>
    <row r="378" spans="1:19" x14ac:dyDescent="0.3">
      <c r="A378">
        <v>287</v>
      </c>
      <c r="B378">
        <v>293</v>
      </c>
      <c r="C378">
        <f t="shared" si="10"/>
        <v>580</v>
      </c>
      <c r="F378">
        <v>690</v>
      </c>
      <c r="G378">
        <v>967</v>
      </c>
      <c r="H378">
        <f t="shared" si="11"/>
        <v>1657</v>
      </c>
      <c r="R378">
        <v>580</v>
      </c>
      <c r="S378">
        <v>1657</v>
      </c>
    </row>
    <row r="379" spans="1:19" x14ac:dyDescent="0.3">
      <c r="A379">
        <v>310</v>
      </c>
      <c r="B379">
        <v>306</v>
      </c>
      <c r="C379">
        <f t="shared" si="10"/>
        <v>616</v>
      </c>
      <c r="F379">
        <v>587</v>
      </c>
      <c r="G379">
        <v>918</v>
      </c>
      <c r="H379">
        <f t="shared" si="11"/>
        <v>1505</v>
      </c>
      <c r="R379">
        <v>616</v>
      </c>
      <c r="S379">
        <v>1505</v>
      </c>
    </row>
    <row r="380" spans="1:19" x14ac:dyDescent="0.3">
      <c r="A380">
        <v>314</v>
      </c>
      <c r="B380">
        <v>313</v>
      </c>
      <c r="C380">
        <f t="shared" si="10"/>
        <v>627</v>
      </c>
      <c r="F380">
        <v>752</v>
      </c>
      <c r="G380">
        <v>1025</v>
      </c>
      <c r="H380">
        <f t="shared" si="11"/>
        <v>1777</v>
      </c>
      <c r="R380">
        <v>627</v>
      </c>
      <c r="S380">
        <v>1777</v>
      </c>
    </row>
    <row r="381" spans="1:19" x14ac:dyDescent="0.3">
      <c r="A381">
        <v>310</v>
      </c>
      <c r="B381">
        <v>310</v>
      </c>
      <c r="C381">
        <f t="shared" si="10"/>
        <v>620</v>
      </c>
      <c r="F381">
        <v>878</v>
      </c>
      <c r="G381">
        <v>973</v>
      </c>
      <c r="H381">
        <f t="shared" si="11"/>
        <v>1851</v>
      </c>
      <c r="R381">
        <v>620</v>
      </c>
      <c r="S381">
        <v>1851</v>
      </c>
    </row>
    <row r="382" spans="1:19" x14ac:dyDescent="0.3">
      <c r="A382">
        <v>314</v>
      </c>
      <c r="B382">
        <v>313</v>
      </c>
      <c r="C382">
        <f t="shared" si="10"/>
        <v>627</v>
      </c>
      <c r="F382">
        <v>634</v>
      </c>
      <c r="G382">
        <v>907</v>
      </c>
      <c r="H382">
        <f t="shared" si="11"/>
        <v>1541</v>
      </c>
      <c r="R382">
        <v>627</v>
      </c>
      <c r="S382">
        <v>1541</v>
      </c>
    </row>
    <row r="383" spans="1:19" x14ac:dyDescent="0.3">
      <c r="A383">
        <v>315</v>
      </c>
      <c r="B383">
        <v>319</v>
      </c>
      <c r="C383">
        <f t="shared" si="10"/>
        <v>634</v>
      </c>
      <c r="F383">
        <v>613</v>
      </c>
      <c r="G383">
        <v>947</v>
      </c>
      <c r="H383">
        <f t="shared" si="11"/>
        <v>1560</v>
      </c>
      <c r="R383">
        <v>634</v>
      </c>
      <c r="S383">
        <v>1560</v>
      </c>
    </row>
    <row r="384" spans="1:19" x14ac:dyDescent="0.3">
      <c r="A384">
        <v>313</v>
      </c>
      <c r="B384">
        <v>310</v>
      </c>
      <c r="C384">
        <f t="shared" si="10"/>
        <v>623</v>
      </c>
      <c r="F384">
        <v>716</v>
      </c>
      <c r="G384">
        <v>880</v>
      </c>
      <c r="H384">
        <f t="shared" si="11"/>
        <v>1596</v>
      </c>
      <c r="R384">
        <v>623</v>
      </c>
      <c r="S384">
        <v>1596</v>
      </c>
    </row>
    <row r="385" spans="1:19" x14ac:dyDescent="0.3">
      <c r="A385">
        <v>315</v>
      </c>
      <c r="B385">
        <v>315</v>
      </c>
      <c r="C385">
        <f t="shared" si="10"/>
        <v>630</v>
      </c>
      <c r="F385">
        <v>494</v>
      </c>
      <c r="G385">
        <v>823</v>
      </c>
      <c r="H385">
        <f t="shared" si="11"/>
        <v>1317</v>
      </c>
      <c r="R385">
        <v>630</v>
      </c>
      <c r="S385">
        <v>1317</v>
      </c>
    </row>
    <row r="386" spans="1:19" x14ac:dyDescent="0.3">
      <c r="A386">
        <v>316</v>
      </c>
      <c r="B386">
        <v>316</v>
      </c>
      <c r="C386">
        <f t="shared" ref="C386:C395" si="12">A386+B386</f>
        <v>632</v>
      </c>
      <c r="F386">
        <v>801</v>
      </c>
      <c r="G386">
        <v>851</v>
      </c>
      <c r="H386">
        <f t="shared" ref="H386:H449" si="13">F386+G386</f>
        <v>1652</v>
      </c>
      <c r="R386">
        <v>632</v>
      </c>
      <c r="S386">
        <v>1652</v>
      </c>
    </row>
    <row r="387" spans="1:19" x14ac:dyDescent="0.3">
      <c r="A387">
        <v>311</v>
      </c>
      <c r="B387">
        <v>312</v>
      </c>
      <c r="C387">
        <f t="shared" si="12"/>
        <v>623</v>
      </c>
      <c r="F387">
        <v>1068</v>
      </c>
      <c r="G387">
        <v>1296</v>
      </c>
      <c r="H387">
        <f t="shared" si="13"/>
        <v>2364</v>
      </c>
      <c r="R387">
        <v>623</v>
      </c>
      <c r="S387">
        <v>2364</v>
      </c>
    </row>
    <row r="388" spans="1:19" x14ac:dyDescent="0.3">
      <c r="A388">
        <v>316</v>
      </c>
      <c r="B388">
        <v>316</v>
      </c>
      <c r="C388">
        <f t="shared" si="12"/>
        <v>632</v>
      </c>
      <c r="F388">
        <v>1078</v>
      </c>
      <c r="G388">
        <v>1298</v>
      </c>
      <c r="H388">
        <f t="shared" si="13"/>
        <v>2376</v>
      </c>
      <c r="R388">
        <v>632</v>
      </c>
      <c r="S388">
        <v>2376</v>
      </c>
    </row>
    <row r="389" spans="1:19" x14ac:dyDescent="0.3">
      <c r="A389">
        <v>316</v>
      </c>
      <c r="B389">
        <v>317</v>
      </c>
      <c r="C389">
        <f t="shared" si="12"/>
        <v>633</v>
      </c>
      <c r="F389">
        <v>1072</v>
      </c>
      <c r="G389">
        <v>1279</v>
      </c>
      <c r="H389">
        <f t="shared" si="13"/>
        <v>2351</v>
      </c>
      <c r="R389">
        <v>633</v>
      </c>
      <c r="S389">
        <v>2351</v>
      </c>
    </row>
    <row r="390" spans="1:19" x14ac:dyDescent="0.3">
      <c r="A390">
        <v>318</v>
      </c>
      <c r="B390">
        <v>322</v>
      </c>
      <c r="C390">
        <f t="shared" si="12"/>
        <v>640</v>
      </c>
      <c r="F390">
        <v>1083</v>
      </c>
      <c r="G390">
        <v>1273</v>
      </c>
      <c r="H390">
        <f t="shared" si="13"/>
        <v>2356</v>
      </c>
      <c r="R390">
        <v>640</v>
      </c>
      <c r="S390">
        <v>2356</v>
      </c>
    </row>
    <row r="391" spans="1:19" x14ac:dyDescent="0.3">
      <c r="A391">
        <v>311</v>
      </c>
      <c r="B391">
        <v>307</v>
      </c>
      <c r="C391">
        <f t="shared" si="12"/>
        <v>618</v>
      </c>
      <c r="F391">
        <v>1111</v>
      </c>
      <c r="G391">
        <v>1272</v>
      </c>
      <c r="H391">
        <f t="shared" si="13"/>
        <v>2383</v>
      </c>
      <c r="R391">
        <v>618</v>
      </c>
      <c r="S391">
        <v>2383</v>
      </c>
    </row>
    <row r="392" spans="1:19" x14ac:dyDescent="0.3">
      <c r="A392">
        <v>322</v>
      </c>
      <c r="B392">
        <v>324</v>
      </c>
      <c r="C392">
        <f t="shared" si="12"/>
        <v>646</v>
      </c>
      <c r="F392">
        <v>1090</v>
      </c>
      <c r="G392">
        <v>1300</v>
      </c>
      <c r="H392">
        <f t="shared" si="13"/>
        <v>2390</v>
      </c>
      <c r="R392">
        <v>646</v>
      </c>
      <c r="S392">
        <v>2390</v>
      </c>
    </row>
    <row r="393" spans="1:19" x14ac:dyDescent="0.3">
      <c r="A393">
        <v>319</v>
      </c>
      <c r="B393">
        <v>321</v>
      </c>
      <c r="C393">
        <f t="shared" si="12"/>
        <v>640</v>
      </c>
      <c r="F393">
        <v>1115</v>
      </c>
      <c r="G393">
        <v>1276</v>
      </c>
      <c r="H393">
        <f t="shared" si="13"/>
        <v>2391</v>
      </c>
      <c r="R393">
        <v>640</v>
      </c>
      <c r="S393">
        <v>2391</v>
      </c>
    </row>
    <row r="394" spans="1:19" x14ac:dyDescent="0.3">
      <c r="A394">
        <v>273</v>
      </c>
      <c r="B394">
        <v>271</v>
      </c>
      <c r="C394">
        <f t="shared" si="12"/>
        <v>544</v>
      </c>
      <c r="F394">
        <v>1080</v>
      </c>
      <c r="G394">
        <v>1298</v>
      </c>
      <c r="H394">
        <f t="shared" si="13"/>
        <v>2378</v>
      </c>
      <c r="R394">
        <v>544</v>
      </c>
      <c r="S394">
        <v>2378</v>
      </c>
    </row>
    <row r="395" spans="1:19" x14ac:dyDescent="0.3">
      <c r="A395">
        <v>0</v>
      </c>
      <c r="B395">
        <v>0</v>
      </c>
      <c r="C395">
        <f t="shared" si="12"/>
        <v>0</v>
      </c>
      <c r="F395">
        <v>1114</v>
      </c>
      <c r="G395">
        <v>1268</v>
      </c>
      <c r="H395">
        <f t="shared" si="13"/>
        <v>2382</v>
      </c>
      <c r="R395">
        <v>0</v>
      </c>
      <c r="S395">
        <v>2382</v>
      </c>
    </row>
    <row r="396" spans="1:19" x14ac:dyDescent="0.3">
      <c r="F396">
        <v>1125</v>
      </c>
      <c r="G396">
        <v>1269</v>
      </c>
      <c r="H396">
        <f t="shared" si="13"/>
        <v>2394</v>
      </c>
      <c r="S396">
        <v>2394</v>
      </c>
    </row>
    <row r="397" spans="1:19" x14ac:dyDescent="0.3">
      <c r="F397">
        <v>1095</v>
      </c>
      <c r="G397">
        <v>1306</v>
      </c>
      <c r="H397">
        <f t="shared" si="13"/>
        <v>2401</v>
      </c>
      <c r="S397">
        <v>2401</v>
      </c>
    </row>
    <row r="398" spans="1:19" x14ac:dyDescent="0.3">
      <c r="F398">
        <v>1083</v>
      </c>
      <c r="G398">
        <v>1325</v>
      </c>
      <c r="H398">
        <f t="shared" si="13"/>
        <v>2408</v>
      </c>
      <c r="S398">
        <v>2408</v>
      </c>
    </row>
    <row r="399" spans="1:19" x14ac:dyDescent="0.3">
      <c r="F399">
        <v>1079</v>
      </c>
      <c r="G399">
        <v>1326</v>
      </c>
      <c r="H399">
        <f t="shared" si="13"/>
        <v>2405</v>
      </c>
      <c r="S399">
        <v>2405</v>
      </c>
    </row>
    <row r="400" spans="1:19" x14ac:dyDescent="0.3">
      <c r="F400">
        <v>1079</v>
      </c>
      <c r="G400">
        <v>1320</v>
      </c>
      <c r="H400">
        <f t="shared" si="13"/>
        <v>2399</v>
      </c>
      <c r="S400">
        <v>2399</v>
      </c>
    </row>
    <row r="401" spans="6:19" x14ac:dyDescent="0.3">
      <c r="F401">
        <v>1064</v>
      </c>
      <c r="G401">
        <v>1311</v>
      </c>
      <c r="H401">
        <f t="shared" si="13"/>
        <v>2375</v>
      </c>
      <c r="S401">
        <v>2375</v>
      </c>
    </row>
    <row r="402" spans="6:19" x14ac:dyDescent="0.3">
      <c r="F402">
        <v>1056</v>
      </c>
      <c r="G402">
        <v>1325</v>
      </c>
      <c r="H402">
        <f t="shared" si="13"/>
        <v>2381</v>
      </c>
      <c r="S402">
        <v>2381</v>
      </c>
    </row>
    <row r="403" spans="6:19" x14ac:dyDescent="0.3">
      <c r="F403">
        <v>909</v>
      </c>
      <c r="G403">
        <v>1233</v>
      </c>
      <c r="H403">
        <f t="shared" si="13"/>
        <v>2142</v>
      </c>
      <c r="S403">
        <v>2142</v>
      </c>
    </row>
    <row r="404" spans="6:19" x14ac:dyDescent="0.3">
      <c r="F404">
        <v>410</v>
      </c>
      <c r="G404">
        <v>771</v>
      </c>
      <c r="H404">
        <f t="shared" si="13"/>
        <v>1181</v>
      </c>
      <c r="S404">
        <v>1181</v>
      </c>
    </row>
    <row r="405" spans="6:19" x14ac:dyDescent="0.3">
      <c r="F405">
        <v>665</v>
      </c>
      <c r="G405">
        <v>1062</v>
      </c>
      <c r="H405">
        <f t="shared" si="13"/>
        <v>1727</v>
      </c>
      <c r="S405">
        <v>1727</v>
      </c>
    </row>
    <row r="406" spans="6:19" x14ac:dyDescent="0.3">
      <c r="F406">
        <v>668</v>
      </c>
      <c r="G406">
        <v>1097</v>
      </c>
      <c r="H406">
        <f t="shared" si="13"/>
        <v>1765</v>
      </c>
      <c r="S406">
        <v>1765</v>
      </c>
    </row>
    <row r="407" spans="6:19" x14ac:dyDescent="0.3">
      <c r="F407">
        <v>636</v>
      </c>
      <c r="G407">
        <v>1020</v>
      </c>
      <c r="H407">
        <f t="shared" si="13"/>
        <v>1656</v>
      </c>
      <c r="S407">
        <v>1656</v>
      </c>
    </row>
    <row r="408" spans="6:19" x14ac:dyDescent="0.3">
      <c r="F408">
        <v>827</v>
      </c>
      <c r="G408">
        <v>1200</v>
      </c>
      <c r="H408">
        <f t="shared" si="13"/>
        <v>2027</v>
      </c>
      <c r="S408">
        <v>2027</v>
      </c>
    </row>
    <row r="409" spans="6:19" x14ac:dyDescent="0.3">
      <c r="F409">
        <v>1043</v>
      </c>
      <c r="G409">
        <v>1216</v>
      </c>
      <c r="H409">
        <f t="shared" si="13"/>
        <v>2259</v>
      </c>
      <c r="S409">
        <v>2259</v>
      </c>
    </row>
    <row r="410" spans="6:19" x14ac:dyDescent="0.3">
      <c r="F410">
        <v>448</v>
      </c>
      <c r="G410">
        <v>827</v>
      </c>
      <c r="H410">
        <f t="shared" si="13"/>
        <v>1275</v>
      </c>
      <c r="S410">
        <v>1275</v>
      </c>
    </row>
    <row r="411" spans="6:19" x14ac:dyDescent="0.3">
      <c r="F411">
        <v>658</v>
      </c>
      <c r="G411">
        <v>1042</v>
      </c>
      <c r="H411">
        <f t="shared" si="13"/>
        <v>1700</v>
      </c>
      <c r="S411">
        <v>1700</v>
      </c>
    </row>
    <row r="412" spans="6:19" x14ac:dyDescent="0.3">
      <c r="F412">
        <v>706</v>
      </c>
      <c r="G412">
        <v>972</v>
      </c>
      <c r="H412">
        <f t="shared" si="13"/>
        <v>1678</v>
      </c>
      <c r="S412">
        <v>1678</v>
      </c>
    </row>
    <row r="413" spans="6:19" x14ac:dyDescent="0.3">
      <c r="F413">
        <v>877</v>
      </c>
      <c r="G413">
        <v>1225</v>
      </c>
      <c r="H413">
        <f t="shared" si="13"/>
        <v>2102</v>
      </c>
      <c r="S413">
        <v>2102</v>
      </c>
    </row>
    <row r="414" spans="6:19" x14ac:dyDescent="0.3">
      <c r="F414">
        <v>784</v>
      </c>
      <c r="G414">
        <v>903</v>
      </c>
      <c r="H414">
        <f t="shared" si="13"/>
        <v>1687</v>
      </c>
      <c r="S414">
        <v>1687</v>
      </c>
    </row>
    <row r="415" spans="6:19" x14ac:dyDescent="0.3">
      <c r="F415">
        <v>1079</v>
      </c>
      <c r="G415">
        <v>1291</v>
      </c>
      <c r="H415">
        <f t="shared" si="13"/>
        <v>2370</v>
      </c>
      <c r="S415">
        <v>2370</v>
      </c>
    </row>
    <row r="416" spans="6:19" x14ac:dyDescent="0.3">
      <c r="F416">
        <v>1073</v>
      </c>
      <c r="G416">
        <v>1327</v>
      </c>
      <c r="H416">
        <f t="shared" si="13"/>
        <v>2400</v>
      </c>
      <c r="S416">
        <v>2400</v>
      </c>
    </row>
    <row r="417" spans="6:19" x14ac:dyDescent="0.3">
      <c r="F417">
        <v>1091</v>
      </c>
      <c r="G417">
        <v>1305</v>
      </c>
      <c r="H417">
        <f t="shared" si="13"/>
        <v>2396</v>
      </c>
      <c r="S417">
        <v>2396</v>
      </c>
    </row>
    <row r="418" spans="6:19" x14ac:dyDescent="0.3">
      <c r="F418">
        <v>1085</v>
      </c>
      <c r="G418">
        <v>1294</v>
      </c>
      <c r="H418">
        <f t="shared" si="13"/>
        <v>2379</v>
      </c>
      <c r="S418">
        <v>2379</v>
      </c>
    </row>
    <row r="419" spans="6:19" x14ac:dyDescent="0.3">
      <c r="F419">
        <v>1089</v>
      </c>
      <c r="G419">
        <v>1309</v>
      </c>
      <c r="H419">
        <f t="shared" si="13"/>
        <v>2398</v>
      </c>
      <c r="S419">
        <v>2398</v>
      </c>
    </row>
    <row r="420" spans="6:19" x14ac:dyDescent="0.3">
      <c r="F420">
        <v>1096</v>
      </c>
      <c r="G420">
        <v>1284</v>
      </c>
      <c r="H420">
        <f t="shared" si="13"/>
        <v>2380</v>
      </c>
      <c r="S420">
        <v>2380</v>
      </c>
    </row>
    <row r="421" spans="6:19" x14ac:dyDescent="0.3">
      <c r="F421">
        <v>1095</v>
      </c>
      <c r="G421">
        <v>1309</v>
      </c>
      <c r="H421">
        <f t="shared" si="13"/>
        <v>2404</v>
      </c>
      <c r="S421">
        <v>2404</v>
      </c>
    </row>
    <row r="422" spans="6:19" x14ac:dyDescent="0.3">
      <c r="F422">
        <v>1094</v>
      </c>
      <c r="G422">
        <v>1297</v>
      </c>
      <c r="H422">
        <f t="shared" si="13"/>
        <v>2391</v>
      </c>
      <c r="S422">
        <v>2391</v>
      </c>
    </row>
    <row r="423" spans="6:19" x14ac:dyDescent="0.3">
      <c r="F423">
        <v>1092</v>
      </c>
      <c r="G423">
        <v>1302</v>
      </c>
      <c r="H423">
        <f t="shared" si="13"/>
        <v>2394</v>
      </c>
      <c r="S423">
        <v>2394</v>
      </c>
    </row>
    <row r="424" spans="6:19" x14ac:dyDescent="0.3">
      <c r="F424">
        <v>1100</v>
      </c>
      <c r="G424">
        <v>1310</v>
      </c>
      <c r="H424">
        <f t="shared" si="13"/>
        <v>2410</v>
      </c>
      <c r="S424">
        <v>2410</v>
      </c>
    </row>
    <row r="425" spans="6:19" x14ac:dyDescent="0.3">
      <c r="F425">
        <v>1096</v>
      </c>
      <c r="G425">
        <v>1308</v>
      </c>
      <c r="H425">
        <f t="shared" si="13"/>
        <v>2404</v>
      </c>
      <c r="S425">
        <v>2404</v>
      </c>
    </row>
    <row r="426" spans="6:19" x14ac:dyDescent="0.3">
      <c r="F426">
        <v>1081</v>
      </c>
      <c r="G426">
        <v>1325</v>
      </c>
      <c r="H426">
        <f t="shared" si="13"/>
        <v>2406</v>
      </c>
      <c r="S426">
        <v>2406</v>
      </c>
    </row>
    <row r="427" spans="6:19" x14ac:dyDescent="0.3">
      <c r="F427">
        <v>1092</v>
      </c>
      <c r="G427">
        <v>1304</v>
      </c>
      <c r="H427">
        <f t="shared" si="13"/>
        <v>2396</v>
      </c>
      <c r="S427">
        <v>2396</v>
      </c>
    </row>
    <row r="428" spans="6:19" x14ac:dyDescent="0.3">
      <c r="F428">
        <v>1085</v>
      </c>
      <c r="G428">
        <v>1315</v>
      </c>
      <c r="H428">
        <f t="shared" si="13"/>
        <v>2400</v>
      </c>
      <c r="S428">
        <v>2400</v>
      </c>
    </row>
    <row r="429" spans="6:19" x14ac:dyDescent="0.3">
      <c r="F429">
        <v>1068</v>
      </c>
      <c r="G429">
        <v>1331</v>
      </c>
      <c r="H429">
        <f t="shared" si="13"/>
        <v>2399</v>
      </c>
      <c r="S429">
        <v>2399</v>
      </c>
    </row>
    <row r="430" spans="6:19" x14ac:dyDescent="0.3">
      <c r="F430">
        <v>1000</v>
      </c>
      <c r="G430">
        <v>1343</v>
      </c>
      <c r="H430">
        <f t="shared" si="13"/>
        <v>2343</v>
      </c>
      <c r="S430">
        <v>2343</v>
      </c>
    </row>
    <row r="431" spans="6:19" x14ac:dyDescent="0.3">
      <c r="F431">
        <v>680</v>
      </c>
      <c r="G431">
        <v>1074</v>
      </c>
      <c r="H431">
        <f t="shared" si="13"/>
        <v>1754</v>
      </c>
      <c r="S431">
        <v>1754</v>
      </c>
    </row>
    <row r="432" spans="6:19" x14ac:dyDescent="0.3">
      <c r="F432">
        <v>673</v>
      </c>
      <c r="G432">
        <v>1063</v>
      </c>
      <c r="H432">
        <f t="shared" si="13"/>
        <v>1736</v>
      </c>
      <c r="S432">
        <v>1736</v>
      </c>
    </row>
    <row r="433" spans="6:19" x14ac:dyDescent="0.3">
      <c r="F433">
        <v>665</v>
      </c>
      <c r="G433">
        <v>1054</v>
      </c>
      <c r="H433">
        <f t="shared" si="13"/>
        <v>1719</v>
      </c>
      <c r="S433">
        <v>1719</v>
      </c>
    </row>
    <row r="434" spans="6:19" x14ac:dyDescent="0.3">
      <c r="F434">
        <v>838</v>
      </c>
      <c r="G434">
        <v>1249</v>
      </c>
      <c r="H434">
        <f t="shared" si="13"/>
        <v>2087</v>
      </c>
      <c r="S434">
        <v>2087</v>
      </c>
    </row>
    <row r="435" spans="6:19" x14ac:dyDescent="0.3">
      <c r="F435">
        <v>1017</v>
      </c>
      <c r="G435">
        <v>1233</v>
      </c>
      <c r="H435">
        <f t="shared" si="13"/>
        <v>2250</v>
      </c>
      <c r="S435">
        <v>2250</v>
      </c>
    </row>
    <row r="436" spans="6:19" x14ac:dyDescent="0.3">
      <c r="F436">
        <v>595</v>
      </c>
      <c r="G436">
        <v>1017</v>
      </c>
      <c r="H436">
        <f t="shared" si="13"/>
        <v>1612</v>
      </c>
      <c r="S436">
        <v>1612</v>
      </c>
    </row>
    <row r="437" spans="6:19" x14ac:dyDescent="0.3">
      <c r="F437">
        <v>608</v>
      </c>
      <c r="G437">
        <v>1000</v>
      </c>
      <c r="H437">
        <f t="shared" si="13"/>
        <v>1608</v>
      </c>
      <c r="S437">
        <v>1608</v>
      </c>
    </row>
    <row r="438" spans="6:19" x14ac:dyDescent="0.3">
      <c r="F438">
        <v>867</v>
      </c>
      <c r="G438">
        <v>1289</v>
      </c>
      <c r="H438">
        <f t="shared" si="13"/>
        <v>2156</v>
      </c>
      <c r="S438">
        <v>2156</v>
      </c>
    </row>
    <row r="439" spans="6:19" x14ac:dyDescent="0.3">
      <c r="F439">
        <v>1061</v>
      </c>
      <c r="G439">
        <v>1233</v>
      </c>
      <c r="H439">
        <f t="shared" si="13"/>
        <v>2294</v>
      </c>
      <c r="S439">
        <v>2294</v>
      </c>
    </row>
    <row r="440" spans="6:19" x14ac:dyDescent="0.3">
      <c r="F440">
        <v>587</v>
      </c>
      <c r="G440">
        <v>979</v>
      </c>
      <c r="H440">
        <f t="shared" si="13"/>
        <v>1566</v>
      </c>
      <c r="S440">
        <v>1566</v>
      </c>
    </row>
    <row r="441" spans="6:19" x14ac:dyDescent="0.3">
      <c r="F441">
        <v>718</v>
      </c>
      <c r="G441">
        <v>1107</v>
      </c>
      <c r="H441">
        <f t="shared" si="13"/>
        <v>1825</v>
      </c>
      <c r="S441">
        <v>1825</v>
      </c>
    </row>
    <row r="442" spans="6:19" x14ac:dyDescent="0.3">
      <c r="F442">
        <v>1073</v>
      </c>
      <c r="G442">
        <v>1318</v>
      </c>
      <c r="H442">
        <f t="shared" si="13"/>
        <v>2391</v>
      </c>
      <c r="S442">
        <v>2391</v>
      </c>
    </row>
    <row r="443" spans="6:19" x14ac:dyDescent="0.3">
      <c r="F443">
        <v>1083</v>
      </c>
      <c r="G443">
        <v>1317</v>
      </c>
      <c r="H443">
        <f t="shared" si="13"/>
        <v>2400</v>
      </c>
      <c r="S443">
        <v>2400</v>
      </c>
    </row>
    <row r="444" spans="6:19" x14ac:dyDescent="0.3">
      <c r="F444">
        <v>1069</v>
      </c>
      <c r="G444">
        <v>1301</v>
      </c>
      <c r="H444">
        <f t="shared" si="13"/>
        <v>2370</v>
      </c>
      <c r="S444">
        <v>2370</v>
      </c>
    </row>
    <row r="445" spans="6:19" x14ac:dyDescent="0.3">
      <c r="F445">
        <v>1061</v>
      </c>
      <c r="G445">
        <v>1296</v>
      </c>
      <c r="H445">
        <f t="shared" si="13"/>
        <v>2357</v>
      </c>
      <c r="S445">
        <v>2357</v>
      </c>
    </row>
    <row r="446" spans="6:19" x14ac:dyDescent="0.3">
      <c r="F446">
        <v>1061</v>
      </c>
      <c r="G446">
        <v>1283</v>
      </c>
      <c r="H446">
        <f t="shared" si="13"/>
        <v>2344</v>
      </c>
      <c r="S446">
        <v>2344</v>
      </c>
    </row>
    <row r="447" spans="6:19" x14ac:dyDescent="0.3">
      <c r="F447">
        <v>1071</v>
      </c>
      <c r="G447">
        <v>1262</v>
      </c>
      <c r="H447">
        <f t="shared" si="13"/>
        <v>2333</v>
      </c>
      <c r="S447">
        <v>2333</v>
      </c>
    </row>
    <row r="448" spans="6:19" x14ac:dyDescent="0.3">
      <c r="F448">
        <v>1076</v>
      </c>
      <c r="G448">
        <v>1261</v>
      </c>
      <c r="H448">
        <f t="shared" si="13"/>
        <v>2337</v>
      </c>
      <c r="S448">
        <v>2337</v>
      </c>
    </row>
    <row r="449" spans="6:19" x14ac:dyDescent="0.3">
      <c r="F449">
        <v>1049</v>
      </c>
      <c r="G449">
        <v>1267</v>
      </c>
      <c r="H449">
        <f t="shared" si="13"/>
        <v>2316</v>
      </c>
      <c r="S449">
        <v>2316</v>
      </c>
    </row>
    <row r="450" spans="6:19" x14ac:dyDescent="0.3">
      <c r="F450">
        <v>1064</v>
      </c>
      <c r="G450">
        <v>1255</v>
      </c>
      <c r="H450">
        <f t="shared" ref="H450:H513" si="14">F450+G450</f>
        <v>2319</v>
      </c>
      <c r="S450">
        <v>2319</v>
      </c>
    </row>
    <row r="451" spans="6:19" x14ac:dyDescent="0.3">
      <c r="F451">
        <v>1055</v>
      </c>
      <c r="G451">
        <v>1286</v>
      </c>
      <c r="H451">
        <f t="shared" si="14"/>
        <v>2341</v>
      </c>
      <c r="S451">
        <v>2341</v>
      </c>
    </row>
    <row r="452" spans="6:19" x14ac:dyDescent="0.3">
      <c r="F452">
        <v>1051</v>
      </c>
      <c r="G452">
        <v>1282</v>
      </c>
      <c r="H452">
        <f t="shared" si="14"/>
        <v>2333</v>
      </c>
      <c r="S452">
        <v>2333</v>
      </c>
    </row>
    <row r="453" spans="6:19" x14ac:dyDescent="0.3">
      <c r="F453">
        <v>1059</v>
      </c>
      <c r="G453">
        <v>1290</v>
      </c>
      <c r="H453">
        <f t="shared" si="14"/>
        <v>2349</v>
      </c>
      <c r="S453">
        <v>2349</v>
      </c>
    </row>
    <row r="454" spans="6:19" x14ac:dyDescent="0.3">
      <c r="F454">
        <v>1050</v>
      </c>
      <c r="G454">
        <v>1293</v>
      </c>
      <c r="H454">
        <f t="shared" si="14"/>
        <v>2343</v>
      </c>
      <c r="S454">
        <v>2343</v>
      </c>
    </row>
    <row r="455" spans="6:19" x14ac:dyDescent="0.3">
      <c r="F455">
        <v>1038</v>
      </c>
      <c r="G455">
        <v>1312</v>
      </c>
      <c r="H455">
        <f t="shared" si="14"/>
        <v>2350</v>
      </c>
      <c r="S455">
        <v>2350</v>
      </c>
    </row>
    <row r="456" spans="6:19" x14ac:dyDescent="0.3">
      <c r="F456">
        <v>1001</v>
      </c>
      <c r="G456">
        <v>1325</v>
      </c>
      <c r="H456">
        <f t="shared" si="14"/>
        <v>2326</v>
      </c>
      <c r="S456">
        <v>2326</v>
      </c>
    </row>
    <row r="457" spans="6:19" x14ac:dyDescent="0.3">
      <c r="F457">
        <v>558</v>
      </c>
      <c r="G457">
        <v>962</v>
      </c>
      <c r="H457">
        <f t="shared" si="14"/>
        <v>1520</v>
      </c>
      <c r="S457">
        <v>1520</v>
      </c>
    </row>
    <row r="458" spans="6:19" x14ac:dyDescent="0.3">
      <c r="F458">
        <v>654</v>
      </c>
      <c r="G458">
        <v>1077</v>
      </c>
      <c r="H458">
        <f t="shared" si="14"/>
        <v>1731</v>
      </c>
      <c r="S458">
        <v>1731</v>
      </c>
    </row>
    <row r="459" spans="6:19" x14ac:dyDescent="0.3">
      <c r="F459">
        <v>663</v>
      </c>
      <c r="G459">
        <v>940</v>
      </c>
      <c r="H459">
        <f t="shared" si="14"/>
        <v>1603</v>
      </c>
      <c r="S459">
        <v>1603</v>
      </c>
    </row>
    <row r="460" spans="6:19" x14ac:dyDescent="0.3">
      <c r="F460">
        <v>543</v>
      </c>
      <c r="G460">
        <v>875</v>
      </c>
      <c r="H460">
        <f t="shared" si="14"/>
        <v>1418</v>
      </c>
      <c r="S460">
        <v>1418</v>
      </c>
    </row>
    <row r="461" spans="6:19" x14ac:dyDescent="0.3">
      <c r="F461">
        <v>741</v>
      </c>
      <c r="G461">
        <v>990</v>
      </c>
      <c r="H461">
        <f t="shared" si="14"/>
        <v>1731</v>
      </c>
      <c r="S461">
        <v>1731</v>
      </c>
    </row>
    <row r="462" spans="6:19" x14ac:dyDescent="0.3">
      <c r="F462">
        <v>883</v>
      </c>
      <c r="G462">
        <v>1011</v>
      </c>
      <c r="H462">
        <f t="shared" si="14"/>
        <v>1894</v>
      </c>
      <c r="S462">
        <v>1894</v>
      </c>
    </row>
    <row r="463" spans="6:19" x14ac:dyDescent="0.3">
      <c r="F463">
        <v>645</v>
      </c>
      <c r="G463">
        <v>861</v>
      </c>
      <c r="H463">
        <f t="shared" si="14"/>
        <v>1506</v>
      </c>
      <c r="S463">
        <v>1506</v>
      </c>
    </row>
    <row r="464" spans="6:19" x14ac:dyDescent="0.3">
      <c r="F464">
        <v>678</v>
      </c>
      <c r="G464">
        <v>968</v>
      </c>
      <c r="H464">
        <f t="shared" si="14"/>
        <v>1646</v>
      </c>
      <c r="S464">
        <v>1646</v>
      </c>
    </row>
    <row r="465" spans="6:19" x14ac:dyDescent="0.3">
      <c r="F465">
        <v>714</v>
      </c>
      <c r="G465">
        <v>940</v>
      </c>
      <c r="H465">
        <f t="shared" si="14"/>
        <v>1654</v>
      </c>
      <c r="S465">
        <v>1654</v>
      </c>
    </row>
    <row r="466" spans="6:19" x14ac:dyDescent="0.3">
      <c r="F466">
        <v>474</v>
      </c>
      <c r="G466">
        <v>838</v>
      </c>
      <c r="H466">
        <f t="shared" si="14"/>
        <v>1312</v>
      </c>
      <c r="S466">
        <v>1312</v>
      </c>
    </row>
    <row r="467" spans="6:19" x14ac:dyDescent="0.3">
      <c r="F467">
        <v>515</v>
      </c>
      <c r="G467">
        <v>526</v>
      </c>
      <c r="H467">
        <f t="shared" si="14"/>
        <v>1041</v>
      </c>
      <c r="S467">
        <v>1041</v>
      </c>
    </row>
    <row r="468" spans="6:19" x14ac:dyDescent="0.3">
      <c r="F468">
        <v>516</v>
      </c>
      <c r="G468">
        <v>527</v>
      </c>
      <c r="H468">
        <f t="shared" si="14"/>
        <v>1043</v>
      </c>
      <c r="S468">
        <v>1043</v>
      </c>
    </row>
    <row r="469" spans="6:19" x14ac:dyDescent="0.3">
      <c r="F469">
        <v>530</v>
      </c>
      <c r="G469">
        <v>542</v>
      </c>
      <c r="H469">
        <f t="shared" si="14"/>
        <v>1072</v>
      </c>
      <c r="S469">
        <v>1072</v>
      </c>
    </row>
    <row r="470" spans="6:19" x14ac:dyDescent="0.3">
      <c r="F470">
        <v>1033</v>
      </c>
      <c r="G470">
        <v>1210</v>
      </c>
      <c r="H470">
        <f t="shared" si="14"/>
        <v>2243</v>
      </c>
      <c r="S470">
        <v>2243</v>
      </c>
    </row>
    <row r="471" spans="6:19" x14ac:dyDescent="0.3">
      <c r="F471">
        <v>1080</v>
      </c>
      <c r="G471">
        <v>1275</v>
      </c>
      <c r="H471">
        <f t="shared" si="14"/>
        <v>2355</v>
      </c>
      <c r="S471">
        <v>2355</v>
      </c>
    </row>
    <row r="472" spans="6:19" x14ac:dyDescent="0.3">
      <c r="F472">
        <v>1064</v>
      </c>
      <c r="G472">
        <v>1270</v>
      </c>
      <c r="H472">
        <f t="shared" si="14"/>
        <v>2334</v>
      </c>
      <c r="S472">
        <v>2334</v>
      </c>
    </row>
    <row r="473" spans="6:19" x14ac:dyDescent="0.3">
      <c r="F473">
        <v>1084</v>
      </c>
      <c r="G473">
        <v>1267</v>
      </c>
      <c r="H473">
        <f t="shared" si="14"/>
        <v>2351</v>
      </c>
      <c r="S473">
        <v>2351</v>
      </c>
    </row>
    <row r="474" spans="6:19" x14ac:dyDescent="0.3">
      <c r="F474">
        <v>1070</v>
      </c>
      <c r="G474">
        <v>1271</v>
      </c>
      <c r="H474">
        <f t="shared" si="14"/>
        <v>2341</v>
      </c>
      <c r="S474">
        <v>2341</v>
      </c>
    </row>
    <row r="475" spans="6:19" x14ac:dyDescent="0.3">
      <c r="F475">
        <v>1073</v>
      </c>
      <c r="G475">
        <v>1266</v>
      </c>
      <c r="H475">
        <f t="shared" si="14"/>
        <v>2339</v>
      </c>
      <c r="S475">
        <v>2339</v>
      </c>
    </row>
    <row r="476" spans="6:19" x14ac:dyDescent="0.3">
      <c r="F476">
        <v>1062</v>
      </c>
      <c r="G476">
        <v>1267</v>
      </c>
      <c r="H476">
        <f t="shared" si="14"/>
        <v>2329</v>
      </c>
      <c r="S476">
        <v>2329</v>
      </c>
    </row>
    <row r="477" spans="6:19" x14ac:dyDescent="0.3">
      <c r="F477">
        <v>1079</v>
      </c>
      <c r="G477">
        <v>1264</v>
      </c>
      <c r="H477">
        <f t="shared" si="14"/>
        <v>2343</v>
      </c>
      <c r="S477">
        <v>2343</v>
      </c>
    </row>
    <row r="478" spans="6:19" x14ac:dyDescent="0.3">
      <c r="F478">
        <v>1078</v>
      </c>
      <c r="G478">
        <v>1262</v>
      </c>
      <c r="H478">
        <f t="shared" si="14"/>
        <v>2340</v>
      </c>
      <c r="S478">
        <v>2340</v>
      </c>
    </row>
    <row r="479" spans="6:19" x14ac:dyDescent="0.3">
      <c r="F479">
        <v>1055</v>
      </c>
      <c r="G479">
        <v>1270</v>
      </c>
      <c r="H479">
        <f t="shared" si="14"/>
        <v>2325</v>
      </c>
      <c r="S479">
        <v>2325</v>
      </c>
    </row>
    <row r="480" spans="6:19" x14ac:dyDescent="0.3">
      <c r="F480">
        <v>1075</v>
      </c>
      <c r="G480">
        <v>1268</v>
      </c>
      <c r="H480">
        <f t="shared" si="14"/>
        <v>2343</v>
      </c>
      <c r="S480">
        <v>2343</v>
      </c>
    </row>
    <row r="481" spans="6:19" x14ac:dyDescent="0.3">
      <c r="F481">
        <v>1082</v>
      </c>
      <c r="G481">
        <v>1258</v>
      </c>
      <c r="H481">
        <f t="shared" si="14"/>
        <v>2340</v>
      </c>
      <c r="S481">
        <v>2340</v>
      </c>
    </row>
    <row r="482" spans="6:19" x14ac:dyDescent="0.3">
      <c r="F482">
        <v>1089</v>
      </c>
      <c r="G482">
        <v>1263</v>
      </c>
      <c r="H482">
        <f t="shared" si="14"/>
        <v>2352</v>
      </c>
      <c r="S482">
        <v>2352</v>
      </c>
    </row>
    <row r="483" spans="6:19" x14ac:dyDescent="0.3">
      <c r="F483">
        <v>1064</v>
      </c>
      <c r="G483">
        <v>1274</v>
      </c>
      <c r="H483">
        <f t="shared" si="14"/>
        <v>2338</v>
      </c>
      <c r="S483">
        <v>2338</v>
      </c>
    </row>
    <row r="484" spans="6:19" x14ac:dyDescent="0.3">
      <c r="F484">
        <v>1078</v>
      </c>
      <c r="G484">
        <v>1268</v>
      </c>
      <c r="H484">
        <f t="shared" si="14"/>
        <v>2346</v>
      </c>
      <c r="S484">
        <v>2346</v>
      </c>
    </row>
    <row r="485" spans="6:19" x14ac:dyDescent="0.3">
      <c r="F485">
        <v>1093</v>
      </c>
      <c r="G485">
        <v>1274</v>
      </c>
      <c r="H485">
        <f t="shared" si="14"/>
        <v>2367</v>
      </c>
      <c r="S485">
        <v>2367</v>
      </c>
    </row>
    <row r="486" spans="6:19" x14ac:dyDescent="0.3">
      <c r="F486">
        <v>1073</v>
      </c>
      <c r="G486">
        <v>1272</v>
      </c>
      <c r="H486">
        <f t="shared" si="14"/>
        <v>2345</v>
      </c>
      <c r="S486">
        <v>2345</v>
      </c>
    </row>
    <row r="487" spans="6:19" x14ac:dyDescent="0.3">
      <c r="F487">
        <v>1092</v>
      </c>
      <c r="G487">
        <v>1262</v>
      </c>
      <c r="H487">
        <f t="shared" si="14"/>
        <v>2354</v>
      </c>
      <c r="S487">
        <v>2354</v>
      </c>
    </row>
    <row r="488" spans="6:19" x14ac:dyDescent="0.3">
      <c r="F488">
        <v>1101</v>
      </c>
      <c r="G488">
        <v>1260</v>
      </c>
      <c r="H488">
        <f t="shared" si="14"/>
        <v>2361</v>
      </c>
      <c r="S488">
        <v>2361</v>
      </c>
    </row>
    <row r="489" spans="6:19" x14ac:dyDescent="0.3">
      <c r="F489">
        <v>1074</v>
      </c>
      <c r="G489">
        <v>1296</v>
      </c>
      <c r="H489">
        <f t="shared" si="14"/>
        <v>2370</v>
      </c>
      <c r="S489">
        <v>2370</v>
      </c>
    </row>
    <row r="490" spans="6:19" x14ac:dyDescent="0.3">
      <c r="F490">
        <v>1125</v>
      </c>
      <c r="G490">
        <v>1269</v>
      </c>
      <c r="H490">
        <f t="shared" si="14"/>
        <v>2394</v>
      </c>
      <c r="S490">
        <v>2394</v>
      </c>
    </row>
    <row r="491" spans="6:19" x14ac:dyDescent="0.3">
      <c r="F491">
        <v>1142</v>
      </c>
      <c r="G491">
        <v>1242</v>
      </c>
      <c r="H491">
        <f t="shared" si="14"/>
        <v>2384</v>
      </c>
      <c r="S491">
        <v>2384</v>
      </c>
    </row>
    <row r="492" spans="6:19" x14ac:dyDescent="0.3">
      <c r="F492">
        <v>1084</v>
      </c>
      <c r="G492">
        <v>1293</v>
      </c>
      <c r="H492">
        <f t="shared" si="14"/>
        <v>2377</v>
      </c>
      <c r="S492">
        <v>2377</v>
      </c>
    </row>
    <row r="493" spans="6:19" x14ac:dyDescent="0.3">
      <c r="F493">
        <v>1027</v>
      </c>
      <c r="G493">
        <v>1337</v>
      </c>
      <c r="H493">
        <f t="shared" si="14"/>
        <v>2364</v>
      </c>
      <c r="S493">
        <v>2364</v>
      </c>
    </row>
    <row r="494" spans="6:19" x14ac:dyDescent="0.3">
      <c r="F494">
        <v>664</v>
      </c>
      <c r="G494">
        <v>1058</v>
      </c>
      <c r="H494">
        <f t="shared" si="14"/>
        <v>1722</v>
      </c>
      <c r="S494">
        <v>1722</v>
      </c>
    </row>
    <row r="495" spans="6:19" x14ac:dyDescent="0.3">
      <c r="F495">
        <v>554</v>
      </c>
      <c r="G495">
        <v>864</v>
      </c>
      <c r="H495">
        <f t="shared" si="14"/>
        <v>1418</v>
      </c>
      <c r="S495">
        <v>1418</v>
      </c>
    </row>
    <row r="496" spans="6:19" x14ac:dyDescent="0.3">
      <c r="F496">
        <v>704</v>
      </c>
      <c r="G496">
        <v>909</v>
      </c>
      <c r="H496">
        <f t="shared" si="14"/>
        <v>1613</v>
      </c>
      <c r="S496">
        <v>1613</v>
      </c>
    </row>
    <row r="497" spans="6:19" x14ac:dyDescent="0.3">
      <c r="F497">
        <v>472</v>
      </c>
      <c r="G497">
        <v>692</v>
      </c>
      <c r="H497">
        <f t="shared" si="14"/>
        <v>1164</v>
      </c>
      <c r="S497">
        <v>1164</v>
      </c>
    </row>
    <row r="498" spans="6:19" x14ac:dyDescent="0.3">
      <c r="F498">
        <v>487</v>
      </c>
      <c r="G498">
        <v>495</v>
      </c>
      <c r="H498">
        <f t="shared" si="14"/>
        <v>982</v>
      </c>
      <c r="S498">
        <v>982</v>
      </c>
    </row>
    <row r="499" spans="6:19" x14ac:dyDescent="0.3">
      <c r="F499">
        <v>483</v>
      </c>
      <c r="G499">
        <v>493</v>
      </c>
      <c r="H499">
        <f t="shared" si="14"/>
        <v>976</v>
      </c>
      <c r="S499">
        <v>976</v>
      </c>
    </row>
    <row r="500" spans="6:19" x14ac:dyDescent="0.3">
      <c r="F500">
        <v>487</v>
      </c>
      <c r="G500">
        <v>497</v>
      </c>
      <c r="H500">
        <f t="shared" si="14"/>
        <v>984</v>
      </c>
      <c r="S500">
        <v>984</v>
      </c>
    </row>
    <row r="501" spans="6:19" x14ac:dyDescent="0.3">
      <c r="F501">
        <v>485</v>
      </c>
      <c r="G501">
        <v>495</v>
      </c>
      <c r="H501">
        <f t="shared" si="14"/>
        <v>980</v>
      </c>
      <c r="S501">
        <v>980</v>
      </c>
    </row>
    <row r="502" spans="6:19" x14ac:dyDescent="0.3">
      <c r="F502">
        <v>490</v>
      </c>
      <c r="G502">
        <v>501</v>
      </c>
      <c r="H502">
        <f t="shared" si="14"/>
        <v>991</v>
      </c>
      <c r="S502">
        <v>991</v>
      </c>
    </row>
    <row r="503" spans="6:19" x14ac:dyDescent="0.3">
      <c r="F503">
        <v>636</v>
      </c>
      <c r="G503">
        <v>702</v>
      </c>
      <c r="H503">
        <f t="shared" si="14"/>
        <v>1338</v>
      </c>
      <c r="S503">
        <v>1338</v>
      </c>
    </row>
    <row r="504" spans="6:19" x14ac:dyDescent="0.3">
      <c r="F504">
        <v>957</v>
      </c>
      <c r="G504">
        <v>1116</v>
      </c>
      <c r="H504">
        <f t="shared" si="14"/>
        <v>2073</v>
      </c>
      <c r="S504">
        <v>2073</v>
      </c>
    </row>
    <row r="505" spans="6:19" x14ac:dyDescent="0.3">
      <c r="F505">
        <v>1063</v>
      </c>
      <c r="G505">
        <v>1314</v>
      </c>
      <c r="H505">
        <f t="shared" si="14"/>
        <v>2377</v>
      </c>
      <c r="S505">
        <v>2377</v>
      </c>
    </row>
    <row r="506" spans="6:19" x14ac:dyDescent="0.3">
      <c r="F506">
        <v>1059</v>
      </c>
      <c r="G506">
        <v>1315</v>
      </c>
      <c r="H506">
        <f t="shared" si="14"/>
        <v>2374</v>
      </c>
      <c r="S506">
        <v>2374</v>
      </c>
    </row>
    <row r="507" spans="6:19" x14ac:dyDescent="0.3">
      <c r="F507">
        <v>1080</v>
      </c>
      <c r="G507">
        <v>1302</v>
      </c>
      <c r="H507">
        <f t="shared" si="14"/>
        <v>2382</v>
      </c>
      <c r="S507">
        <v>2382</v>
      </c>
    </row>
    <row r="508" spans="6:19" x14ac:dyDescent="0.3">
      <c r="F508">
        <v>1088</v>
      </c>
      <c r="G508">
        <v>1309</v>
      </c>
      <c r="H508">
        <f t="shared" si="14"/>
        <v>2397</v>
      </c>
      <c r="S508">
        <v>2397</v>
      </c>
    </row>
    <row r="509" spans="6:19" x14ac:dyDescent="0.3">
      <c r="F509">
        <v>1098</v>
      </c>
      <c r="G509">
        <v>1301</v>
      </c>
      <c r="H509">
        <f t="shared" si="14"/>
        <v>2399</v>
      </c>
      <c r="S509">
        <v>2399</v>
      </c>
    </row>
    <row r="510" spans="6:19" x14ac:dyDescent="0.3">
      <c r="F510">
        <v>1092</v>
      </c>
      <c r="G510">
        <v>1306</v>
      </c>
      <c r="H510">
        <f t="shared" si="14"/>
        <v>2398</v>
      </c>
      <c r="S510">
        <v>2398</v>
      </c>
    </row>
    <row r="511" spans="6:19" x14ac:dyDescent="0.3">
      <c r="F511">
        <v>1090</v>
      </c>
      <c r="G511">
        <v>1314</v>
      </c>
      <c r="H511">
        <f t="shared" si="14"/>
        <v>2404</v>
      </c>
      <c r="S511">
        <v>2404</v>
      </c>
    </row>
    <row r="512" spans="6:19" x14ac:dyDescent="0.3">
      <c r="F512">
        <v>1097</v>
      </c>
      <c r="G512">
        <v>1313</v>
      </c>
      <c r="H512">
        <f t="shared" si="14"/>
        <v>2410</v>
      </c>
      <c r="S512">
        <v>2410</v>
      </c>
    </row>
    <row r="513" spans="6:19" x14ac:dyDescent="0.3">
      <c r="F513">
        <v>1108</v>
      </c>
      <c r="G513">
        <v>1284</v>
      </c>
      <c r="H513">
        <f t="shared" si="14"/>
        <v>2392</v>
      </c>
      <c r="S513">
        <v>2392</v>
      </c>
    </row>
    <row r="514" spans="6:19" x14ac:dyDescent="0.3">
      <c r="F514">
        <v>1083</v>
      </c>
      <c r="G514">
        <v>1310</v>
      </c>
      <c r="H514">
        <f t="shared" ref="H514:H577" si="15">F514+G514</f>
        <v>2393</v>
      </c>
      <c r="S514">
        <v>2393</v>
      </c>
    </row>
    <row r="515" spans="6:19" x14ac:dyDescent="0.3">
      <c r="F515">
        <v>1107</v>
      </c>
      <c r="G515">
        <v>1302</v>
      </c>
      <c r="H515">
        <f t="shared" si="15"/>
        <v>2409</v>
      </c>
      <c r="S515">
        <v>2409</v>
      </c>
    </row>
    <row r="516" spans="6:19" x14ac:dyDescent="0.3">
      <c r="F516">
        <v>1104</v>
      </c>
      <c r="G516">
        <v>1290</v>
      </c>
      <c r="H516">
        <f t="shared" si="15"/>
        <v>2394</v>
      </c>
      <c r="S516">
        <v>2394</v>
      </c>
    </row>
    <row r="517" spans="6:19" x14ac:dyDescent="0.3">
      <c r="F517">
        <v>1096</v>
      </c>
      <c r="G517">
        <v>1316</v>
      </c>
      <c r="H517">
        <f t="shared" si="15"/>
        <v>2412</v>
      </c>
      <c r="S517">
        <v>2412</v>
      </c>
    </row>
    <row r="518" spans="6:19" x14ac:dyDescent="0.3">
      <c r="F518">
        <v>1093</v>
      </c>
      <c r="G518">
        <v>1319</v>
      </c>
      <c r="H518">
        <f t="shared" si="15"/>
        <v>2412</v>
      </c>
      <c r="S518">
        <v>2412</v>
      </c>
    </row>
    <row r="519" spans="6:19" x14ac:dyDescent="0.3">
      <c r="F519">
        <v>1110</v>
      </c>
      <c r="G519">
        <v>1305</v>
      </c>
      <c r="H519">
        <f t="shared" si="15"/>
        <v>2415</v>
      </c>
      <c r="S519">
        <v>2415</v>
      </c>
    </row>
    <row r="520" spans="6:19" x14ac:dyDescent="0.3">
      <c r="F520">
        <v>1093</v>
      </c>
      <c r="G520">
        <v>1306</v>
      </c>
      <c r="H520">
        <f t="shared" si="15"/>
        <v>2399</v>
      </c>
      <c r="S520">
        <v>2399</v>
      </c>
    </row>
    <row r="521" spans="6:19" x14ac:dyDescent="0.3">
      <c r="F521">
        <v>1066</v>
      </c>
      <c r="G521">
        <v>1307</v>
      </c>
      <c r="H521">
        <f t="shared" si="15"/>
        <v>2373</v>
      </c>
      <c r="S521">
        <v>2373</v>
      </c>
    </row>
    <row r="522" spans="6:19" x14ac:dyDescent="0.3">
      <c r="F522">
        <v>1102</v>
      </c>
      <c r="G522">
        <v>1276</v>
      </c>
      <c r="H522">
        <f t="shared" si="15"/>
        <v>2378</v>
      </c>
      <c r="S522">
        <v>2378</v>
      </c>
    </row>
    <row r="523" spans="6:19" x14ac:dyDescent="0.3">
      <c r="F523">
        <v>1085</v>
      </c>
      <c r="G523">
        <v>1295</v>
      </c>
      <c r="H523">
        <f t="shared" si="15"/>
        <v>2380</v>
      </c>
      <c r="S523">
        <v>2380</v>
      </c>
    </row>
    <row r="524" spans="6:19" x14ac:dyDescent="0.3">
      <c r="F524">
        <v>1074</v>
      </c>
      <c r="G524">
        <v>1313</v>
      </c>
      <c r="H524">
        <f t="shared" si="15"/>
        <v>2387</v>
      </c>
      <c r="S524">
        <v>2387</v>
      </c>
    </row>
    <row r="525" spans="6:19" x14ac:dyDescent="0.3">
      <c r="F525">
        <v>1020</v>
      </c>
      <c r="G525">
        <v>1355</v>
      </c>
      <c r="H525">
        <f t="shared" si="15"/>
        <v>2375</v>
      </c>
      <c r="S525">
        <v>2375</v>
      </c>
    </row>
    <row r="526" spans="6:19" x14ac:dyDescent="0.3">
      <c r="F526">
        <v>524</v>
      </c>
      <c r="G526">
        <v>894</v>
      </c>
      <c r="H526">
        <f t="shared" si="15"/>
        <v>1418</v>
      </c>
      <c r="S526">
        <v>1418</v>
      </c>
    </row>
    <row r="527" spans="6:19" x14ac:dyDescent="0.3">
      <c r="F527">
        <v>678</v>
      </c>
      <c r="G527">
        <v>1016</v>
      </c>
      <c r="H527">
        <f t="shared" si="15"/>
        <v>1694</v>
      </c>
      <c r="S527">
        <v>1694</v>
      </c>
    </row>
    <row r="528" spans="6:19" x14ac:dyDescent="0.3">
      <c r="F528">
        <v>647</v>
      </c>
      <c r="G528">
        <v>890</v>
      </c>
      <c r="H528">
        <f t="shared" si="15"/>
        <v>1537</v>
      </c>
      <c r="S528">
        <v>1537</v>
      </c>
    </row>
    <row r="529" spans="6:19" x14ac:dyDescent="0.3">
      <c r="F529">
        <v>502</v>
      </c>
      <c r="G529">
        <v>865</v>
      </c>
      <c r="H529">
        <f t="shared" si="15"/>
        <v>1367</v>
      </c>
      <c r="S529">
        <v>1367</v>
      </c>
    </row>
    <row r="530" spans="6:19" x14ac:dyDescent="0.3">
      <c r="F530">
        <v>482</v>
      </c>
      <c r="G530">
        <v>491</v>
      </c>
      <c r="H530">
        <f t="shared" si="15"/>
        <v>973</v>
      </c>
      <c r="S530">
        <v>973</v>
      </c>
    </row>
    <row r="531" spans="6:19" x14ac:dyDescent="0.3">
      <c r="F531">
        <v>496</v>
      </c>
      <c r="G531">
        <v>507</v>
      </c>
      <c r="H531">
        <f t="shared" si="15"/>
        <v>1003</v>
      </c>
      <c r="S531">
        <v>1003</v>
      </c>
    </row>
    <row r="532" spans="6:19" x14ac:dyDescent="0.3">
      <c r="F532">
        <v>484</v>
      </c>
      <c r="G532">
        <v>495</v>
      </c>
      <c r="H532">
        <f t="shared" si="15"/>
        <v>979</v>
      </c>
      <c r="S532">
        <v>979</v>
      </c>
    </row>
    <row r="533" spans="6:19" x14ac:dyDescent="0.3">
      <c r="F533">
        <v>511</v>
      </c>
      <c r="G533">
        <v>522</v>
      </c>
      <c r="H533">
        <f t="shared" si="15"/>
        <v>1033</v>
      </c>
      <c r="S533">
        <v>1033</v>
      </c>
    </row>
    <row r="534" spans="6:19" x14ac:dyDescent="0.3">
      <c r="F534">
        <v>954</v>
      </c>
      <c r="G534">
        <v>1084</v>
      </c>
      <c r="H534">
        <f t="shared" si="15"/>
        <v>2038</v>
      </c>
      <c r="S534">
        <v>2038</v>
      </c>
    </row>
    <row r="535" spans="6:19" x14ac:dyDescent="0.3">
      <c r="F535">
        <v>1079</v>
      </c>
      <c r="G535">
        <v>1291</v>
      </c>
      <c r="H535">
        <f t="shared" si="15"/>
        <v>2370</v>
      </c>
      <c r="S535">
        <v>2370</v>
      </c>
    </row>
    <row r="536" spans="6:19" x14ac:dyDescent="0.3">
      <c r="F536">
        <v>1092</v>
      </c>
      <c r="G536">
        <v>1299</v>
      </c>
      <c r="H536">
        <f t="shared" si="15"/>
        <v>2391</v>
      </c>
      <c r="S536">
        <v>2391</v>
      </c>
    </row>
    <row r="537" spans="6:19" x14ac:dyDescent="0.3">
      <c r="F537">
        <v>1064</v>
      </c>
      <c r="G537">
        <v>1310</v>
      </c>
      <c r="H537">
        <f t="shared" si="15"/>
        <v>2374</v>
      </c>
      <c r="S537">
        <v>2374</v>
      </c>
    </row>
    <row r="538" spans="6:19" x14ac:dyDescent="0.3">
      <c r="F538">
        <v>1093</v>
      </c>
      <c r="G538">
        <v>1280</v>
      </c>
      <c r="H538">
        <f t="shared" si="15"/>
        <v>2373</v>
      </c>
      <c r="S538">
        <v>2373</v>
      </c>
    </row>
    <row r="539" spans="6:19" x14ac:dyDescent="0.3">
      <c r="F539">
        <v>1093</v>
      </c>
      <c r="G539">
        <v>1296</v>
      </c>
      <c r="H539">
        <f t="shared" si="15"/>
        <v>2389</v>
      </c>
      <c r="S539">
        <v>2389</v>
      </c>
    </row>
    <row r="540" spans="6:19" x14ac:dyDescent="0.3">
      <c r="F540">
        <v>1096</v>
      </c>
      <c r="G540">
        <v>1270</v>
      </c>
      <c r="H540">
        <f t="shared" si="15"/>
        <v>2366</v>
      </c>
      <c r="S540">
        <v>2366</v>
      </c>
    </row>
    <row r="541" spans="6:19" x14ac:dyDescent="0.3">
      <c r="F541">
        <v>1084</v>
      </c>
      <c r="G541">
        <v>1290</v>
      </c>
      <c r="H541">
        <f t="shared" si="15"/>
        <v>2374</v>
      </c>
      <c r="S541">
        <v>2374</v>
      </c>
    </row>
    <row r="542" spans="6:19" x14ac:dyDescent="0.3">
      <c r="F542">
        <v>1091</v>
      </c>
      <c r="G542">
        <v>1285</v>
      </c>
      <c r="H542">
        <f t="shared" si="15"/>
        <v>2376</v>
      </c>
      <c r="S542">
        <v>2376</v>
      </c>
    </row>
    <row r="543" spans="6:19" x14ac:dyDescent="0.3">
      <c r="F543">
        <v>1087</v>
      </c>
      <c r="G543">
        <v>1283</v>
      </c>
      <c r="H543">
        <f t="shared" si="15"/>
        <v>2370</v>
      </c>
      <c r="S543">
        <v>2370</v>
      </c>
    </row>
    <row r="544" spans="6:19" x14ac:dyDescent="0.3">
      <c r="F544">
        <v>1081</v>
      </c>
      <c r="G544">
        <v>1290</v>
      </c>
      <c r="H544">
        <f t="shared" si="15"/>
        <v>2371</v>
      </c>
      <c r="S544">
        <v>2371</v>
      </c>
    </row>
    <row r="545" spans="6:19" x14ac:dyDescent="0.3">
      <c r="F545">
        <v>1085</v>
      </c>
      <c r="G545">
        <v>1277</v>
      </c>
      <c r="H545">
        <f t="shared" si="15"/>
        <v>2362</v>
      </c>
      <c r="S545">
        <v>2362</v>
      </c>
    </row>
    <row r="546" spans="6:19" x14ac:dyDescent="0.3">
      <c r="F546">
        <v>1079</v>
      </c>
      <c r="G546">
        <v>1287</v>
      </c>
      <c r="H546">
        <f t="shared" si="15"/>
        <v>2366</v>
      </c>
      <c r="S546">
        <v>2366</v>
      </c>
    </row>
    <row r="547" spans="6:19" x14ac:dyDescent="0.3">
      <c r="F547">
        <v>1152</v>
      </c>
      <c r="G547">
        <v>1224</v>
      </c>
      <c r="H547">
        <f t="shared" si="15"/>
        <v>2376</v>
      </c>
      <c r="S547">
        <v>2376</v>
      </c>
    </row>
    <row r="548" spans="6:19" x14ac:dyDescent="0.3">
      <c r="F548">
        <v>1203</v>
      </c>
      <c r="G548">
        <v>1206</v>
      </c>
      <c r="H548">
        <f t="shared" si="15"/>
        <v>2409</v>
      </c>
      <c r="S548">
        <v>2409</v>
      </c>
    </row>
    <row r="549" spans="6:19" x14ac:dyDescent="0.3">
      <c r="F549">
        <v>1168</v>
      </c>
      <c r="G549">
        <v>1202</v>
      </c>
      <c r="H549">
        <f t="shared" si="15"/>
        <v>2370</v>
      </c>
      <c r="S549">
        <v>2370</v>
      </c>
    </row>
    <row r="550" spans="6:19" x14ac:dyDescent="0.3">
      <c r="F550">
        <v>1079</v>
      </c>
      <c r="G550">
        <v>1285</v>
      </c>
      <c r="H550">
        <f t="shared" si="15"/>
        <v>2364</v>
      </c>
      <c r="S550">
        <v>2364</v>
      </c>
    </row>
    <row r="551" spans="6:19" x14ac:dyDescent="0.3">
      <c r="F551">
        <v>1071</v>
      </c>
      <c r="G551">
        <v>1290</v>
      </c>
      <c r="H551">
        <f t="shared" si="15"/>
        <v>2361</v>
      </c>
      <c r="S551">
        <v>2361</v>
      </c>
    </row>
    <row r="552" spans="6:19" x14ac:dyDescent="0.3">
      <c r="F552">
        <v>1054</v>
      </c>
      <c r="G552">
        <v>1328</v>
      </c>
      <c r="H552">
        <f t="shared" si="15"/>
        <v>2382</v>
      </c>
      <c r="S552">
        <v>2382</v>
      </c>
    </row>
    <row r="553" spans="6:19" x14ac:dyDescent="0.3">
      <c r="F553">
        <v>1017</v>
      </c>
      <c r="G553">
        <v>1315</v>
      </c>
      <c r="H553">
        <f t="shared" si="15"/>
        <v>2332</v>
      </c>
      <c r="S553">
        <v>2332</v>
      </c>
    </row>
    <row r="554" spans="6:19" x14ac:dyDescent="0.3">
      <c r="F554">
        <v>912</v>
      </c>
      <c r="G554">
        <v>1267</v>
      </c>
      <c r="H554">
        <f t="shared" si="15"/>
        <v>2179</v>
      </c>
      <c r="S554">
        <v>2179</v>
      </c>
    </row>
    <row r="555" spans="6:19" x14ac:dyDescent="0.3">
      <c r="F555">
        <v>477</v>
      </c>
      <c r="G555">
        <v>859</v>
      </c>
      <c r="H555">
        <f t="shared" si="15"/>
        <v>1336</v>
      </c>
      <c r="S555">
        <v>1336</v>
      </c>
    </row>
    <row r="556" spans="6:19" x14ac:dyDescent="0.3">
      <c r="F556">
        <v>679</v>
      </c>
      <c r="G556">
        <v>1118</v>
      </c>
      <c r="H556">
        <f t="shared" si="15"/>
        <v>1797</v>
      </c>
      <c r="S556">
        <v>1797</v>
      </c>
    </row>
    <row r="557" spans="6:19" x14ac:dyDescent="0.3">
      <c r="F557">
        <v>686</v>
      </c>
      <c r="G557">
        <v>1069</v>
      </c>
      <c r="H557">
        <f t="shared" si="15"/>
        <v>1755</v>
      </c>
      <c r="S557">
        <v>1755</v>
      </c>
    </row>
    <row r="558" spans="6:19" x14ac:dyDescent="0.3">
      <c r="F558">
        <v>632</v>
      </c>
      <c r="G558">
        <v>1008</v>
      </c>
      <c r="H558">
        <f t="shared" si="15"/>
        <v>1640</v>
      </c>
      <c r="S558">
        <v>1640</v>
      </c>
    </row>
    <row r="559" spans="6:19" x14ac:dyDescent="0.3">
      <c r="F559">
        <v>822</v>
      </c>
      <c r="G559">
        <v>1196</v>
      </c>
      <c r="H559">
        <f t="shared" si="15"/>
        <v>2018</v>
      </c>
      <c r="S559">
        <v>2018</v>
      </c>
    </row>
    <row r="560" spans="6:19" x14ac:dyDescent="0.3">
      <c r="F560">
        <v>1019</v>
      </c>
      <c r="G560">
        <v>1272</v>
      </c>
      <c r="H560">
        <f t="shared" si="15"/>
        <v>2291</v>
      </c>
      <c r="S560">
        <v>2291</v>
      </c>
    </row>
    <row r="561" spans="6:19" x14ac:dyDescent="0.3">
      <c r="F561">
        <v>612</v>
      </c>
      <c r="G561">
        <v>1046</v>
      </c>
      <c r="H561">
        <f t="shared" si="15"/>
        <v>1658</v>
      </c>
      <c r="S561">
        <v>1658</v>
      </c>
    </row>
    <row r="562" spans="6:19" x14ac:dyDescent="0.3">
      <c r="F562">
        <v>933</v>
      </c>
      <c r="G562">
        <v>1219</v>
      </c>
      <c r="H562">
        <f t="shared" si="15"/>
        <v>2152</v>
      </c>
      <c r="S562">
        <v>2152</v>
      </c>
    </row>
    <row r="563" spans="6:19" x14ac:dyDescent="0.3">
      <c r="F563">
        <v>1060</v>
      </c>
      <c r="G563">
        <v>1339</v>
      </c>
      <c r="H563">
        <f t="shared" si="15"/>
        <v>2399</v>
      </c>
      <c r="S563">
        <v>2399</v>
      </c>
    </row>
    <row r="564" spans="6:19" x14ac:dyDescent="0.3">
      <c r="F564">
        <v>1043</v>
      </c>
      <c r="G564">
        <v>1356</v>
      </c>
      <c r="H564">
        <f t="shared" si="15"/>
        <v>2399</v>
      </c>
      <c r="S564">
        <v>2399</v>
      </c>
    </row>
    <row r="565" spans="6:19" x14ac:dyDescent="0.3">
      <c r="F565">
        <v>1087</v>
      </c>
      <c r="G565">
        <v>1316</v>
      </c>
      <c r="H565">
        <f t="shared" si="15"/>
        <v>2403</v>
      </c>
      <c r="S565">
        <v>2403</v>
      </c>
    </row>
    <row r="566" spans="6:19" x14ac:dyDescent="0.3">
      <c r="F566">
        <v>1076</v>
      </c>
      <c r="G566">
        <v>1326</v>
      </c>
      <c r="H566">
        <f t="shared" si="15"/>
        <v>2402</v>
      </c>
      <c r="S566">
        <v>2402</v>
      </c>
    </row>
    <row r="567" spans="6:19" x14ac:dyDescent="0.3">
      <c r="F567">
        <v>1079</v>
      </c>
      <c r="G567">
        <v>1312</v>
      </c>
      <c r="H567">
        <f t="shared" si="15"/>
        <v>2391</v>
      </c>
      <c r="S567">
        <v>2391</v>
      </c>
    </row>
    <row r="568" spans="6:19" x14ac:dyDescent="0.3">
      <c r="F568">
        <v>1090</v>
      </c>
      <c r="G568">
        <v>1309</v>
      </c>
      <c r="H568">
        <f t="shared" si="15"/>
        <v>2399</v>
      </c>
      <c r="S568">
        <v>2399</v>
      </c>
    </row>
    <row r="569" spans="6:19" x14ac:dyDescent="0.3">
      <c r="F569">
        <v>1076</v>
      </c>
      <c r="G569">
        <v>1316</v>
      </c>
      <c r="H569">
        <f t="shared" si="15"/>
        <v>2392</v>
      </c>
      <c r="S569">
        <v>2392</v>
      </c>
    </row>
    <row r="570" spans="6:19" x14ac:dyDescent="0.3">
      <c r="F570">
        <v>1084</v>
      </c>
      <c r="G570">
        <v>1306</v>
      </c>
      <c r="H570">
        <f t="shared" si="15"/>
        <v>2390</v>
      </c>
      <c r="S570">
        <v>2390</v>
      </c>
    </row>
    <row r="571" spans="6:19" x14ac:dyDescent="0.3">
      <c r="F571">
        <v>1087</v>
      </c>
      <c r="G571">
        <v>1316</v>
      </c>
      <c r="H571">
        <f t="shared" si="15"/>
        <v>2403</v>
      </c>
      <c r="S571">
        <v>2403</v>
      </c>
    </row>
    <row r="572" spans="6:19" x14ac:dyDescent="0.3">
      <c r="F572">
        <v>1073</v>
      </c>
      <c r="G572">
        <v>1332</v>
      </c>
      <c r="H572">
        <f t="shared" si="15"/>
        <v>2405</v>
      </c>
      <c r="S572">
        <v>2405</v>
      </c>
    </row>
    <row r="573" spans="6:19" x14ac:dyDescent="0.3">
      <c r="F573">
        <v>911</v>
      </c>
      <c r="G573">
        <v>1244</v>
      </c>
      <c r="H573">
        <f t="shared" si="15"/>
        <v>2155</v>
      </c>
      <c r="S573">
        <v>2155</v>
      </c>
    </row>
    <row r="574" spans="6:19" x14ac:dyDescent="0.3">
      <c r="F574">
        <v>453</v>
      </c>
      <c r="G574">
        <v>873</v>
      </c>
      <c r="H574">
        <f t="shared" si="15"/>
        <v>1326</v>
      </c>
      <c r="S574">
        <v>1326</v>
      </c>
    </row>
    <row r="575" spans="6:19" x14ac:dyDescent="0.3">
      <c r="F575">
        <v>685</v>
      </c>
      <c r="G575">
        <v>1095</v>
      </c>
      <c r="H575">
        <f t="shared" si="15"/>
        <v>1780</v>
      </c>
      <c r="S575">
        <v>1780</v>
      </c>
    </row>
    <row r="576" spans="6:19" x14ac:dyDescent="0.3">
      <c r="F576">
        <v>681</v>
      </c>
      <c r="G576">
        <v>1069</v>
      </c>
      <c r="H576">
        <f t="shared" si="15"/>
        <v>1750</v>
      </c>
      <c r="S576">
        <v>1750</v>
      </c>
    </row>
    <row r="577" spans="6:19" x14ac:dyDescent="0.3">
      <c r="F577">
        <v>694</v>
      </c>
      <c r="G577">
        <v>1140</v>
      </c>
      <c r="H577">
        <f t="shared" si="15"/>
        <v>1834</v>
      </c>
      <c r="S577">
        <v>1834</v>
      </c>
    </row>
    <row r="578" spans="6:19" x14ac:dyDescent="0.3">
      <c r="F578">
        <v>872</v>
      </c>
      <c r="G578">
        <v>1257</v>
      </c>
      <c r="H578">
        <f t="shared" ref="H578:H641" si="16">F578+G578</f>
        <v>2129</v>
      </c>
      <c r="S578">
        <v>2129</v>
      </c>
    </row>
    <row r="579" spans="6:19" x14ac:dyDescent="0.3">
      <c r="F579">
        <v>936</v>
      </c>
      <c r="G579">
        <v>1198</v>
      </c>
      <c r="H579">
        <f t="shared" si="16"/>
        <v>2134</v>
      </c>
      <c r="S579">
        <v>2134</v>
      </c>
    </row>
    <row r="580" spans="6:19" x14ac:dyDescent="0.3">
      <c r="F580">
        <v>680</v>
      </c>
      <c r="G580">
        <v>1059</v>
      </c>
      <c r="H580">
        <f t="shared" si="16"/>
        <v>1739</v>
      </c>
      <c r="S580">
        <v>1739</v>
      </c>
    </row>
    <row r="581" spans="6:19" x14ac:dyDescent="0.3">
      <c r="F581">
        <v>562</v>
      </c>
      <c r="G581">
        <v>998</v>
      </c>
      <c r="H581">
        <f t="shared" si="16"/>
        <v>1560</v>
      </c>
      <c r="S581">
        <v>1560</v>
      </c>
    </row>
    <row r="582" spans="6:19" x14ac:dyDescent="0.3">
      <c r="F582">
        <v>851</v>
      </c>
      <c r="G582">
        <v>1236</v>
      </c>
      <c r="H582">
        <f t="shared" si="16"/>
        <v>2087</v>
      </c>
      <c r="S582">
        <v>2087</v>
      </c>
    </row>
    <row r="583" spans="6:19" x14ac:dyDescent="0.3">
      <c r="F583">
        <v>1104</v>
      </c>
      <c r="G583">
        <v>1214</v>
      </c>
      <c r="H583">
        <f t="shared" si="16"/>
        <v>2318</v>
      </c>
      <c r="S583">
        <v>2318</v>
      </c>
    </row>
    <row r="584" spans="6:19" x14ac:dyDescent="0.3">
      <c r="F584">
        <v>1066</v>
      </c>
      <c r="G584">
        <v>1305</v>
      </c>
      <c r="H584">
        <f t="shared" si="16"/>
        <v>2371</v>
      </c>
      <c r="S584">
        <v>2371</v>
      </c>
    </row>
    <row r="585" spans="6:19" x14ac:dyDescent="0.3">
      <c r="F585">
        <v>1085</v>
      </c>
      <c r="G585">
        <v>1295</v>
      </c>
      <c r="H585">
        <f t="shared" si="16"/>
        <v>2380</v>
      </c>
      <c r="S585">
        <v>2380</v>
      </c>
    </row>
    <row r="586" spans="6:19" x14ac:dyDescent="0.3">
      <c r="F586">
        <v>1085</v>
      </c>
      <c r="G586">
        <v>1300</v>
      </c>
      <c r="H586">
        <f t="shared" si="16"/>
        <v>2385</v>
      </c>
      <c r="S586">
        <v>2385</v>
      </c>
    </row>
    <row r="587" spans="6:19" x14ac:dyDescent="0.3">
      <c r="F587">
        <v>1084</v>
      </c>
      <c r="G587">
        <v>1308</v>
      </c>
      <c r="H587">
        <f t="shared" si="16"/>
        <v>2392</v>
      </c>
      <c r="S587">
        <v>2392</v>
      </c>
    </row>
    <row r="588" spans="6:19" x14ac:dyDescent="0.3">
      <c r="F588">
        <v>1106</v>
      </c>
      <c r="G588">
        <v>1284</v>
      </c>
      <c r="H588">
        <f t="shared" si="16"/>
        <v>2390</v>
      </c>
      <c r="S588">
        <v>2390</v>
      </c>
    </row>
    <row r="589" spans="6:19" x14ac:dyDescent="0.3">
      <c r="F589">
        <v>1098</v>
      </c>
      <c r="G589">
        <v>1281</v>
      </c>
      <c r="H589">
        <f t="shared" si="16"/>
        <v>2379</v>
      </c>
      <c r="S589">
        <v>2379</v>
      </c>
    </row>
    <row r="590" spans="6:19" x14ac:dyDescent="0.3">
      <c r="F590">
        <v>1092</v>
      </c>
      <c r="G590">
        <v>1300</v>
      </c>
      <c r="H590">
        <f t="shared" si="16"/>
        <v>2392</v>
      </c>
      <c r="S590">
        <v>2392</v>
      </c>
    </row>
    <row r="591" spans="6:19" x14ac:dyDescent="0.3">
      <c r="F591">
        <v>1101</v>
      </c>
      <c r="G591">
        <v>1276</v>
      </c>
      <c r="H591">
        <f t="shared" si="16"/>
        <v>2377</v>
      </c>
      <c r="S591">
        <v>2377</v>
      </c>
    </row>
    <row r="592" spans="6:19" x14ac:dyDescent="0.3">
      <c r="F592">
        <v>1101</v>
      </c>
      <c r="G592">
        <v>1291</v>
      </c>
      <c r="H592">
        <f t="shared" si="16"/>
        <v>2392</v>
      </c>
      <c r="S592">
        <v>2392</v>
      </c>
    </row>
    <row r="593" spans="6:19" x14ac:dyDescent="0.3">
      <c r="F593">
        <v>1099</v>
      </c>
      <c r="G593">
        <v>1288</v>
      </c>
      <c r="H593">
        <f t="shared" si="16"/>
        <v>2387</v>
      </c>
      <c r="S593">
        <v>2387</v>
      </c>
    </row>
    <row r="594" spans="6:19" x14ac:dyDescent="0.3">
      <c r="F594">
        <v>1093</v>
      </c>
      <c r="G594">
        <v>1291</v>
      </c>
      <c r="H594">
        <f t="shared" si="16"/>
        <v>2384</v>
      </c>
      <c r="S594">
        <v>2384</v>
      </c>
    </row>
    <row r="595" spans="6:19" x14ac:dyDescent="0.3">
      <c r="F595">
        <v>1100</v>
      </c>
      <c r="G595">
        <v>1289</v>
      </c>
      <c r="H595">
        <f t="shared" si="16"/>
        <v>2389</v>
      </c>
      <c r="S595">
        <v>2389</v>
      </c>
    </row>
    <row r="596" spans="6:19" x14ac:dyDescent="0.3">
      <c r="F596">
        <v>1083</v>
      </c>
      <c r="G596">
        <v>1305</v>
      </c>
      <c r="H596">
        <f t="shared" si="16"/>
        <v>2388</v>
      </c>
      <c r="S596">
        <v>2388</v>
      </c>
    </row>
    <row r="597" spans="6:19" x14ac:dyDescent="0.3">
      <c r="F597">
        <v>1099</v>
      </c>
      <c r="G597">
        <v>1276</v>
      </c>
      <c r="H597">
        <f t="shared" si="16"/>
        <v>2375</v>
      </c>
      <c r="S597">
        <v>2375</v>
      </c>
    </row>
    <row r="598" spans="6:19" x14ac:dyDescent="0.3">
      <c r="F598">
        <v>1093</v>
      </c>
      <c r="G598">
        <v>1287</v>
      </c>
      <c r="H598">
        <f t="shared" si="16"/>
        <v>2380</v>
      </c>
      <c r="S598">
        <v>2380</v>
      </c>
    </row>
    <row r="599" spans="6:19" x14ac:dyDescent="0.3">
      <c r="F599">
        <v>1083</v>
      </c>
      <c r="G599">
        <v>1303</v>
      </c>
      <c r="H599">
        <f t="shared" si="16"/>
        <v>2386</v>
      </c>
      <c r="S599">
        <v>2386</v>
      </c>
    </row>
    <row r="600" spans="6:19" x14ac:dyDescent="0.3">
      <c r="F600">
        <v>1123</v>
      </c>
      <c r="G600">
        <v>1292</v>
      </c>
      <c r="H600">
        <f t="shared" si="16"/>
        <v>2415</v>
      </c>
      <c r="S600">
        <v>2415</v>
      </c>
    </row>
    <row r="601" spans="6:19" x14ac:dyDescent="0.3">
      <c r="F601">
        <v>1068</v>
      </c>
      <c r="G601">
        <v>1336</v>
      </c>
      <c r="H601">
        <f t="shared" si="16"/>
        <v>2404</v>
      </c>
      <c r="S601">
        <v>2404</v>
      </c>
    </row>
    <row r="602" spans="6:19" x14ac:dyDescent="0.3">
      <c r="F602">
        <v>1047</v>
      </c>
      <c r="G602">
        <v>1351</v>
      </c>
      <c r="H602">
        <f t="shared" si="16"/>
        <v>2398</v>
      </c>
      <c r="S602">
        <v>2398</v>
      </c>
    </row>
    <row r="603" spans="6:19" x14ac:dyDescent="0.3">
      <c r="F603">
        <v>1030</v>
      </c>
      <c r="G603">
        <v>1371</v>
      </c>
      <c r="H603">
        <f t="shared" si="16"/>
        <v>2401</v>
      </c>
      <c r="S603">
        <v>2401</v>
      </c>
    </row>
    <row r="604" spans="6:19" x14ac:dyDescent="0.3">
      <c r="F604">
        <v>1105</v>
      </c>
      <c r="G604">
        <v>1286</v>
      </c>
      <c r="H604">
        <f t="shared" si="16"/>
        <v>2391</v>
      </c>
      <c r="S604">
        <v>2391</v>
      </c>
    </row>
    <row r="605" spans="6:19" x14ac:dyDescent="0.3">
      <c r="F605">
        <v>1084</v>
      </c>
      <c r="G605">
        <v>1290</v>
      </c>
      <c r="H605">
        <f t="shared" si="16"/>
        <v>2374</v>
      </c>
      <c r="S605">
        <v>2374</v>
      </c>
    </row>
    <row r="606" spans="6:19" x14ac:dyDescent="0.3">
      <c r="F606">
        <v>1086</v>
      </c>
      <c r="G606">
        <v>1313</v>
      </c>
      <c r="H606">
        <f t="shared" si="16"/>
        <v>2399</v>
      </c>
      <c r="S606">
        <v>2399</v>
      </c>
    </row>
    <row r="607" spans="6:19" x14ac:dyDescent="0.3">
      <c r="F607">
        <v>763</v>
      </c>
      <c r="G607">
        <v>1122</v>
      </c>
      <c r="H607">
        <f t="shared" si="16"/>
        <v>1885</v>
      </c>
      <c r="S607">
        <v>1885</v>
      </c>
    </row>
    <row r="608" spans="6:19" x14ac:dyDescent="0.3">
      <c r="F608">
        <v>542</v>
      </c>
      <c r="G608">
        <v>924</v>
      </c>
      <c r="H608">
        <f t="shared" si="16"/>
        <v>1466</v>
      </c>
      <c r="S608">
        <v>1466</v>
      </c>
    </row>
    <row r="609" spans="6:19" x14ac:dyDescent="0.3">
      <c r="F609">
        <v>608</v>
      </c>
      <c r="G609">
        <v>1054</v>
      </c>
      <c r="H609">
        <f t="shared" si="16"/>
        <v>1662</v>
      </c>
      <c r="S609">
        <v>1662</v>
      </c>
    </row>
    <row r="610" spans="6:19" x14ac:dyDescent="0.3">
      <c r="F610">
        <v>705</v>
      </c>
      <c r="G610">
        <v>989</v>
      </c>
      <c r="H610">
        <f t="shared" si="16"/>
        <v>1694</v>
      </c>
      <c r="S610">
        <v>1694</v>
      </c>
    </row>
    <row r="611" spans="6:19" x14ac:dyDescent="0.3">
      <c r="F611">
        <v>692</v>
      </c>
      <c r="G611">
        <v>908</v>
      </c>
      <c r="H611">
        <f t="shared" si="16"/>
        <v>1600</v>
      </c>
      <c r="S611">
        <v>1600</v>
      </c>
    </row>
    <row r="612" spans="6:19" x14ac:dyDescent="0.3">
      <c r="F612">
        <v>751</v>
      </c>
      <c r="G612">
        <v>1109</v>
      </c>
      <c r="H612">
        <f t="shared" si="16"/>
        <v>1860</v>
      </c>
      <c r="S612">
        <v>1860</v>
      </c>
    </row>
    <row r="613" spans="6:19" x14ac:dyDescent="0.3">
      <c r="F613">
        <v>935</v>
      </c>
      <c r="G613">
        <v>949</v>
      </c>
      <c r="H613">
        <f t="shared" si="16"/>
        <v>1884</v>
      </c>
      <c r="S613">
        <v>1884</v>
      </c>
    </row>
    <row r="614" spans="6:19" x14ac:dyDescent="0.3">
      <c r="F614">
        <v>643</v>
      </c>
      <c r="G614">
        <v>1002</v>
      </c>
      <c r="H614">
        <f t="shared" si="16"/>
        <v>1645</v>
      </c>
      <c r="S614">
        <v>1645</v>
      </c>
    </row>
    <row r="615" spans="6:19" x14ac:dyDescent="0.3">
      <c r="F615">
        <v>493</v>
      </c>
      <c r="G615">
        <v>855</v>
      </c>
      <c r="H615">
        <f t="shared" si="16"/>
        <v>1348</v>
      </c>
      <c r="S615">
        <v>1348</v>
      </c>
    </row>
    <row r="616" spans="6:19" x14ac:dyDescent="0.3">
      <c r="F616">
        <v>682</v>
      </c>
      <c r="G616">
        <v>854</v>
      </c>
      <c r="H616">
        <f t="shared" si="16"/>
        <v>1536</v>
      </c>
      <c r="S616">
        <v>1536</v>
      </c>
    </row>
    <row r="617" spans="6:19" x14ac:dyDescent="0.3">
      <c r="F617">
        <v>483</v>
      </c>
      <c r="G617">
        <v>683</v>
      </c>
      <c r="H617">
        <f t="shared" si="16"/>
        <v>1166</v>
      </c>
      <c r="S617">
        <v>1166</v>
      </c>
    </row>
    <row r="618" spans="6:19" x14ac:dyDescent="0.3">
      <c r="F618">
        <v>476</v>
      </c>
      <c r="G618">
        <v>488</v>
      </c>
      <c r="H618">
        <f t="shared" si="16"/>
        <v>964</v>
      </c>
      <c r="S618">
        <v>964</v>
      </c>
    </row>
    <row r="619" spans="6:19" x14ac:dyDescent="0.3">
      <c r="F619">
        <v>635</v>
      </c>
      <c r="G619">
        <v>628</v>
      </c>
      <c r="H619">
        <f t="shared" si="16"/>
        <v>1263</v>
      </c>
      <c r="S619">
        <v>1263</v>
      </c>
    </row>
    <row r="620" spans="6:19" x14ac:dyDescent="0.3">
      <c r="F620">
        <v>1078</v>
      </c>
      <c r="G620">
        <v>1305</v>
      </c>
      <c r="H620">
        <f t="shared" si="16"/>
        <v>2383</v>
      </c>
      <c r="S620">
        <v>2383</v>
      </c>
    </row>
    <row r="621" spans="6:19" x14ac:dyDescent="0.3">
      <c r="F621">
        <v>1073</v>
      </c>
      <c r="G621">
        <v>1295</v>
      </c>
      <c r="H621">
        <f t="shared" si="16"/>
        <v>2368</v>
      </c>
      <c r="S621">
        <v>2368</v>
      </c>
    </row>
    <row r="622" spans="6:19" x14ac:dyDescent="0.3">
      <c r="F622">
        <v>1089</v>
      </c>
      <c r="G622">
        <v>1278</v>
      </c>
      <c r="H622">
        <f t="shared" si="16"/>
        <v>2367</v>
      </c>
      <c r="S622">
        <v>2367</v>
      </c>
    </row>
    <row r="623" spans="6:19" x14ac:dyDescent="0.3">
      <c r="F623">
        <v>1084</v>
      </c>
      <c r="G623">
        <v>1309</v>
      </c>
      <c r="H623">
        <f t="shared" si="16"/>
        <v>2393</v>
      </c>
      <c r="S623">
        <v>2393</v>
      </c>
    </row>
    <row r="624" spans="6:19" x14ac:dyDescent="0.3">
      <c r="F624">
        <v>1094</v>
      </c>
      <c r="G624">
        <v>1292</v>
      </c>
      <c r="H624">
        <f t="shared" si="16"/>
        <v>2386</v>
      </c>
      <c r="S624">
        <v>2386</v>
      </c>
    </row>
    <row r="625" spans="6:19" x14ac:dyDescent="0.3">
      <c r="F625">
        <v>1102</v>
      </c>
      <c r="G625">
        <v>1298</v>
      </c>
      <c r="H625">
        <f t="shared" si="16"/>
        <v>2400</v>
      </c>
      <c r="S625">
        <v>2400</v>
      </c>
    </row>
    <row r="626" spans="6:19" x14ac:dyDescent="0.3">
      <c r="F626">
        <v>1094</v>
      </c>
      <c r="G626">
        <v>1320</v>
      </c>
      <c r="H626">
        <f t="shared" si="16"/>
        <v>2414</v>
      </c>
      <c r="S626">
        <v>2414</v>
      </c>
    </row>
    <row r="627" spans="6:19" x14ac:dyDescent="0.3">
      <c r="F627">
        <v>1093</v>
      </c>
      <c r="G627">
        <v>1321</v>
      </c>
      <c r="H627">
        <f t="shared" si="16"/>
        <v>2414</v>
      </c>
      <c r="S627">
        <v>2414</v>
      </c>
    </row>
    <row r="628" spans="6:19" x14ac:dyDescent="0.3">
      <c r="F628">
        <v>1091</v>
      </c>
      <c r="G628">
        <v>1297</v>
      </c>
      <c r="H628">
        <f t="shared" si="16"/>
        <v>2388</v>
      </c>
      <c r="S628">
        <v>2388</v>
      </c>
    </row>
    <row r="629" spans="6:19" x14ac:dyDescent="0.3">
      <c r="F629">
        <v>1110</v>
      </c>
      <c r="G629">
        <v>1285</v>
      </c>
      <c r="H629">
        <f t="shared" si="16"/>
        <v>2395</v>
      </c>
      <c r="S629">
        <v>2395</v>
      </c>
    </row>
    <row r="630" spans="6:19" x14ac:dyDescent="0.3">
      <c r="F630">
        <v>1099</v>
      </c>
      <c r="G630">
        <v>1310</v>
      </c>
      <c r="H630">
        <f t="shared" si="16"/>
        <v>2409</v>
      </c>
      <c r="S630">
        <v>2409</v>
      </c>
    </row>
    <row r="631" spans="6:19" x14ac:dyDescent="0.3">
      <c r="F631">
        <v>1099</v>
      </c>
      <c r="G631">
        <v>1302</v>
      </c>
      <c r="H631">
        <f t="shared" si="16"/>
        <v>2401</v>
      </c>
      <c r="S631">
        <v>2401</v>
      </c>
    </row>
    <row r="632" spans="6:19" x14ac:dyDescent="0.3">
      <c r="F632">
        <v>1092</v>
      </c>
      <c r="G632">
        <v>1307</v>
      </c>
      <c r="H632">
        <f t="shared" si="16"/>
        <v>2399</v>
      </c>
      <c r="S632">
        <v>2399</v>
      </c>
    </row>
    <row r="633" spans="6:19" x14ac:dyDescent="0.3">
      <c r="F633">
        <v>1095</v>
      </c>
      <c r="G633">
        <v>1296</v>
      </c>
      <c r="H633">
        <f t="shared" si="16"/>
        <v>2391</v>
      </c>
      <c r="S633">
        <v>2391</v>
      </c>
    </row>
    <row r="634" spans="6:19" x14ac:dyDescent="0.3">
      <c r="F634">
        <v>1098</v>
      </c>
      <c r="G634">
        <v>1305</v>
      </c>
      <c r="H634">
        <f t="shared" si="16"/>
        <v>2403</v>
      </c>
      <c r="S634">
        <v>2403</v>
      </c>
    </row>
    <row r="635" spans="6:19" x14ac:dyDescent="0.3">
      <c r="F635">
        <v>1100</v>
      </c>
      <c r="G635">
        <v>1306</v>
      </c>
      <c r="H635">
        <f t="shared" si="16"/>
        <v>2406</v>
      </c>
      <c r="S635">
        <v>2406</v>
      </c>
    </row>
    <row r="636" spans="6:19" x14ac:dyDescent="0.3">
      <c r="F636">
        <v>1097</v>
      </c>
      <c r="G636">
        <v>1301</v>
      </c>
      <c r="H636">
        <f t="shared" si="16"/>
        <v>2398</v>
      </c>
      <c r="S636">
        <v>2398</v>
      </c>
    </row>
    <row r="637" spans="6:19" x14ac:dyDescent="0.3">
      <c r="F637">
        <v>1104</v>
      </c>
      <c r="G637">
        <v>1291</v>
      </c>
      <c r="H637">
        <f t="shared" si="16"/>
        <v>2395</v>
      </c>
      <c r="S637">
        <v>2395</v>
      </c>
    </row>
    <row r="638" spans="6:19" x14ac:dyDescent="0.3">
      <c r="F638">
        <v>1092</v>
      </c>
      <c r="G638">
        <v>1298</v>
      </c>
      <c r="H638">
        <f t="shared" si="16"/>
        <v>2390</v>
      </c>
      <c r="S638">
        <v>2390</v>
      </c>
    </row>
    <row r="639" spans="6:19" x14ac:dyDescent="0.3">
      <c r="F639">
        <v>1136</v>
      </c>
      <c r="G639">
        <v>1252</v>
      </c>
      <c r="H639">
        <f t="shared" si="16"/>
        <v>2388</v>
      </c>
      <c r="S639">
        <v>2388</v>
      </c>
    </row>
    <row r="640" spans="6:19" x14ac:dyDescent="0.3">
      <c r="F640">
        <v>1077</v>
      </c>
      <c r="G640">
        <v>1305</v>
      </c>
      <c r="H640">
        <f t="shared" si="16"/>
        <v>2382</v>
      </c>
      <c r="S640">
        <v>2382</v>
      </c>
    </row>
    <row r="641" spans="6:19" x14ac:dyDescent="0.3">
      <c r="F641">
        <v>1095</v>
      </c>
      <c r="G641">
        <v>1269</v>
      </c>
      <c r="H641">
        <f t="shared" si="16"/>
        <v>2364</v>
      </c>
      <c r="S641">
        <v>2364</v>
      </c>
    </row>
    <row r="642" spans="6:19" x14ac:dyDescent="0.3">
      <c r="F642">
        <v>1061</v>
      </c>
      <c r="G642">
        <v>1296</v>
      </c>
      <c r="H642">
        <f t="shared" ref="H642:H705" si="17">F642+G642</f>
        <v>2357</v>
      </c>
      <c r="S642">
        <v>2357</v>
      </c>
    </row>
    <row r="643" spans="6:19" x14ac:dyDescent="0.3">
      <c r="F643">
        <v>1153</v>
      </c>
      <c r="G643">
        <v>1219</v>
      </c>
      <c r="H643">
        <f t="shared" si="17"/>
        <v>2372</v>
      </c>
      <c r="S643">
        <v>2372</v>
      </c>
    </row>
    <row r="644" spans="6:19" x14ac:dyDescent="0.3">
      <c r="F644">
        <v>1090</v>
      </c>
      <c r="G644">
        <v>1284</v>
      </c>
      <c r="H644">
        <f t="shared" si="17"/>
        <v>2374</v>
      </c>
      <c r="S644">
        <v>2374</v>
      </c>
    </row>
    <row r="645" spans="6:19" x14ac:dyDescent="0.3">
      <c r="F645">
        <v>1132</v>
      </c>
      <c r="G645">
        <v>1265</v>
      </c>
      <c r="H645">
        <f t="shared" si="17"/>
        <v>2397</v>
      </c>
      <c r="S645">
        <v>2397</v>
      </c>
    </row>
    <row r="646" spans="6:19" x14ac:dyDescent="0.3">
      <c r="F646">
        <v>1172</v>
      </c>
      <c r="G646">
        <v>1244</v>
      </c>
      <c r="H646">
        <f t="shared" si="17"/>
        <v>2416</v>
      </c>
      <c r="S646">
        <v>2416</v>
      </c>
    </row>
    <row r="647" spans="6:19" x14ac:dyDescent="0.3">
      <c r="F647">
        <v>1100</v>
      </c>
      <c r="G647">
        <v>1306</v>
      </c>
      <c r="H647">
        <f t="shared" si="17"/>
        <v>2406</v>
      </c>
      <c r="S647">
        <v>2406</v>
      </c>
    </row>
    <row r="648" spans="6:19" x14ac:dyDescent="0.3">
      <c r="F648">
        <v>1155</v>
      </c>
      <c r="G648">
        <v>1264</v>
      </c>
      <c r="H648">
        <f t="shared" si="17"/>
        <v>2419</v>
      </c>
      <c r="S648">
        <v>2419</v>
      </c>
    </row>
    <row r="649" spans="6:19" x14ac:dyDescent="0.3">
      <c r="F649">
        <v>1187</v>
      </c>
      <c r="G649">
        <v>1236</v>
      </c>
      <c r="H649">
        <f t="shared" si="17"/>
        <v>2423</v>
      </c>
      <c r="S649">
        <v>2423</v>
      </c>
    </row>
    <row r="650" spans="6:19" x14ac:dyDescent="0.3">
      <c r="F650">
        <v>986</v>
      </c>
      <c r="G650">
        <v>1257</v>
      </c>
      <c r="H650">
        <f t="shared" si="17"/>
        <v>2243</v>
      </c>
      <c r="S650">
        <v>2243</v>
      </c>
    </row>
    <row r="651" spans="6:19" x14ac:dyDescent="0.3">
      <c r="F651">
        <v>441</v>
      </c>
      <c r="G651">
        <v>776</v>
      </c>
      <c r="H651">
        <f t="shared" si="17"/>
        <v>1217</v>
      </c>
      <c r="S651">
        <v>1217</v>
      </c>
    </row>
    <row r="652" spans="6:19" x14ac:dyDescent="0.3">
      <c r="F652">
        <v>492</v>
      </c>
      <c r="G652">
        <v>503</v>
      </c>
      <c r="H652">
        <f t="shared" si="17"/>
        <v>995</v>
      </c>
      <c r="S652">
        <v>995</v>
      </c>
    </row>
    <row r="653" spans="6:19" x14ac:dyDescent="0.3">
      <c r="F653">
        <v>514</v>
      </c>
      <c r="G653">
        <v>524</v>
      </c>
      <c r="H653">
        <f t="shared" si="17"/>
        <v>1038</v>
      </c>
      <c r="S653">
        <v>1038</v>
      </c>
    </row>
    <row r="654" spans="6:19" x14ac:dyDescent="0.3">
      <c r="F654">
        <v>511</v>
      </c>
      <c r="G654">
        <v>522</v>
      </c>
      <c r="H654">
        <f t="shared" si="17"/>
        <v>1033</v>
      </c>
      <c r="S654">
        <v>1033</v>
      </c>
    </row>
    <row r="655" spans="6:19" x14ac:dyDescent="0.3">
      <c r="F655">
        <v>516</v>
      </c>
      <c r="G655">
        <v>527</v>
      </c>
      <c r="H655">
        <f t="shared" si="17"/>
        <v>1043</v>
      </c>
      <c r="S655">
        <v>1043</v>
      </c>
    </row>
    <row r="656" spans="6:19" x14ac:dyDescent="0.3">
      <c r="F656">
        <v>567</v>
      </c>
      <c r="G656">
        <v>636</v>
      </c>
      <c r="H656">
        <f t="shared" si="17"/>
        <v>1203</v>
      </c>
      <c r="S656">
        <v>1203</v>
      </c>
    </row>
    <row r="657" spans="6:19" x14ac:dyDescent="0.3">
      <c r="F657">
        <v>641</v>
      </c>
      <c r="G657">
        <v>888</v>
      </c>
      <c r="H657">
        <f t="shared" si="17"/>
        <v>1529</v>
      </c>
      <c r="S657">
        <v>1529</v>
      </c>
    </row>
    <row r="658" spans="6:19" x14ac:dyDescent="0.3">
      <c r="F658">
        <v>500</v>
      </c>
      <c r="G658">
        <v>524</v>
      </c>
      <c r="H658">
        <f t="shared" si="17"/>
        <v>1024</v>
      </c>
      <c r="S658">
        <v>1024</v>
      </c>
    </row>
    <row r="659" spans="6:19" x14ac:dyDescent="0.3">
      <c r="F659">
        <v>490</v>
      </c>
      <c r="G659">
        <v>498</v>
      </c>
      <c r="H659">
        <f t="shared" si="17"/>
        <v>988</v>
      </c>
      <c r="S659">
        <v>988</v>
      </c>
    </row>
    <row r="660" spans="6:19" x14ac:dyDescent="0.3">
      <c r="F660">
        <v>490</v>
      </c>
      <c r="G660">
        <v>501</v>
      </c>
      <c r="H660">
        <f t="shared" si="17"/>
        <v>991</v>
      </c>
      <c r="S660">
        <v>991</v>
      </c>
    </row>
    <row r="661" spans="6:19" x14ac:dyDescent="0.3">
      <c r="F661">
        <v>490</v>
      </c>
      <c r="G661">
        <v>501</v>
      </c>
      <c r="H661">
        <f t="shared" si="17"/>
        <v>991</v>
      </c>
      <c r="S661">
        <v>991</v>
      </c>
    </row>
    <row r="662" spans="6:19" x14ac:dyDescent="0.3">
      <c r="F662">
        <v>892</v>
      </c>
      <c r="G662">
        <v>992</v>
      </c>
      <c r="H662">
        <f t="shared" si="17"/>
        <v>1884</v>
      </c>
      <c r="S662">
        <v>1884</v>
      </c>
    </row>
    <row r="663" spans="6:19" x14ac:dyDescent="0.3">
      <c r="F663">
        <v>1076</v>
      </c>
      <c r="G663">
        <v>1303</v>
      </c>
      <c r="H663">
        <f t="shared" si="17"/>
        <v>2379</v>
      </c>
      <c r="S663">
        <v>2379</v>
      </c>
    </row>
    <row r="664" spans="6:19" x14ac:dyDescent="0.3">
      <c r="F664">
        <v>1109</v>
      </c>
      <c r="G664">
        <v>1283</v>
      </c>
      <c r="H664">
        <f t="shared" si="17"/>
        <v>2392</v>
      </c>
      <c r="S664">
        <v>2392</v>
      </c>
    </row>
    <row r="665" spans="6:19" x14ac:dyDescent="0.3">
      <c r="F665">
        <v>1088</v>
      </c>
      <c r="G665">
        <v>1291</v>
      </c>
      <c r="H665">
        <f t="shared" si="17"/>
        <v>2379</v>
      </c>
      <c r="S665">
        <v>2379</v>
      </c>
    </row>
    <row r="666" spans="6:19" x14ac:dyDescent="0.3">
      <c r="F666">
        <v>1098</v>
      </c>
      <c r="G666">
        <v>1269</v>
      </c>
      <c r="H666">
        <f t="shared" si="17"/>
        <v>2367</v>
      </c>
      <c r="S666">
        <v>2367</v>
      </c>
    </row>
    <row r="667" spans="6:19" x14ac:dyDescent="0.3">
      <c r="F667">
        <v>1096</v>
      </c>
      <c r="G667">
        <v>1292</v>
      </c>
      <c r="H667">
        <f t="shared" si="17"/>
        <v>2388</v>
      </c>
      <c r="S667">
        <v>2388</v>
      </c>
    </row>
    <row r="668" spans="6:19" x14ac:dyDescent="0.3">
      <c r="F668">
        <v>1086</v>
      </c>
      <c r="G668">
        <v>1287</v>
      </c>
      <c r="H668">
        <f t="shared" si="17"/>
        <v>2373</v>
      </c>
      <c r="S668">
        <v>2373</v>
      </c>
    </row>
    <row r="669" spans="6:19" x14ac:dyDescent="0.3">
      <c r="F669">
        <v>1101</v>
      </c>
      <c r="G669">
        <v>1286</v>
      </c>
      <c r="H669">
        <f t="shared" si="17"/>
        <v>2387</v>
      </c>
      <c r="S669">
        <v>2387</v>
      </c>
    </row>
    <row r="670" spans="6:19" x14ac:dyDescent="0.3">
      <c r="F670">
        <v>1076</v>
      </c>
      <c r="G670">
        <v>1296</v>
      </c>
      <c r="H670">
        <f t="shared" si="17"/>
        <v>2372</v>
      </c>
      <c r="S670">
        <v>2372</v>
      </c>
    </row>
    <row r="671" spans="6:19" x14ac:dyDescent="0.3">
      <c r="F671">
        <v>1105</v>
      </c>
      <c r="G671">
        <v>1282</v>
      </c>
      <c r="H671">
        <f t="shared" si="17"/>
        <v>2387</v>
      </c>
      <c r="S671">
        <v>2387</v>
      </c>
    </row>
    <row r="672" spans="6:19" x14ac:dyDescent="0.3">
      <c r="F672">
        <v>1105</v>
      </c>
      <c r="G672">
        <v>1273</v>
      </c>
      <c r="H672">
        <f t="shared" si="17"/>
        <v>2378</v>
      </c>
      <c r="S672">
        <v>2378</v>
      </c>
    </row>
    <row r="673" spans="6:19" x14ac:dyDescent="0.3">
      <c r="F673">
        <v>1112</v>
      </c>
      <c r="G673">
        <v>1277</v>
      </c>
      <c r="H673">
        <f t="shared" si="17"/>
        <v>2389</v>
      </c>
      <c r="S673">
        <v>2389</v>
      </c>
    </row>
    <row r="674" spans="6:19" x14ac:dyDescent="0.3">
      <c r="F674">
        <v>1102</v>
      </c>
      <c r="G674">
        <v>1279</v>
      </c>
      <c r="H674">
        <f t="shared" si="17"/>
        <v>2381</v>
      </c>
      <c r="S674">
        <v>2381</v>
      </c>
    </row>
    <row r="675" spans="6:19" x14ac:dyDescent="0.3">
      <c r="F675">
        <v>1107</v>
      </c>
      <c r="G675">
        <v>1282</v>
      </c>
      <c r="H675">
        <f t="shared" si="17"/>
        <v>2389</v>
      </c>
      <c r="S675">
        <v>2389</v>
      </c>
    </row>
    <row r="676" spans="6:19" x14ac:dyDescent="0.3">
      <c r="F676">
        <v>1100</v>
      </c>
      <c r="G676">
        <v>1295</v>
      </c>
      <c r="H676">
        <f t="shared" si="17"/>
        <v>2395</v>
      </c>
      <c r="S676">
        <v>2395</v>
      </c>
    </row>
    <row r="677" spans="6:19" x14ac:dyDescent="0.3">
      <c r="F677">
        <v>1086</v>
      </c>
      <c r="G677">
        <v>1294</v>
      </c>
      <c r="H677">
        <f t="shared" si="17"/>
        <v>2380</v>
      </c>
      <c r="S677">
        <v>2380</v>
      </c>
    </row>
    <row r="678" spans="6:19" x14ac:dyDescent="0.3">
      <c r="F678">
        <v>1099</v>
      </c>
      <c r="G678">
        <v>1305</v>
      </c>
      <c r="H678">
        <f t="shared" si="17"/>
        <v>2404</v>
      </c>
      <c r="S678">
        <v>2404</v>
      </c>
    </row>
    <row r="679" spans="6:19" x14ac:dyDescent="0.3">
      <c r="F679">
        <v>1106</v>
      </c>
      <c r="G679">
        <v>1287</v>
      </c>
      <c r="H679">
        <f t="shared" si="17"/>
        <v>2393</v>
      </c>
      <c r="S679">
        <v>2393</v>
      </c>
    </row>
    <row r="680" spans="6:19" x14ac:dyDescent="0.3">
      <c r="F680">
        <v>1092</v>
      </c>
      <c r="G680">
        <v>1320</v>
      </c>
      <c r="H680">
        <f t="shared" si="17"/>
        <v>2412</v>
      </c>
      <c r="S680">
        <v>2412</v>
      </c>
    </row>
    <row r="681" spans="6:19" x14ac:dyDescent="0.3">
      <c r="F681">
        <v>1093</v>
      </c>
      <c r="G681">
        <v>1320</v>
      </c>
      <c r="H681">
        <f t="shared" si="17"/>
        <v>2413</v>
      </c>
      <c r="S681">
        <v>2413</v>
      </c>
    </row>
    <row r="682" spans="6:19" x14ac:dyDescent="0.3">
      <c r="F682">
        <v>1109</v>
      </c>
      <c r="G682">
        <v>1307</v>
      </c>
      <c r="H682">
        <f t="shared" si="17"/>
        <v>2416</v>
      </c>
      <c r="S682">
        <v>2416</v>
      </c>
    </row>
    <row r="683" spans="6:19" x14ac:dyDescent="0.3">
      <c r="F683">
        <v>1112</v>
      </c>
      <c r="G683">
        <v>1307</v>
      </c>
      <c r="H683">
        <f t="shared" si="17"/>
        <v>2419</v>
      </c>
      <c r="S683">
        <v>2419</v>
      </c>
    </row>
    <row r="684" spans="6:19" x14ac:dyDescent="0.3">
      <c r="F684">
        <v>1175</v>
      </c>
      <c r="G684">
        <v>1247</v>
      </c>
      <c r="H684">
        <f t="shared" si="17"/>
        <v>2422</v>
      </c>
      <c r="S684">
        <v>2422</v>
      </c>
    </row>
    <row r="685" spans="6:19" x14ac:dyDescent="0.3">
      <c r="F685">
        <v>1089</v>
      </c>
      <c r="G685">
        <v>1312</v>
      </c>
      <c r="H685">
        <f t="shared" si="17"/>
        <v>2401</v>
      </c>
      <c r="S685">
        <v>2401</v>
      </c>
    </row>
    <row r="686" spans="6:19" x14ac:dyDescent="0.3">
      <c r="F686">
        <v>1075</v>
      </c>
      <c r="G686">
        <v>1329</v>
      </c>
      <c r="H686">
        <f t="shared" si="17"/>
        <v>2404</v>
      </c>
      <c r="S686">
        <v>2404</v>
      </c>
    </row>
    <row r="687" spans="6:19" x14ac:dyDescent="0.3">
      <c r="F687">
        <v>1084</v>
      </c>
      <c r="G687">
        <v>1324</v>
      </c>
      <c r="H687">
        <f t="shared" si="17"/>
        <v>2408</v>
      </c>
      <c r="S687">
        <v>2408</v>
      </c>
    </row>
    <row r="688" spans="6:19" x14ac:dyDescent="0.3">
      <c r="F688">
        <v>1071</v>
      </c>
      <c r="G688">
        <v>1335</v>
      </c>
      <c r="H688">
        <f t="shared" si="17"/>
        <v>2406</v>
      </c>
      <c r="S688">
        <v>2406</v>
      </c>
    </row>
    <row r="689" spans="6:19" x14ac:dyDescent="0.3">
      <c r="F689">
        <v>1090</v>
      </c>
      <c r="G689">
        <v>1315</v>
      </c>
      <c r="H689">
        <f t="shared" si="17"/>
        <v>2405</v>
      </c>
      <c r="S689">
        <v>2405</v>
      </c>
    </row>
    <row r="690" spans="6:19" x14ac:dyDescent="0.3">
      <c r="F690">
        <v>1111</v>
      </c>
      <c r="G690">
        <v>1282</v>
      </c>
      <c r="H690">
        <f t="shared" si="17"/>
        <v>2393</v>
      </c>
      <c r="S690">
        <v>2393</v>
      </c>
    </row>
    <row r="691" spans="6:19" x14ac:dyDescent="0.3">
      <c r="F691">
        <v>1117</v>
      </c>
      <c r="G691">
        <v>1265</v>
      </c>
      <c r="H691">
        <f t="shared" si="17"/>
        <v>2382</v>
      </c>
      <c r="S691">
        <v>2382</v>
      </c>
    </row>
    <row r="692" spans="6:19" x14ac:dyDescent="0.3">
      <c r="F692">
        <v>1100</v>
      </c>
      <c r="G692">
        <v>1302</v>
      </c>
      <c r="H692">
        <f t="shared" si="17"/>
        <v>2402</v>
      </c>
      <c r="S692">
        <v>2402</v>
      </c>
    </row>
    <row r="693" spans="6:19" x14ac:dyDescent="0.3">
      <c r="F693">
        <v>1116</v>
      </c>
      <c r="G693">
        <v>1289</v>
      </c>
      <c r="H693">
        <f t="shared" si="17"/>
        <v>2405</v>
      </c>
      <c r="S693">
        <v>2405</v>
      </c>
    </row>
    <row r="694" spans="6:19" x14ac:dyDescent="0.3">
      <c r="F694">
        <v>1186</v>
      </c>
      <c r="G694">
        <v>1229</v>
      </c>
      <c r="H694">
        <f t="shared" si="17"/>
        <v>2415</v>
      </c>
      <c r="S694">
        <v>2415</v>
      </c>
    </row>
    <row r="695" spans="6:19" x14ac:dyDescent="0.3">
      <c r="F695">
        <v>1160</v>
      </c>
      <c r="G695">
        <v>1252</v>
      </c>
      <c r="H695">
        <f t="shared" si="17"/>
        <v>2412</v>
      </c>
      <c r="S695">
        <v>2412</v>
      </c>
    </row>
    <row r="696" spans="6:19" x14ac:dyDescent="0.3">
      <c r="F696">
        <v>1100</v>
      </c>
      <c r="G696">
        <v>1295</v>
      </c>
      <c r="H696">
        <f t="shared" si="17"/>
        <v>2395</v>
      </c>
      <c r="S696">
        <v>2395</v>
      </c>
    </row>
    <row r="697" spans="6:19" x14ac:dyDescent="0.3">
      <c r="F697">
        <v>1182</v>
      </c>
      <c r="G697">
        <v>1230</v>
      </c>
      <c r="H697">
        <f t="shared" si="17"/>
        <v>2412</v>
      </c>
      <c r="S697">
        <v>2412</v>
      </c>
    </row>
    <row r="698" spans="6:19" x14ac:dyDescent="0.3">
      <c r="F698">
        <v>1114</v>
      </c>
      <c r="G698">
        <v>1282</v>
      </c>
      <c r="H698">
        <f t="shared" si="17"/>
        <v>2396</v>
      </c>
      <c r="S698">
        <v>2396</v>
      </c>
    </row>
    <row r="699" spans="6:19" x14ac:dyDescent="0.3">
      <c r="F699">
        <v>1113</v>
      </c>
      <c r="G699">
        <v>1276</v>
      </c>
      <c r="H699">
        <f t="shared" si="17"/>
        <v>2389</v>
      </c>
      <c r="S699">
        <v>2389</v>
      </c>
    </row>
    <row r="700" spans="6:19" x14ac:dyDescent="0.3">
      <c r="F700">
        <v>1193</v>
      </c>
      <c r="G700">
        <v>1212</v>
      </c>
      <c r="H700">
        <f t="shared" si="17"/>
        <v>2405</v>
      </c>
      <c r="S700">
        <v>2405</v>
      </c>
    </row>
    <row r="701" spans="6:19" x14ac:dyDescent="0.3">
      <c r="F701">
        <v>1165</v>
      </c>
      <c r="G701">
        <v>1247</v>
      </c>
      <c r="H701">
        <f t="shared" si="17"/>
        <v>2412</v>
      </c>
      <c r="S701">
        <v>2412</v>
      </c>
    </row>
    <row r="702" spans="6:19" x14ac:dyDescent="0.3">
      <c r="F702">
        <v>1018</v>
      </c>
      <c r="G702">
        <v>1297</v>
      </c>
      <c r="H702">
        <f t="shared" si="17"/>
        <v>2315</v>
      </c>
      <c r="S702">
        <v>2315</v>
      </c>
    </row>
    <row r="703" spans="6:19" x14ac:dyDescent="0.3">
      <c r="F703">
        <v>473</v>
      </c>
      <c r="G703">
        <v>484</v>
      </c>
      <c r="H703">
        <f t="shared" si="17"/>
        <v>957</v>
      </c>
      <c r="S703">
        <v>957</v>
      </c>
    </row>
    <row r="704" spans="6:19" x14ac:dyDescent="0.3">
      <c r="F704">
        <v>483</v>
      </c>
      <c r="G704">
        <v>494</v>
      </c>
      <c r="H704">
        <f t="shared" si="17"/>
        <v>977</v>
      </c>
      <c r="S704">
        <v>977</v>
      </c>
    </row>
    <row r="705" spans="6:19" x14ac:dyDescent="0.3">
      <c r="F705">
        <v>618</v>
      </c>
      <c r="G705">
        <v>694</v>
      </c>
      <c r="H705">
        <f t="shared" si="17"/>
        <v>1312</v>
      </c>
      <c r="S705">
        <v>1312</v>
      </c>
    </row>
    <row r="706" spans="6:19" x14ac:dyDescent="0.3">
      <c r="F706">
        <v>588</v>
      </c>
      <c r="G706">
        <v>851</v>
      </c>
      <c r="H706">
        <f t="shared" ref="H706:H769" si="18">F706+G706</f>
        <v>1439</v>
      </c>
      <c r="S706">
        <v>1439</v>
      </c>
    </row>
    <row r="707" spans="6:19" x14ac:dyDescent="0.3">
      <c r="F707">
        <v>492</v>
      </c>
      <c r="G707">
        <v>502</v>
      </c>
      <c r="H707">
        <f t="shared" si="18"/>
        <v>994</v>
      </c>
      <c r="S707">
        <v>994</v>
      </c>
    </row>
    <row r="708" spans="6:19" x14ac:dyDescent="0.3">
      <c r="F708">
        <v>489</v>
      </c>
      <c r="G708">
        <v>500</v>
      </c>
      <c r="H708">
        <f t="shared" si="18"/>
        <v>989</v>
      </c>
      <c r="S708">
        <v>989</v>
      </c>
    </row>
    <row r="709" spans="6:19" x14ac:dyDescent="0.3">
      <c r="F709">
        <v>513</v>
      </c>
      <c r="G709">
        <v>520</v>
      </c>
      <c r="H709">
        <f t="shared" si="18"/>
        <v>1033</v>
      </c>
      <c r="S709">
        <v>1033</v>
      </c>
    </row>
    <row r="710" spans="6:19" x14ac:dyDescent="0.3">
      <c r="F710">
        <v>509</v>
      </c>
      <c r="G710">
        <v>519</v>
      </c>
      <c r="H710">
        <f t="shared" si="18"/>
        <v>1028</v>
      </c>
      <c r="S710">
        <v>1028</v>
      </c>
    </row>
    <row r="711" spans="6:19" x14ac:dyDescent="0.3">
      <c r="F711">
        <v>907</v>
      </c>
      <c r="G711">
        <v>1020</v>
      </c>
      <c r="H711">
        <f t="shared" si="18"/>
        <v>1927</v>
      </c>
      <c r="S711">
        <v>1927</v>
      </c>
    </row>
    <row r="712" spans="6:19" x14ac:dyDescent="0.3">
      <c r="F712">
        <v>1081</v>
      </c>
      <c r="G712">
        <v>1295</v>
      </c>
      <c r="H712">
        <f t="shared" si="18"/>
        <v>2376</v>
      </c>
      <c r="S712">
        <v>2376</v>
      </c>
    </row>
    <row r="713" spans="6:19" x14ac:dyDescent="0.3">
      <c r="F713">
        <v>1091</v>
      </c>
      <c r="G713">
        <v>1296</v>
      </c>
      <c r="H713">
        <f t="shared" si="18"/>
        <v>2387</v>
      </c>
      <c r="S713">
        <v>2387</v>
      </c>
    </row>
    <row r="714" spans="6:19" x14ac:dyDescent="0.3">
      <c r="F714">
        <v>1076</v>
      </c>
      <c r="G714">
        <v>1309</v>
      </c>
      <c r="H714">
        <f t="shared" si="18"/>
        <v>2385</v>
      </c>
      <c r="S714">
        <v>2385</v>
      </c>
    </row>
    <row r="715" spans="6:19" x14ac:dyDescent="0.3">
      <c r="F715">
        <v>1084</v>
      </c>
      <c r="G715">
        <v>1301</v>
      </c>
      <c r="H715">
        <f t="shared" si="18"/>
        <v>2385</v>
      </c>
      <c r="S715">
        <v>2385</v>
      </c>
    </row>
    <row r="716" spans="6:19" x14ac:dyDescent="0.3">
      <c r="F716">
        <v>1096</v>
      </c>
      <c r="G716">
        <v>1282</v>
      </c>
      <c r="H716">
        <f t="shared" si="18"/>
        <v>2378</v>
      </c>
      <c r="S716">
        <v>2378</v>
      </c>
    </row>
    <row r="717" spans="6:19" x14ac:dyDescent="0.3">
      <c r="F717">
        <v>1101</v>
      </c>
      <c r="G717">
        <v>1282</v>
      </c>
      <c r="H717">
        <f t="shared" si="18"/>
        <v>2383</v>
      </c>
      <c r="S717">
        <v>2383</v>
      </c>
    </row>
    <row r="718" spans="6:19" x14ac:dyDescent="0.3">
      <c r="F718">
        <v>1095</v>
      </c>
      <c r="G718">
        <v>1301</v>
      </c>
      <c r="H718">
        <f t="shared" si="18"/>
        <v>2396</v>
      </c>
      <c r="S718">
        <v>2396</v>
      </c>
    </row>
    <row r="719" spans="6:19" x14ac:dyDescent="0.3">
      <c r="F719">
        <v>1109</v>
      </c>
      <c r="G719">
        <v>1304</v>
      </c>
      <c r="H719">
        <f t="shared" si="18"/>
        <v>2413</v>
      </c>
      <c r="S719">
        <v>2413</v>
      </c>
    </row>
    <row r="720" spans="6:19" x14ac:dyDescent="0.3">
      <c r="F720">
        <v>1118</v>
      </c>
      <c r="G720">
        <v>1297</v>
      </c>
      <c r="H720">
        <f t="shared" si="18"/>
        <v>2415</v>
      </c>
      <c r="S720">
        <v>2415</v>
      </c>
    </row>
    <row r="721" spans="6:19" x14ac:dyDescent="0.3">
      <c r="F721">
        <v>1101</v>
      </c>
      <c r="G721">
        <v>1305</v>
      </c>
      <c r="H721">
        <f t="shared" si="18"/>
        <v>2406</v>
      </c>
      <c r="S721">
        <v>2406</v>
      </c>
    </row>
    <row r="722" spans="6:19" x14ac:dyDescent="0.3">
      <c r="F722">
        <v>1098</v>
      </c>
      <c r="G722">
        <v>1306</v>
      </c>
      <c r="H722">
        <f t="shared" si="18"/>
        <v>2404</v>
      </c>
      <c r="S722">
        <v>2404</v>
      </c>
    </row>
    <row r="723" spans="6:19" x14ac:dyDescent="0.3">
      <c r="F723">
        <v>1120</v>
      </c>
      <c r="G723">
        <v>1289</v>
      </c>
      <c r="H723">
        <f t="shared" si="18"/>
        <v>2409</v>
      </c>
      <c r="S723">
        <v>2409</v>
      </c>
    </row>
    <row r="724" spans="6:19" x14ac:dyDescent="0.3">
      <c r="F724">
        <v>1101</v>
      </c>
      <c r="G724">
        <v>1312</v>
      </c>
      <c r="H724">
        <f t="shared" si="18"/>
        <v>2413</v>
      </c>
      <c r="S724">
        <v>2413</v>
      </c>
    </row>
    <row r="725" spans="6:19" x14ac:dyDescent="0.3">
      <c r="F725">
        <v>1090</v>
      </c>
      <c r="G725">
        <v>1316</v>
      </c>
      <c r="H725">
        <f t="shared" si="18"/>
        <v>2406</v>
      </c>
      <c r="S725">
        <v>2406</v>
      </c>
    </row>
    <row r="726" spans="6:19" x14ac:dyDescent="0.3">
      <c r="F726">
        <v>1094</v>
      </c>
      <c r="G726">
        <v>1312</v>
      </c>
      <c r="H726">
        <f t="shared" si="18"/>
        <v>2406</v>
      </c>
      <c r="S726">
        <v>2406</v>
      </c>
    </row>
    <row r="727" spans="6:19" x14ac:dyDescent="0.3">
      <c r="F727">
        <v>1101</v>
      </c>
      <c r="G727">
        <v>1304</v>
      </c>
      <c r="H727">
        <f t="shared" si="18"/>
        <v>2405</v>
      </c>
      <c r="S727">
        <v>2405</v>
      </c>
    </row>
    <row r="728" spans="6:19" x14ac:dyDescent="0.3">
      <c r="F728">
        <v>1093</v>
      </c>
      <c r="G728">
        <v>1313</v>
      </c>
      <c r="H728">
        <f t="shared" si="18"/>
        <v>2406</v>
      </c>
      <c r="S728">
        <v>2406</v>
      </c>
    </row>
    <row r="729" spans="6:19" x14ac:dyDescent="0.3">
      <c r="F729">
        <v>1092</v>
      </c>
      <c r="G729">
        <v>1311</v>
      </c>
      <c r="H729">
        <f t="shared" si="18"/>
        <v>2403</v>
      </c>
      <c r="S729">
        <v>2403</v>
      </c>
    </row>
    <row r="730" spans="6:19" x14ac:dyDescent="0.3">
      <c r="F730">
        <v>1069</v>
      </c>
      <c r="G730">
        <v>1297</v>
      </c>
      <c r="H730">
        <f t="shared" si="18"/>
        <v>2366</v>
      </c>
      <c r="S730">
        <v>2366</v>
      </c>
    </row>
    <row r="731" spans="6:19" x14ac:dyDescent="0.3">
      <c r="F731">
        <v>1088</v>
      </c>
      <c r="G731">
        <v>1307</v>
      </c>
      <c r="H731">
        <f t="shared" si="18"/>
        <v>2395</v>
      </c>
      <c r="S731">
        <v>2395</v>
      </c>
    </row>
    <row r="732" spans="6:19" x14ac:dyDescent="0.3">
      <c r="F732">
        <v>1075</v>
      </c>
      <c r="G732">
        <v>1301</v>
      </c>
      <c r="H732">
        <f t="shared" si="18"/>
        <v>2376</v>
      </c>
      <c r="S732">
        <v>2376</v>
      </c>
    </row>
    <row r="733" spans="6:19" x14ac:dyDescent="0.3">
      <c r="F733">
        <v>1083</v>
      </c>
      <c r="G733">
        <v>1302</v>
      </c>
      <c r="H733">
        <f t="shared" si="18"/>
        <v>2385</v>
      </c>
      <c r="S733">
        <v>2385</v>
      </c>
    </row>
    <row r="734" spans="6:19" x14ac:dyDescent="0.3">
      <c r="F734">
        <v>1072</v>
      </c>
      <c r="G734">
        <v>1330</v>
      </c>
      <c r="H734">
        <f t="shared" si="18"/>
        <v>2402</v>
      </c>
      <c r="S734">
        <v>2402</v>
      </c>
    </row>
    <row r="735" spans="6:19" x14ac:dyDescent="0.3">
      <c r="F735">
        <v>1087</v>
      </c>
      <c r="G735">
        <v>1299</v>
      </c>
      <c r="H735">
        <f t="shared" si="18"/>
        <v>2386</v>
      </c>
      <c r="S735">
        <v>2386</v>
      </c>
    </row>
    <row r="736" spans="6:19" x14ac:dyDescent="0.3">
      <c r="F736">
        <v>1075</v>
      </c>
      <c r="G736">
        <v>1304</v>
      </c>
      <c r="H736">
        <f t="shared" si="18"/>
        <v>2379</v>
      </c>
      <c r="S736">
        <v>2379</v>
      </c>
    </row>
    <row r="737" spans="6:19" x14ac:dyDescent="0.3">
      <c r="F737">
        <v>1115</v>
      </c>
      <c r="G737">
        <v>1270</v>
      </c>
      <c r="H737">
        <f t="shared" si="18"/>
        <v>2385</v>
      </c>
      <c r="S737">
        <v>2385</v>
      </c>
    </row>
    <row r="738" spans="6:19" x14ac:dyDescent="0.3">
      <c r="F738">
        <v>1103</v>
      </c>
      <c r="G738">
        <v>1267</v>
      </c>
      <c r="H738">
        <f t="shared" si="18"/>
        <v>2370</v>
      </c>
      <c r="S738">
        <v>2370</v>
      </c>
    </row>
    <row r="739" spans="6:19" x14ac:dyDescent="0.3">
      <c r="F739">
        <v>1109</v>
      </c>
      <c r="G739">
        <v>1277</v>
      </c>
      <c r="H739">
        <f t="shared" si="18"/>
        <v>2386</v>
      </c>
      <c r="S739">
        <v>2386</v>
      </c>
    </row>
    <row r="740" spans="6:19" x14ac:dyDescent="0.3">
      <c r="F740">
        <v>1159</v>
      </c>
      <c r="G740">
        <v>1225</v>
      </c>
      <c r="H740">
        <f t="shared" si="18"/>
        <v>2384</v>
      </c>
      <c r="S740">
        <v>2384</v>
      </c>
    </row>
    <row r="741" spans="6:19" x14ac:dyDescent="0.3">
      <c r="F741">
        <v>1189</v>
      </c>
      <c r="G741">
        <v>1197</v>
      </c>
      <c r="H741">
        <f t="shared" si="18"/>
        <v>2386</v>
      </c>
      <c r="S741">
        <v>2386</v>
      </c>
    </row>
    <row r="742" spans="6:19" x14ac:dyDescent="0.3">
      <c r="F742">
        <v>1119</v>
      </c>
      <c r="G742">
        <v>1290</v>
      </c>
      <c r="H742">
        <f t="shared" si="18"/>
        <v>2409</v>
      </c>
      <c r="S742">
        <v>2409</v>
      </c>
    </row>
    <row r="743" spans="6:19" x14ac:dyDescent="0.3">
      <c r="F743">
        <v>1121</v>
      </c>
      <c r="G743">
        <v>1288</v>
      </c>
      <c r="H743">
        <f t="shared" si="18"/>
        <v>2409</v>
      </c>
      <c r="S743">
        <v>2409</v>
      </c>
    </row>
    <row r="744" spans="6:19" x14ac:dyDescent="0.3">
      <c r="F744">
        <v>1140</v>
      </c>
      <c r="G744">
        <v>1276</v>
      </c>
      <c r="H744">
        <f t="shared" si="18"/>
        <v>2416</v>
      </c>
      <c r="S744">
        <v>2416</v>
      </c>
    </row>
    <row r="745" spans="6:19" x14ac:dyDescent="0.3">
      <c r="F745">
        <v>503</v>
      </c>
      <c r="G745">
        <v>925</v>
      </c>
      <c r="H745">
        <f t="shared" si="18"/>
        <v>1428</v>
      </c>
      <c r="S745">
        <v>1428</v>
      </c>
    </row>
    <row r="746" spans="6:19" x14ac:dyDescent="0.3">
      <c r="F746">
        <v>697</v>
      </c>
      <c r="G746">
        <v>891</v>
      </c>
      <c r="H746">
        <f t="shared" si="18"/>
        <v>1588</v>
      </c>
      <c r="S746">
        <v>1588</v>
      </c>
    </row>
    <row r="747" spans="6:19" x14ac:dyDescent="0.3">
      <c r="F747">
        <v>481</v>
      </c>
      <c r="G747">
        <v>768</v>
      </c>
      <c r="H747">
        <f t="shared" si="18"/>
        <v>1249</v>
      </c>
      <c r="S747">
        <v>1249</v>
      </c>
    </row>
    <row r="748" spans="6:19" x14ac:dyDescent="0.3">
      <c r="F748">
        <v>501</v>
      </c>
      <c r="G748">
        <v>511</v>
      </c>
      <c r="H748">
        <f t="shared" si="18"/>
        <v>1012</v>
      </c>
      <c r="S748">
        <v>1012</v>
      </c>
    </row>
    <row r="749" spans="6:19" x14ac:dyDescent="0.3">
      <c r="F749">
        <v>516</v>
      </c>
      <c r="G749">
        <v>527</v>
      </c>
      <c r="H749">
        <f t="shared" si="18"/>
        <v>1043</v>
      </c>
      <c r="S749">
        <v>1043</v>
      </c>
    </row>
    <row r="750" spans="6:19" x14ac:dyDescent="0.3">
      <c r="F750">
        <v>514</v>
      </c>
      <c r="G750">
        <v>525</v>
      </c>
      <c r="H750">
        <f t="shared" si="18"/>
        <v>1039</v>
      </c>
      <c r="S750">
        <v>1039</v>
      </c>
    </row>
    <row r="751" spans="6:19" x14ac:dyDescent="0.3">
      <c r="F751">
        <v>492</v>
      </c>
      <c r="G751">
        <v>502</v>
      </c>
      <c r="H751">
        <f t="shared" si="18"/>
        <v>994</v>
      </c>
      <c r="S751">
        <v>994</v>
      </c>
    </row>
    <row r="752" spans="6:19" x14ac:dyDescent="0.3">
      <c r="F752">
        <v>559</v>
      </c>
      <c r="G752">
        <v>630</v>
      </c>
      <c r="H752">
        <f t="shared" si="18"/>
        <v>1189</v>
      </c>
      <c r="S752">
        <v>1189</v>
      </c>
    </row>
    <row r="753" spans="6:19" x14ac:dyDescent="0.3">
      <c r="F753">
        <v>860</v>
      </c>
      <c r="G753">
        <v>993</v>
      </c>
      <c r="H753">
        <f t="shared" si="18"/>
        <v>1853</v>
      </c>
      <c r="S753">
        <v>1853</v>
      </c>
    </row>
    <row r="754" spans="6:19" x14ac:dyDescent="0.3">
      <c r="F754">
        <v>1096</v>
      </c>
      <c r="G754">
        <v>1304</v>
      </c>
      <c r="H754">
        <f t="shared" si="18"/>
        <v>2400</v>
      </c>
      <c r="S754">
        <v>2400</v>
      </c>
    </row>
    <row r="755" spans="6:19" x14ac:dyDescent="0.3">
      <c r="F755">
        <v>1092</v>
      </c>
      <c r="G755">
        <v>1305</v>
      </c>
      <c r="H755">
        <f t="shared" si="18"/>
        <v>2397</v>
      </c>
      <c r="S755">
        <v>2397</v>
      </c>
    </row>
    <row r="756" spans="6:19" x14ac:dyDescent="0.3">
      <c r="F756">
        <v>1087</v>
      </c>
      <c r="G756">
        <v>1297</v>
      </c>
      <c r="H756">
        <f t="shared" si="18"/>
        <v>2384</v>
      </c>
      <c r="S756">
        <v>2384</v>
      </c>
    </row>
    <row r="757" spans="6:19" x14ac:dyDescent="0.3">
      <c r="F757">
        <v>1081</v>
      </c>
      <c r="G757">
        <v>1306</v>
      </c>
      <c r="H757">
        <f t="shared" si="18"/>
        <v>2387</v>
      </c>
      <c r="S757">
        <v>2387</v>
      </c>
    </row>
    <row r="758" spans="6:19" x14ac:dyDescent="0.3">
      <c r="F758">
        <v>1097</v>
      </c>
      <c r="G758">
        <v>1288</v>
      </c>
      <c r="H758">
        <f t="shared" si="18"/>
        <v>2385</v>
      </c>
      <c r="S758">
        <v>2385</v>
      </c>
    </row>
    <row r="759" spans="6:19" x14ac:dyDescent="0.3">
      <c r="F759">
        <v>1090</v>
      </c>
      <c r="G759">
        <v>1300</v>
      </c>
      <c r="H759">
        <f t="shared" si="18"/>
        <v>2390</v>
      </c>
      <c r="S759">
        <v>2390</v>
      </c>
    </row>
    <row r="760" spans="6:19" x14ac:dyDescent="0.3">
      <c r="F760">
        <v>1116</v>
      </c>
      <c r="G760">
        <v>1269</v>
      </c>
      <c r="H760">
        <f t="shared" si="18"/>
        <v>2385</v>
      </c>
      <c r="S760">
        <v>2385</v>
      </c>
    </row>
    <row r="761" spans="6:19" x14ac:dyDescent="0.3">
      <c r="F761">
        <v>1089</v>
      </c>
      <c r="G761">
        <v>1293</v>
      </c>
      <c r="H761">
        <f t="shared" si="18"/>
        <v>2382</v>
      </c>
      <c r="S761">
        <v>2382</v>
      </c>
    </row>
    <row r="762" spans="6:19" x14ac:dyDescent="0.3">
      <c r="F762">
        <v>1087</v>
      </c>
      <c r="G762">
        <v>1311</v>
      </c>
      <c r="H762">
        <f t="shared" si="18"/>
        <v>2398</v>
      </c>
      <c r="S762">
        <v>2398</v>
      </c>
    </row>
    <row r="763" spans="6:19" x14ac:dyDescent="0.3">
      <c r="F763">
        <v>1113</v>
      </c>
      <c r="G763">
        <v>1298</v>
      </c>
      <c r="H763">
        <f t="shared" si="18"/>
        <v>2411</v>
      </c>
      <c r="S763">
        <v>2411</v>
      </c>
    </row>
    <row r="764" spans="6:19" x14ac:dyDescent="0.3">
      <c r="F764">
        <v>1100</v>
      </c>
      <c r="G764">
        <v>1324</v>
      </c>
      <c r="H764">
        <f t="shared" si="18"/>
        <v>2424</v>
      </c>
      <c r="S764">
        <v>2424</v>
      </c>
    </row>
    <row r="765" spans="6:19" x14ac:dyDescent="0.3">
      <c r="F765">
        <v>1106</v>
      </c>
      <c r="G765">
        <v>1309</v>
      </c>
      <c r="H765">
        <f t="shared" si="18"/>
        <v>2415</v>
      </c>
      <c r="S765">
        <v>2415</v>
      </c>
    </row>
    <row r="766" spans="6:19" x14ac:dyDescent="0.3">
      <c r="F766">
        <v>1087</v>
      </c>
      <c r="G766">
        <v>1280</v>
      </c>
      <c r="H766">
        <f t="shared" si="18"/>
        <v>2367</v>
      </c>
      <c r="S766">
        <v>2367</v>
      </c>
    </row>
    <row r="767" spans="6:19" x14ac:dyDescent="0.3">
      <c r="F767">
        <v>1095</v>
      </c>
      <c r="G767">
        <v>1296</v>
      </c>
      <c r="H767">
        <f t="shared" si="18"/>
        <v>2391</v>
      </c>
      <c r="S767">
        <v>2391</v>
      </c>
    </row>
    <row r="768" spans="6:19" x14ac:dyDescent="0.3">
      <c r="F768">
        <v>1100</v>
      </c>
      <c r="G768">
        <v>1290</v>
      </c>
      <c r="H768">
        <f t="shared" si="18"/>
        <v>2390</v>
      </c>
      <c r="S768">
        <v>2390</v>
      </c>
    </row>
    <row r="769" spans="6:19" x14ac:dyDescent="0.3">
      <c r="F769">
        <v>1108</v>
      </c>
      <c r="G769">
        <v>1301</v>
      </c>
      <c r="H769">
        <f t="shared" si="18"/>
        <v>2409</v>
      </c>
      <c r="S769">
        <v>2409</v>
      </c>
    </row>
    <row r="770" spans="6:19" x14ac:dyDescent="0.3">
      <c r="F770">
        <v>1093</v>
      </c>
      <c r="G770">
        <v>1317</v>
      </c>
      <c r="H770">
        <f t="shared" ref="H770:H833" si="19">F770+G770</f>
        <v>2410</v>
      </c>
      <c r="S770">
        <v>2410</v>
      </c>
    </row>
    <row r="771" spans="6:19" x14ac:dyDescent="0.3">
      <c r="F771">
        <v>1074</v>
      </c>
      <c r="G771">
        <v>1326</v>
      </c>
      <c r="H771">
        <f t="shared" si="19"/>
        <v>2400</v>
      </c>
      <c r="S771">
        <v>2400</v>
      </c>
    </row>
    <row r="772" spans="6:19" x14ac:dyDescent="0.3">
      <c r="F772">
        <v>1079</v>
      </c>
      <c r="G772">
        <v>1311</v>
      </c>
      <c r="H772">
        <f t="shared" si="19"/>
        <v>2390</v>
      </c>
      <c r="S772">
        <v>2390</v>
      </c>
    </row>
    <row r="773" spans="6:19" x14ac:dyDescent="0.3">
      <c r="F773">
        <v>1085</v>
      </c>
      <c r="G773">
        <v>1304</v>
      </c>
      <c r="H773">
        <f t="shared" si="19"/>
        <v>2389</v>
      </c>
      <c r="S773">
        <v>2389</v>
      </c>
    </row>
    <row r="774" spans="6:19" x14ac:dyDescent="0.3">
      <c r="F774">
        <v>1087</v>
      </c>
      <c r="G774">
        <v>1314</v>
      </c>
      <c r="H774">
        <f t="shared" si="19"/>
        <v>2401</v>
      </c>
      <c r="S774">
        <v>2401</v>
      </c>
    </row>
    <row r="775" spans="6:19" x14ac:dyDescent="0.3">
      <c r="F775">
        <v>1085</v>
      </c>
      <c r="G775">
        <v>1319</v>
      </c>
      <c r="H775">
        <f t="shared" si="19"/>
        <v>2404</v>
      </c>
      <c r="S775">
        <v>2404</v>
      </c>
    </row>
    <row r="776" spans="6:19" x14ac:dyDescent="0.3">
      <c r="F776">
        <v>1072</v>
      </c>
      <c r="G776">
        <v>1311</v>
      </c>
      <c r="H776">
        <f t="shared" si="19"/>
        <v>2383</v>
      </c>
      <c r="S776">
        <v>2383</v>
      </c>
    </row>
    <row r="777" spans="6:19" x14ac:dyDescent="0.3">
      <c r="F777">
        <v>1068</v>
      </c>
      <c r="G777">
        <v>1296</v>
      </c>
      <c r="H777">
        <f t="shared" si="19"/>
        <v>2364</v>
      </c>
      <c r="S777">
        <v>2364</v>
      </c>
    </row>
    <row r="778" spans="6:19" x14ac:dyDescent="0.3">
      <c r="F778">
        <v>1065</v>
      </c>
      <c r="G778">
        <v>1301</v>
      </c>
      <c r="H778">
        <f t="shared" si="19"/>
        <v>2366</v>
      </c>
      <c r="S778">
        <v>2366</v>
      </c>
    </row>
    <row r="779" spans="6:19" x14ac:dyDescent="0.3">
      <c r="F779">
        <v>1122</v>
      </c>
      <c r="G779">
        <v>1256</v>
      </c>
      <c r="H779">
        <f t="shared" si="19"/>
        <v>2378</v>
      </c>
      <c r="S779">
        <v>2378</v>
      </c>
    </row>
    <row r="780" spans="6:19" x14ac:dyDescent="0.3">
      <c r="F780">
        <v>1175</v>
      </c>
      <c r="G780">
        <v>1207</v>
      </c>
      <c r="H780">
        <f t="shared" si="19"/>
        <v>2382</v>
      </c>
      <c r="S780">
        <v>2382</v>
      </c>
    </row>
    <row r="781" spans="6:19" x14ac:dyDescent="0.3">
      <c r="F781">
        <v>1108</v>
      </c>
      <c r="G781">
        <v>1259</v>
      </c>
      <c r="H781">
        <f t="shared" si="19"/>
        <v>2367</v>
      </c>
      <c r="S781">
        <v>2367</v>
      </c>
    </row>
    <row r="782" spans="6:19" x14ac:dyDescent="0.3">
      <c r="F782">
        <v>1123</v>
      </c>
      <c r="G782">
        <v>1264</v>
      </c>
      <c r="H782">
        <f t="shared" si="19"/>
        <v>2387</v>
      </c>
      <c r="S782">
        <v>2387</v>
      </c>
    </row>
    <row r="783" spans="6:19" x14ac:dyDescent="0.3">
      <c r="F783">
        <v>1174</v>
      </c>
      <c r="G783">
        <v>1232</v>
      </c>
      <c r="H783">
        <f t="shared" si="19"/>
        <v>2406</v>
      </c>
      <c r="S783">
        <v>2406</v>
      </c>
    </row>
    <row r="784" spans="6:19" x14ac:dyDescent="0.3">
      <c r="F784">
        <v>1089</v>
      </c>
      <c r="G784">
        <v>1317</v>
      </c>
      <c r="H784">
        <f t="shared" si="19"/>
        <v>2406</v>
      </c>
      <c r="S784">
        <v>2406</v>
      </c>
    </row>
    <row r="785" spans="6:19" x14ac:dyDescent="0.3">
      <c r="F785">
        <v>1113</v>
      </c>
      <c r="G785">
        <v>1290</v>
      </c>
      <c r="H785">
        <f t="shared" si="19"/>
        <v>2403</v>
      </c>
      <c r="S785">
        <v>2403</v>
      </c>
    </row>
    <row r="786" spans="6:19" x14ac:dyDescent="0.3">
      <c r="F786">
        <v>717</v>
      </c>
      <c r="G786">
        <v>991</v>
      </c>
      <c r="H786">
        <f t="shared" si="19"/>
        <v>1708</v>
      </c>
      <c r="S786">
        <v>1708</v>
      </c>
    </row>
    <row r="787" spans="6:19" x14ac:dyDescent="0.3">
      <c r="F787">
        <v>511</v>
      </c>
      <c r="G787">
        <v>863</v>
      </c>
      <c r="H787">
        <f t="shared" si="19"/>
        <v>1374</v>
      </c>
      <c r="S787">
        <v>1374</v>
      </c>
    </row>
    <row r="788" spans="6:19" x14ac:dyDescent="0.3">
      <c r="F788">
        <v>623</v>
      </c>
      <c r="G788">
        <v>877</v>
      </c>
      <c r="H788">
        <f t="shared" si="19"/>
        <v>1500</v>
      </c>
      <c r="S788">
        <v>1500</v>
      </c>
    </row>
    <row r="789" spans="6:19" x14ac:dyDescent="0.3">
      <c r="F789">
        <v>493</v>
      </c>
      <c r="G789">
        <v>612</v>
      </c>
      <c r="H789">
        <f t="shared" si="19"/>
        <v>1105</v>
      </c>
      <c r="S789">
        <v>1105</v>
      </c>
    </row>
    <row r="790" spans="6:19" x14ac:dyDescent="0.3">
      <c r="F790">
        <v>487</v>
      </c>
      <c r="G790">
        <v>498</v>
      </c>
      <c r="H790">
        <f t="shared" si="19"/>
        <v>985</v>
      </c>
      <c r="S790">
        <v>985</v>
      </c>
    </row>
    <row r="791" spans="6:19" x14ac:dyDescent="0.3">
      <c r="F791">
        <v>491</v>
      </c>
      <c r="G791">
        <v>502</v>
      </c>
      <c r="H791">
        <f t="shared" si="19"/>
        <v>993</v>
      </c>
      <c r="S791">
        <v>993</v>
      </c>
    </row>
    <row r="792" spans="6:19" x14ac:dyDescent="0.3">
      <c r="F792">
        <v>501</v>
      </c>
      <c r="G792">
        <v>515</v>
      </c>
      <c r="H792">
        <f t="shared" si="19"/>
        <v>1016</v>
      </c>
      <c r="S792">
        <v>1016</v>
      </c>
    </row>
    <row r="793" spans="6:19" x14ac:dyDescent="0.3">
      <c r="F793">
        <v>512</v>
      </c>
      <c r="G793">
        <v>523</v>
      </c>
      <c r="H793">
        <f t="shared" si="19"/>
        <v>1035</v>
      </c>
      <c r="S793">
        <v>1035</v>
      </c>
    </row>
    <row r="794" spans="6:19" x14ac:dyDescent="0.3">
      <c r="F794">
        <v>658</v>
      </c>
      <c r="G794">
        <v>724</v>
      </c>
      <c r="H794">
        <f t="shared" si="19"/>
        <v>1382</v>
      </c>
      <c r="S794">
        <v>1382</v>
      </c>
    </row>
    <row r="795" spans="6:19" x14ac:dyDescent="0.3">
      <c r="F795">
        <v>950</v>
      </c>
      <c r="G795">
        <v>1110</v>
      </c>
      <c r="H795">
        <f t="shared" si="19"/>
        <v>2060</v>
      </c>
      <c r="S795">
        <v>2060</v>
      </c>
    </row>
    <row r="796" spans="6:19" x14ac:dyDescent="0.3">
      <c r="F796">
        <v>1080</v>
      </c>
      <c r="G796">
        <v>1325</v>
      </c>
      <c r="H796">
        <f t="shared" si="19"/>
        <v>2405</v>
      </c>
      <c r="S796">
        <v>2405</v>
      </c>
    </row>
    <row r="797" spans="6:19" x14ac:dyDescent="0.3">
      <c r="F797">
        <v>1096</v>
      </c>
      <c r="G797">
        <v>1273</v>
      </c>
      <c r="H797">
        <f t="shared" si="19"/>
        <v>2369</v>
      </c>
      <c r="S797">
        <v>2369</v>
      </c>
    </row>
    <row r="798" spans="6:19" x14ac:dyDescent="0.3">
      <c r="F798">
        <v>1089</v>
      </c>
      <c r="G798">
        <v>1288</v>
      </c>
      <c r="H798">
        <f t="shared" si="19"/>
        <v>2377</v>
      </c>
      <c r="S798">
        <v>2377</v>
      </c>
    </row>
    <row r="799" spans="6:19" x14ac:dyDescent="0.3">
      <c r="F799">
        <v>1079</v>
      </c>
      <c r="G799">
        <v>1311</v>
      </c>
      <c r="H799">
        <f t="shared" si="19"/>
        <v>2390</v>
      </c>
      <c r="S799">
        <v>2390</v>
      </c>
    </row>
    <row r="800" spans="6:19" x14ac:dyDescent="0.3">
      <c r="F800">
        <v>1099</v>
      </c>
      <c r="G800">
        <v>1281</v>
      </c>
      <c r="H800">
        <f t="shared" si="19"/>
        <v>2380</v>
      </c>
      <c r="S800">
        <v>2380</v>
      </c>
    </row>
    <row r="801" spans="6:19" x14ac:dyDescent="0.3">
      <c r="F801">
        <v>1093</v>
      </c>
      <c r="G801">
        <v>1299</v>
      </c>
      <c r="H801">
        <f t="shared" si="19"/>
        <v>2392</v>
      </c>
      <c r="S801">
        <v>2392</v>
      </c>
    </row>
    <row r="802" spans="6:19" x14ac:dyDescent="0.3">
      <c r="F802">
        <v>1090</v>
      </c>
      <c r="G802">
        <v>1289</v>
      </c>
      <c r="H802">
        <f t="shared" si="19"/>
        <v>2379</v>
      </c>
      <c r="S802">
        <v>2379</v>
      </c>
    </row>
    <row r="803" spans="6:19" x14ac:dyDescent="0.3">
      <c r="F803">
        <v>1101</v>
      </c>
      <c r="G803">
        <v>1280</v>
      </c>
      <c r="H803">
        <f t="shared" si="19"/>
        <v>2381</v>
      </c>
      <c r="S803">
        <v>2381</v>
      </c>
    </row>
    <row r="804" spans="6:19" x14ac:dyDescent="0.3">
      <c r="F804">
        <v>1085</v>
      </c>
      <c r="G804">
        <v>1295</v>
      </c>
      <c r="H804">
        <f t="shared" si="19"/>
        <v>2380</v>
      </c>
      <c r="S804">
        <v>2380</v>
      </c>
    </row>
    <row r="805" spans="6:19" x14ac:dyDescent="0.3">
      <c r="F805">
        <v>1096</v>
      </c>
      <c r="G805">
        <v>1275</v>
      </c>
      <c r="H805">
        <f t="shared" si="19"/>
        <v>2371</v>
      </c>
      <c r="S805">
        <v>2371</v>
      </c>
    </row>
    <row r="806" spans="6:19" x14ac:dyDescent="0.3">
      <c r="F806">
        <v>1082</v>
      </c>
      <c r="G806">
        <v>1287</v>
      </c>
      <c r="H806">
        <f t="shared" si="19"/>
        <v>2369</v>
      </c>
      <c r="S806">
        <v>2369</v>
      </c>
    </row>
    <row r="807" spans="6:19" x14ac:dyDescent="0.3">
      <c r="F807">
        <v>1103</v>
      </c>
      <c r="G807">
        <v>1287</v>
      </c>
      <c r="H807">
        <f t="shared" si="19"/>
        <v>2390</v>
      </c>
      <c r="S807">
        <v>2390</v>
      </c>
    </row>
    <row r="808" spans="6:19" x14ac:dyDescent="0.3">
      <c r="F808">
        <v>1095</v>
      </c>
      <c r="G808">
        <v>1280</v>
      </c>
      <c r="H808">
        <f t="shared" si="19"/>
        <v>2375</v>
      </c>
      <c r="S808">
        <v>2375</v>
      </c>
    </row>
    <row r="809" spans="6:19" x14ac:dyDescent="0.3">
      <c r="F809">
        <v>1083</v>
      </c>
      <c r="G809">
        <v>1291</v>
      </c>
      <c r="H809">
        <f t="shared" si="19"/>
        <v>2374</v>
      </c>
      <c r="S809">
        <v>2374</v>
      </c>
    </row>
    <row r="810" spans="6:19" x14ac:dyDescent="0.3">
      <c r="F810">
        <v>1149</v>
      </c>
      <c r="G810">
        <v>1249</v>
      </c>
      <c r="H810">
        <f t="shared" si="19"/>
        <v>2398</v>
      </c>
      <c r="S810">
        <v>2398</v>
      </c>
    </row>
    <row r="811" spans="6:19" x14ac:dyDescent="0.3">
      <c r="F811">
        <v>1106</v>
      </c>
      <c r="G811">
        <v>1285</v>
      </c>
      <c r="H811">
        <f t="shared" si="19"/>
        <v>2391</v>
      </c>
      <c r="S811">
        <v>2391</v>
      </c>
    </row>
    <row r="812" spans="6:19" x14ac:dyDescent="0.3">
      <c r="F812">
        <v>1102</v>
      </c>
      <c r="G812">
        <v>1289</v>
      </c>
      <c r="H812">
        <f t="shared" si="19"/>
        <v>2391</v>
      </c>
      <c r="S812">
        <v>2391</v>
      </c>
    </row>
    <row r="813" spans="6:19" x14ac:dyDescent="0.3">
      <c r="F813">
        <v>1096</v>
      </c>
      <c r="G813">
        <v>1305</v>
      </c>
      <c r="H813">
        <f t="shared" si="19"/>
        <v>2401</v>
      </c>
      <c r="S813">
        <v>2401</v>
      </c>
    </row>
    <row r="814" spans="6:19" x14ac:dyDescent="0.3">
      <c r="F814">
        <v>1092</v>
      </c>
      <c r="G814">
        <v>1290</v>
      </c>
      <c r="H814">
        <f t="shared" si="19"/>
        <v>2382</v>
      </c>
      <c r="S814">
        <v>2382</v>
      </c>
    </row>
    <row r="815" spans="6:19" x14ac:dyDescent="0.3">
      <c r="F815">
        <v>1101</v>
      </c>
      <c r="G815">
        <v>1313</v>
      </c>
      <c r="H815">
        <f t="shared" si="19"/>
        <v>2414</v>
      </c>
      <c r="S815">
        <v>2414</v>
      </c>
    </row>
    <row r="816" spans="6:19" x14ac:dyDescent="0.3">
      <c r="F816">
        <v>1091</v>
      </c>
      <c r="G816">
        <v>1319</v>
      </c>
      <c r="H816">
        <f t="shared" si="19"/>
        <v>2410</v>
      </c>
      <c r="S816">
        <v>2410</v>
      </c>
    </row>
    <row r="817" spans="6:19" x14ac:dyDescent="0.3">
      <c r="F817">
        <v>1055</v>
      </c>
      <c r="G817">
        <v>1313</v>
      </c>
      <c r="H817">
        <f t="shared" si="19"/>
        <v>2368</v>
      </c>
      <c r="S817">
        <v>2368</v>
      </c>
    </row>
    <row r="818" spans="6:19" x14ac:dyDescent="0.3">
      <c r="F818">
        <v>1057</v>
      </c>
      <c r="G818">
        <v>1339</v>
      </c>
      <c r="H818">
        <f t="shared" si="19"/>
        <v>2396</v>
      </c>
      <c r="S818">
        <v>2396</v>
      </c>
    </row>
    <row r="819" spans="6:19" x14ac:dyDescent="0.3">
      <c r="F819">
        <v>1089</v>
      </c>
      <c r="G819">
        <v>1324</v>
      </c>
      <c r="H819">
        <f t="shared" si="19"/>
        <v>2413</v>
      </c>
      <c r="S819">
        <v>2413</v>
      </c>
    </row>
    <row r="820" spans="6:19" x14ac:dyDescent="0.3">
      <c r="F820">
        <v>1127</v>
      </c>
      <c r="G820">
        <v>1288</v>
      </c>
      <c r="H820">
        <f t="shared" si="19"/>
        <v>2415</v>
      </c>
      <c r="S820">
        <v>2415</v>
      </c>
    </row>
    <row r="821" spans="6:19" x14ac:dyDescent="0.3">
      <c r="F821">
        <v>1114</v>
      </c>
      <c r="G821">
        <v>1288</v>
      </c>
      <c r="H821">
        <f t="shared" si="19"/>
        <v>2402</v>
      </c>
      <c r="S821">
        <v>2402</v>
      </c>
    </row>
    <row r="822" spans="6:19" x14ac:dyDescent="0.3">
      <c r="F822">
        <v>1105</v>
      </c>
      <c r="G822">
        <v>1278</v>
      </c>
      <c r="H822">
        <f t="shared" si="19"/>
        <v>2383</v>
      </c>
      <c r="S822">
        <v>2383</v>
      </c>
    </row>
    <row r="823" spans="6:19" x14ac:dyDescent="0.3">
      <c r="F823">
        <v>1123</v>
      </c>
      <c r="G823">
        <v>1266</v>
      </c>
      <c r="H823">
        <f t="shared" si="19"/>
        <v>2389</v>
      </c>
      <c r="S823">
        <v>2389</v>
      </c>
    </row>
    <row r="824" spans="6:19" x14ac:dyDescent="0.3">
      <c r="F824">
        <v>1164</v>
      </c>
      <c r="G824">
        <v>1230</v>
      </c>
      <c r="H824">
        <f t="shared" si="19"/>
        <v>2394</v>
      </c>
      <c r="S824">
        <v>2394</v>
      </c>
    </row>
    <row r="825" spans="6:19" x14ac:dyDescent="0.3">
      <c r="F825">
        <v>1185</v>
      </c>
      <c r="G825">
        <v>1197</v>
      </c>
      <c r="H825">
        <f t="shared" si="19"/>
        <v>2382</v>
      </c>
      <c r="S825">
        <v>2382</v>
      </c>
    </row>
    <row r="826" spans="6:19" x14ac:dyDescent="0.3">
      <c r="F826">
        <v>1095</v>
      </c>
      <c r="G826">
        <v>1288</v>
      </c>
      <c r="H826">
        <f t="shared" si="19"/>
        <v>2383</v>
      </c>
      <c r="S826">
        <v>2383</v>
      </c>
    </row>
    <row r="827" spans="6:19" x14ac:dyDescent="0.3">
      <c r="F827">
        <v>1112</v>
      </c>
      <c r="G827">
        <v>1285</v>
      </c>
      <c r="H827">
        <f t="shared" si="19"/>
        <v>2397</v>
      </c>
      <c r="S827">
        <v>2397</v>
      </c>
    </row>
    <row r="828" spans="6:19" x14ac:dyDescent="0.3">
      <c r="F828">
        <v>1101</v>
      </c>
      <c r="G828">
        <v>1288</v>
      </c>
      <c r="H828">
        <f t="shared" si="19"/>
        <v>2389</v>
      </c>
      <c r="S828">
        <v>2389</v>
      </c>
    </row>
    <row r="829" spans="6:19" x14ac:dyDescent="0.3">
      <c r="F829">
        <v>748</v>
      </c>
      <c r="G829">
        <v>983</v>
      </c>
      <c r="H829">
        <f t="shared" si="19"/>
        <v>1731</v>
      </c>
      <c r="S829">
        <v>1731</v>
      </c>
    </row>
    <row r="830" spans="6:19" x14ac:dyDescent="0.3">
      <c r="F830">
        <v>469</v>
      </c>
      <c r="G830">
        <v>688</v>
      </c>
      <c r="H830">
        <f t="shared" si="19"/>
        <v>1157</v>
      </c>
      <c r="S830">
        <v>1157</v>
      </c>
    </row>
    <row r="831" spans="6:19" x14ac:dyDescent="0.3">
      <c r="F831">
        <v>493</v>
      </c>
      <c r="G831">
        <v>504</v>
      </c>
      <c r="H831">
        <f t="shared" si="19"/>
        <v>997</v>
      </c>
      <c r="S831">
        <v>997</v>
      </c>
    </row>
    <row r="832" spans="6:19" x14ac:dyDescent="0.3">
      <c r="F832">
        <v>486</v>
      </c>
      <c r="G832">
        <v>497</v>
      </c>
      <c r="H832">
        <f t="shared" si="19"/>
        <v>983</v>
      </c>
      <c r="S832">
        <v>983</v>
      </c>
    </row>
    <row r="833" spans="6:19" x14ac:dyDescent="0.3">
      <c r="F833">
        <v>506</v>
      </c>
      <c r="G833">
        <v>517</v>
      </c>
      <c r="H833">
        <f t="shared" si="19"/>
        <v>1023</v>
      </c>
      <c r="S833">
        <v>1023</v>
      </c>
    </row>
    <row r="834" spans="6:19" x14ac:dyDescent="0.3">
      <c r="F834">
        <v>500</v>
      </c>
      <c r="G834">
        <v>511</v>
      </c>
      <c r="H834">
        <f t="shared" ref="H834:H897" si="20">F834+G834</f>
        <v>1011</v>
      </c>
      <c r="S834">
        <v>1011</v>
      </c>
    </row>
    <row r="835" spans="6:19" x14ac:dyDescent="0.3">
      <c r="F835">
        <v>578</v>
      </c>
      <c r="G835">
        <v>647</v>
      </c>
      <c r="H835">
        <f t="shared" si="20"/>
        <v>1225</v>
      </c>
      <c r="S835">
        <v>1225</v>
      </c>
    </row>
    <row r="836" spans="6:19" x14ac:dyDescent="0.3">
      <c r="F836">
        <v>619</v>
      </c>
      <c r="G836">
        <v>881</v>
      </c>
      <c r="H836">
        <f t="shared" si="20"/>
        <v>1500</v>
      </c>
      <c r="S836">
        <v>1500</v>
      </c>
    </row>
    <row r="837" spans="6:19" x14ac:dyDescent="0.3">
      <c r="F837">
        <v>499</v>
      </c>
      <c r="G837">
        <v>510</v>
      </c>
      <c r="H837">
        <f t="shared" si="20"/>
        <v>1009</v>
      </c>
      <c r="S837">
        <v>1009</v>
      </c>
    </row>
    <row r="838" spans="6:19" x14ac:dyDescent="0.3">
      <c r="F838">
        <v>1090</v>
      </c>
      <c r="G838">
        <v>1223</v>
      </c>
      <c r="H838">
        <f t="shared" si="20"/>
        <v>2313</v>
      </c>
      <c r="S838">
        <v>2313</v>
      </c>
    </row>
    <row r="839" spans="6:19" x14ac:dyDescent="0.3">
      <c r="F839">
        <v>1088</v>
      </c>
      <c r="G839">
        <v>1298</v>
      </c>
      <c r="H839">
        <f t="shared" si="20"/>
        <v>2386</v>
      </c>
      <c r="S839">
        <v>2386</v>
      </c>
    </row>
    <row r="840" spans="6:19" x14ac:dyDescent="0.3">
      <c r="F840">
        <v>1106</v>
      </c>
      <c r="G840">
        <v>1264</v>
      </c>
      <c r="H840">
        <f t="shared" si="20"/>
        <v>2370</v>
      </c>
      <c r="S840">
        <v>2370</v>
      </c>
    </row>
    <row r="841" spans="6:19" x14ac:dyDescent="0.3">
      <c r="F841">
        <v>1083</v>
      </c>
      <c r="G841">
        <v>1311</v>
      </c>
      <c r="H841">
        <f t="shared" si="20"/>
        <v>2394</v>
      </c>
      <c r="S841">
        <v>2394</v>
      </c>
    </row>
    <row r="842" spans="6:19" x14ac:dyDescent="0.3">
      <c r="F842">
        <v>1104</v>
      </c>
      <c r="G842">
        <v>1274</v>
      </c>
      <c r="H842">
        <f t="shared" si="20"/>
        <v>2378</v>
      </c>
      <c r="S842">
        <v>2378</v>
      </c>
    </row>
    <row r="843" spans="6:19" x14ac:dyDescent="0.3">
      <c r="F843">
        <v>1087</v>
      </c>
      <c r="G843">
        <v>1298</v>
      </c>
      <c r="H843">
        <f t="shared" si="20"/>
        <v>2385</v>
      </c>
      <c r="S843">
        <v>2385</v>
      </c>
    </row>
    <row r="844" spans="6:19" x14ac:dyDescent="0.3">
      <c r="F844">
        <v>1099</v>
      </c>
      <c r="G844">
        <v>1309</v>
      </c>
      <c r="H844">
        <f t="shared" si="20"/>
        <v>2408</v>
      </c>
      <c r="S844">
        <v>2408</v>
      </c>
    </row>
    <row r="845" spans="6:19" x14ac:dyDescent="0.3">
      <c r="F845">
        <v>1096</v>
      </c>
      <c r="G845">
        <v>1289</v>
      </c>
      <c r="H845">
        <f t="shared" si="20"/>
        <v>2385</v>
      </c>
      <c r="S845">
        <v>2385</v>
      </c>
    </row>
    <row r="846" spans="6:19" x14ac:dyDescent="0.3">
      <c r="F846">
        <v>1081</v>
      </c>
      <c r="G846">
        <v>1279</v>
      </c>
      <c r="H846">
        <f t="shared" si="20"/>
        <v>2360</v>
      </c>
      <c r="S846">
        <v>2360</v>
      </c>
    </row>
    <row r="847" spans="6:19" x14ac:dyDescent="0.3">
      <c r="F847">
        <v>1103</v>
      </c>
      <c r="G847">
        <v>1276</v>
      </c>
      <c r="H847">
        <f t="shared" si="20"/>
        <v>2379</v>
      </c>
      <c r="S847">
        <v>2379</v>
      </c>
    </row>
    <row r="848" spans="6:19" x14ac:dyDescent="0.3">
      <c r="F848">
        <v>1081</v>
      </c>
      <c r="G848">
        <v>1289</v>
      </c>
      <c r="H848">
        <f t="shared" si="20"/>
        <v>2370</v>
      </c>
      <c r="S848">
        <v>2370</v>
      </c>
    </row>
    <row r="849" spans="5:19" x14ac:dyDescent="0.3">
      <c r="F849">
        <v>1110</v>
      </c>
      <c r="G849">
        <v>1276</v>
      </c>
      <c r="H849">
        <f t="shared" si="20"/>
        <v>2386</v>
      </c>
      <c r="S849">
        <v>2386</v>
      </c>
    </row>
    <row r="850" spans="5:19" x14ac:dyDescent="0.3">
      <c r="F850">
        <v>1091</v>
      </c>
      <c r="G850">
        <v>1290</v>
      </c>
      <c r="H850">
        <f t="shared" si="20"/>
        <v>2381</v>
      </c>
      <c r="S850">
        <v>2381</v>
      </c>
    </row>
    <row r="851" spans="5:19" x14ac:dyDescent="0.3">
      <c r="F851">
        <v>1099</v>
      </c>
      <c r="G851">
        <v>1298</v>
      </c>
      <c r="H851">
        <f t="shared" si="20"/>
        <v>2397</v>
      </c>
      <c r="S851">
        <v>2397</v>
      </c>
    </row>
    <row r="852" spans="5:19" x14ac:dyDescent="0.3">
      <c r="F852">
        <v>1097</v>
      </c>
      <c r="G852">
        <v>1284</v>
      </c>
      <c r="H852">
        <f t="shared" si="20"/>
        <v>2381</v>
      </c>
      <c r="S852">
        <v>2381</v>
      </c>
    </row>
    <row r="853" spans="5:19" x14ac:dyDescent="0.3">
      <c r="F853">
        <v>1096</v>
      </c>
      <c r="G853">
        <v>1299</v>
      </c>
      <c r="H853">
        <f t="shared" si="20"/>
        <v>2395</v>
      </c>
      <c r="S853">
        <v>2395</v>
      </c>
    </row>
    <row r="854" spans="5:19" x14ac:dyDescent="0.3">
      <c r="F854">
        <v>1104</v>
      </c>
      <c r="G854">
        <v>1293</v>
      </c>
      <c r="H854">
        <f t="shared" si="20"/>
        <v>2397</v>
      </c>
      <c r="S854">
        <v>2397</v>
      </c>
    </row>
    <row r="855" spans="5:19" x14ac:dyDescent="0.3">
      <c r="F855">
        <v>1093</v>
      </c>
      <c r="G855">
        <v>1295</v>
      </c>
      <c r="H855">
        <f t="shared" si="20"/>
        <v>2388</v>
      </c>
      <c r="S855">
        <v>2388</v>
      </c>
    </row>
    <row r="856" spans="5:19" x14ac:dyDescent="0.3">
      <c r="F856">
        <v>1104</v>
      </c>
      <c r="G856">
        <v>1270</v>
      </c>
      <c r="H856">
        <f t="shared" si="20"/>
        <v>2374</v>
      </c>
      <c r="S856">
        <v>2374</v>
      </c>
    </row>
    <row r="857" spans="5:19" x14ac:dyDescent="0.3">
      <c r="F857">
        <v>1093</v>
      </c>
      <c r="G857">
        <v>1279</v>
      </c>
      <c r="H857">
        <f t="shared" si="20"/>
        <v>2372</v>
      </c>
      <c r="S857">
        <v>2372</v>
      </c>
    </row>
    <row r="858" spans="5:19" x14ac:dyDescent="0.3">
      <c r="F858">
        <v>1103</v>
      </c>
      <c r="G858">
        <v>1291</v>
      </c>
      <c r="H858">
        <f t="shared" si="20"/>
        <v>2394</v>
      </c>
      <c r="S858">
        <v>2394</v>
      </c>
    </row>
    <row r="859" spans="5:19" x14ac:dyDescent="0.3">
      <c r="F859">
        <v>1088</v>
      </c>
      <c r="G859">
        <v>1286</v>
      </c>
      <c r="H859">
        <f t="shared" si="20"/>
        <v>2374</v>
      </c>
      <c r="S859">
        <v>2374</v>
      </c>
    </row>
    <row r="860" spans="5:19" x14ac:dyDescent="0.3">
      <c r="E860" t="s">
        <v>572</v>
      </c>
      <c r="F860">
        <v>1206</v>
      </c>
      <c r="G860">
        <v>1213</v>
      </c>
      <c r="H860">
        <f t="shared" si="20"/>
        <v>2419</v>
      </c>
      <c r="S860">
        <v>2419</v>
      </c>
    </row>
    <row r="861" spans="5:19" x14ac:dyDescent="0.3">
      <c r="F861">
        <v>1209</v>
      </c>
      <c r="G861">
        <v>1218</v>
      </c>
      <c r="H861">
        <f t="shared" si="20"/>
        <v>2427</v>
      </c>
      <c r="S861">
        <v>2427</v>
      </c>
    </row>
    <row r="862" spans="5:19" x14ac:dyDescent="0.3">
      <c r="F862">
        <v>1201</v>
      </c>
      <c r="G862">
        <v>1209</v>
      </c>
      <c r="H862">
        <f t="shared" si="20"/>
        <v>2410</v>
      </c>
      <c r="S862">
        <v>2410</v>
      </c>
    </row>
    <row r="863" spans="5:19" x14ac:dyDescent="0.3">
      <c r="F863">
        <v>1210</v>
      </c>
      <c r="G863">
        <v>1215</v>
      </c>
      <c r="H863">
        <f t="shared" si="20"/>
        <v>2425</v>
      </c>
      <c r="S863">
        <v>2425</v>
      </c>
    </row>
    <row r="864" spans="5:19" x14ac:dyDescent="0.3">
      <c r="F864">
        <v>1208</v>
      </c>
      <c r="G864">
        <v>1218</v>
      </c>
      <c r="H864">
        <f t="shared" si="20"/>
        <v>2426</v>
      </c>
      <c r="S864">
        <v>2426</v>
      </c>
    </row>
    <row r="865" spans="6:19" x14ac:dyDescent="0.3">
      <c r="F865">
        <v>1217</v>
      </c>
      <c r="G865">
        <v>1209</v>
      </c>
      <c r="H865">
        <f t="shared" si="20"/>
        <v>2426</v>
      </c>
      <c r="S865">
        <v>2426</v>
      </c>
    </row>
    <row r="866" spans="6:19" x14ac:dyDescent="0.3">
      <c r="F866">
        <v>1206</v>
      </c>
      <c r="G866">
        <v>1179</v>
      </c>
      <c r="H866">
        <f t="shared" si="20"/>
        <v>2385</v>
      </c>
      <c r="S866">
        <v>2385</v>
      </c>
    </row>
    <row r="867" spans="6:19" x14ac:dyDescent="0.3">
      <c r="F867">
        <v>1197</v>
      </c>
      <c r="G867">
        <v>1207</v>
      </c>
      <c r="H867">
        <f t="shared" si="20"/>
        <v>2404</v>
      </c>
      <c r="S867">
        <v>2404</v>
      </c>
    </row>
    <row r="868" spans="6:19" x14ac:dyDescent="0.3">
      <c r="F868">
        <v>1200</v>
      </c>
      <c r="G868">
        <v>1206</v>
      </c>
      <c r="H868">
        <f t="shared" si="20"/>
        <v>2406</v>
      </c>
      <c r="S868">
        <v>2406</v>
      </c>
    </row>
    <row r="869" spans="6:19" x14ac:dyDescent="0.3">
      <c r="F869">
        <v>1197</v>
      </c>
      <c r="G869">
        <v>1198</v>
      </c>
      <c r="H869">
        <f t="shared" si="20"/>
        <v>2395</v>
      </c>
      <c r="S869">
        <v>2395</v>
      </c>
    </row>
    <row r="870" spans="6:19" x14ac:dyDescent="0.3">
      <c r="F870">
        <v>1192</v>
      </c>
      <c r="G870">
        <v>1201</v>
      </c>
      <c r="H870">
        <f t="shared" si="20"/>
        <v>2393</v>
      </c>
      <c r="S870">
        <v>2393</v>
      </c>
    </row>
    <row r="871" spans="6:19" x14ac:dyDescent="0.3">
      <c r="F871">
        <v>1195</v>
      </c>
      <c r="G871">
        <v>1200</v>
      </c>
      <c r="H871">
        <f t="shared" si="20"/>
        <v>2395</v>
      </c>
      <c r="S871">
        <v>2395</v>
      </c>
    </row>
    <row r="872" spans="6:19" x14ac:dyDescent="0.3">
      <c r="F872">
        <v>1196</v>
      </c>
      <c r="G872">
        <v>1196</v>
      </c>
      <c r="H872">
        <f t="shared" si="20"/>
        <v>2392</v>
      </c>
      <c r="S872">
        <v>2392</v>
      </c>
    </row>
    <row r="873" spans="6:19" x14ac:dyDescent="0.3">
      <c r="F873">
        <v>1183</v>
      </c>
      <c r="G873">
        <v>1194</v>
      </c>
      <c r="H873">
        <f t="shared" si="20"/>
        <v>2377</v>
      </c>
      <c r="S873">
        <v>2377</v>
      </c>
    </row>
    <row r="874" spans="6:19" x14ac:dyDescent="0.3">
      <c r="F874">
        <v>1180</v>
      </c>
      <c r="G874">
        <v>1184</v>
      </c>
      <c r="H874">
        <f t="shared" si="20"/>
        <v>2364</v>
      </c>
      <c r="S874">
        <v>2364</v>
      </c>
    </row>
    <row r="875" spans="6:19" x14ac:dyDescent="0.3">
      <c r="F875">
        <v>891</v>
      </c>
      <c r="G875">
        <v>894</v>
      </c>
      <c r="H875">
        <f t="shared" si="20"/>
        <v>1785</v>
      </c>
      <c r="S875">
        <v>1785</v>
      </c>
    </row>
    <row r="876" spans="6:19" x14ac:dyDescent="0.3">
      <c r="F876">
        <v>537</v>
      </c>
      <c r="G876">
        <v>540</v>
      </c>
      <c r="H876">
        <f t="shared" si="20"/>
        <v>1077</v>
      </c>
      <c r="S876">
        <v>1077</v>
      </c>
    </row>
    <row r="877" spans="6:19" x14ac:dyDescent="0.3">
      <c r="F877">
        <v>548</v>
      </c>
      <c r="G877">
        <v>551</v>
      </c>
      <c r="H877">
        <f t="shared" si="20"/>
        <v>1099</v>
      </c>
      <c r="S877">
        <v>1099</v>
      </c>
    </row>
    <row r="878" spans="6:19" x14ac:dyDescent="0.3">
      <c r="F878">
        <v>671</v>
      </c>
      <c r="G878">
        <v>648</v>
      </c>
      <c r="H878">
        <f t="shared" si="20"/>
        <v>1319</v>
      </c>
      <c r="S878">
        <v>1319</v>
      </c>
    </row>
    <row r="879" spans="6:19" x14ac:dyDescent="0.3">
      <c r="F879">
        <v>1186</v>
      </c>
      <c r="G879">
        <v>1193</v>
      </c>
      <c r="H879">
        <f t="shared" si="20"/>
        <v>2379</v>
      </c>
      <c r="S879">
        <v>2379</v>
      </c>
    </row>
    <row r="880" spans="6:19" x14ac:dyDescent="0.3">
      <c r="F880">
        <v>1178</v>
      </c>
      <c r="G880">
        <v>1190</v>
      </c>
      <c r="H880">
        <f t="shared" si="20"/>
        <v>2368</v>
      </c>
      <c r="S880">
        <v>2368</v>
      </c>
    </row>
    <row r="881" spans="6:19" x14ac:dyDescent="0.3">
      <c r="F881">
        <v>1188</v>
      </c>
      <c r="G881">
        <v>1178</v>
      </c>
      <c r="H881">
        <f t="shared" si="20"/>
        <v>2366</v>
      </c>
      <c r="S881">
        <v>2366</v>
      </c>
    </row>
    <row r="882" spans="6:19" x14ac:dyDescent="0.3">
      <c r="F882">
        <v>1188</v>
      </c>
      <c r="G882">
        <v>1191</v>
      </c>
      <c r="H882">
        <f t="shared" si="20"/>
        <v>2379</v>
      </c>
      <c r="S882">
        <v>2379</v>
      </c>
    </row>
    <row r="883" spans="6:19" x14ac:dyDescent="0.3">
      <c r="F883">
        <v>1192</v>
      </c>
      <c r="G883">
        <v>1196</v>
      </c>
      <c r="H883">
        <f t="shared" si="20"/>
        <v>2388</v>
      </c>
      <c r="S883">
        <v>2388</v>
      </c>
    </row>
    <row r="884" spans="6:19" x14ac:dyDescent="0.3">
      <c r="F884">
        <v>1191</v>
      </c>
      <c r="G884">
        <v>1195</v>
      </c>
      <c r="H884">
        <f t="shared" si="20"/>
        <v>2386</v>
      </c>
      <c r="S884">
        <v>2386</v>
      </c>
    </row>
    <row r="885" spans="6:19" x14ac:dyDescent="0.3">
      <c r="F885">
        <v>1195</v>
      </c>
      <c r="G885">
        <v>1198</v>
      </c>
      <c r="H885">
        <f t="shared" si="20"/>
        <v>2393</v>
      </c>
      <c r="S885">
        <v>2393</v>
      </c>
    </row>
    <row r="886" spans="6:19" x14ac:dyDescent="0.3">
      <c r="F886">
        <v>1195</v>
      </c>
      <c r="G886">
        <v>1204</v>
      </c>
      <c r="H886">
        <f t="shared" si="20"/>
        <v>2399</v>
      </c>
      <c r="S886">
        <v>2399</v>
      </c>
    </row>
    <row r="887" spans="6:19" x14ac:dyDescent="0.3">
      <c r="F887">
        <v>1192</v>
      </c>
      <c r="G887">
        <v>1198</v>
      </c>
      <c r="H887">
        <f t="shared" si="20"/>
        <v>2390</v>
      </c>
      <c r="S887">
        <v>2390</v>
      </c>
    </row>
    <row r="888" spans="6:19" x14ac:dyDescent="0.3">
      <c r="F888">
        <v>1196</v>
      </c>
      <c r="G888">
        <v>1201</v>
      </c>
      <c r="H888">
        <f t="shared" si="20"/>
        <v>2397</v>
      </c>
      <c r="S888">
        <v>2397</v>
      </c>
    </row>
    <row r="889" spans="6:19" x14ac:dyDescent="0.3">
      <c r="F889">
        <v>1188</v>
      </c>
      <c r="G889">
        <v>1193</v>
      </c>
      <c r="H889">
        <f t="shared" si="20"/>
        <v>2381</v>
      </c>
      <c r="S889">
        <v>2381</v>
      </c>
    </row>
    <row r="890" spans="6:19" x14ac:dyDescent="0.3">
      <c r="F890">
        <v>1196</v>
      </c>
      <c r="G890">
        <v>1189</v>
      </c>
      <c r="H890">
        <f t="shared" si="20"/>
        <v>2385</v>
      </c>
      <c r="S890">
        <v>2385</v>
      </c>
    </row>
    <row r="891" spans="6:19" x14ac:dyDescent="0.3">
      <c r="F891">
        <v>1198</v>
      </c>
      <c r="G891">
        <v>1209</v>
      </c>
      <c r="H891">
        <f t="shared" si="20"/>
        <v>2407</v>
      </c>
      <c r="S891">
        <v>2407</v>
      </c>
    </row>
    <row r="892" spans="6:19" x14ac:dyDescent="0.3">
      <c r="F892">
        <v>1201</v>
      </c>
      <c r="G892">
        <v>1206</v>
      </c>
      <c r="H892">
        <f t="shared" si="20"/>
        <v>2407</v>
      </c>
      <c r="S892">
        <v>2407</v>
      </c>
    </row>
    <row r="893" spans="6:19" x14ac:dyDescent="0.3">
      <c r="F893">
        <v>1202</v>
      </c>
      <c r="G893">
        <v>1207</v>
      </c>
      <c r="H893">
        <f t="shared" si="20"/>
        <v>2409</v>
      </c>
      <c r="S893">
        <v>2409</v>
      </c>
    </row>
    <row r="894" spans="6:19" x14ac:dyDescent="0.3">
      <c r="F894">
        <v>1221</v>
      </c>
      <c r="G894">
        <v>1218</v>
      </c>
      <c r="H894">
        <f t="shared" si="20"/>
        <v>2439</v>
      </c>
      <c r="S894">
        <v>2439</v>
      </c>
    </row>
    <row r="895" spans="6:19" x14ac:dyDescent="0.3">
      <c r="F895">
        <v>394</v>
      </c>
      <c r="G895">
        <v>388</v>
      </c>
      <c r="H895">
        <f t="shared" si="20"/>
        <v>782</v>
      </c>
      <c r="S895">
        <v>782</v>
      </c>
    </row>
    <row r="896" spans="6:19" x14ac:dyDescent="0.3">
      <c r="F896">
        <v>366</v>
      </c>
      <c r="G896">
        <v>368</v>
      </c>
      <c r="H896">
        <f t="shared" si="20"/>
        <v>734</v>
      </c>
      <c r="S896">
        <v>734</v>
      </c>
    </row>
    <row r="897" spans="6:19" x14ac:dyDescent="0.3">
      <c r="F897">
        <v>536</v>
      </c>
      <c r="G897">
        <v>537</v>
      </c>
      <c r="H897">
        <f t="shared" si="20"/>
        <v>1073</v>
      </c>
      <c r="S897">
        <v>1073</v>
      </c>
    </row>
    <row r="898" spans="6:19" x14ac:dyDescent="0.3">
      <c r="F898">
        <v>544</v>
      </c>
      <c r="G898">
        <v>545</v>
      </c>
      <c r="H898">
        <f t="shared" ref="H898:H915" si="21">F898+G898</f>
        <v>1089</v>
      </c>
      <c r="S898">
        <v>1089</v>
      </c>
    </row>
    <row r="899" spans="6:19" x14ac:dyDescent="0.3">
      <c r="F899">
        <v>541</v>
      </c>
      <c r="G899">
        <v>541</v>
      </c>
      <c r="H899">
        <f t="shared" si="21"/>
        <v>1082</v>
      </c>
      <c r="S899">
        <v>1082</v>
      </c>
    </row>
    <row r="900" spans="6:19" x14ac:dyDescent="0.3">
      <c r="F900">
        <v>527</v>
      </c>
      <c r="G900">
        <v>532</v>
      </c>
      <c r="H900">
        <f t="shared" si="21"/>
        <v>1059</v>
      </c>
      <c r="S900">
        <v>1059</v>
      </c>
    </row>
    <row r="901" spans="6:19" x14ac:dyDescent="0.3">
      <c r="F901">
        <v>547</v>
      </c>
      <c r="G901">
        <v>548</v>
      </c>
      <c r="H901">
        <f t="shared" si="21"/>
        <v>1095</v>
      </c>
      <c r="S901">
        <v>1095</v>
      </c>
    </row>
    <row r="902" spans="6:19" x14ac:dyDescent="0.3">
      <c r="F902">
        <v>535</v>
      </c>
      <c r="G902">
        <v>536</v>
      </c>
      <c r="H902">
        <f t="shared" si="21"/>
        <v>1071</v>
      </c>
      <c r="S902">
        <v>1071</v>
      </c>
    </row>
    <row r="903" spans="6:19" x14ac:dyDescent="0.3">
      <c r="F903">
        <v>538</v>
      </c>
      <c r="G903">
        <v>539</v>
      </c>
      <c r="H903">
        <f t="shared" si="21"/>
        <v>1077</v>
      </c>
      <c r="S903">
        <v>1077</v>
      </c>
    </row>
    <row r="904" spans="6:19" x14ac:dyDescent="0.3">
      <c r="F904">
        <v>541</v>
      </c>
      <c r="G904">
        <v>542</v>
      </c>
      <c r="H904">
        <f t="shared" si="21"/>
        <v>1083</v>
      </c>
      <c r="S904">
        <v>1083</v>
      </c>
    </row>
    <row r="905" spans="6:19" x14ac:dyDescent="0.3">
      <c r="F905">
        <v>558</v>
      </c>
      <c r="G905">
        <v>559</v>
      </c>
      <c r="H905">
        <f t="shared" si="21"/>
        <v>1117</v>
      </c>
      <c r="S905">
        <v>1117</v>
      </c>
    </row>
    <row r="906" spans="6:19" x14ac:dyDescent="0.3">
      <c r="F906">
        <v>580</v>
      </c>
      <c r="G906">
        <v>580</v>
      </c>
      <c r="H906">
        <f t="shared" si="21"/>
        <v>1160</v>
      </c>
      <c r="S906">
        <v>1160</v>
      </c>
    </row>
    <row r="907" spans="6:19" x14ac:dyDescent="0.3">
      <c r="F907">
        <v>581</v>
      </c>
      <c r="G907">
        <v>582</v>
      </c>
      <c r="H907">
        <f t="shared" si="21"/>
        <v>1163</v>
      </c>
      <c r="S907">
        <v>1163</v>
      </c>
    </row>
    <row r="908" spans="6:19" x14ac:dyDescent="0.3">
      <c r="F908">
        <v>583</v>
      </c>
      <c r="G908">
        <v>584</v>
      </c>
      <c r="H908">
        <f t="shared" si="21"/>
        <v>1167</v>
      </c>
      <c r="S908">
        <v>1167</v>
      </c>
    </row>
    <row r="909" spans="6:19" x14ac:dyDescent="0.3">
      <c r="F909">
        <v>556</v>
      </c>
      <c r="G909">
        <v>557</v>
      </c>
      <c r="H909">
        <f t="shared" si="21"/>
        <v>1113</v>
      </c>
      <c r="S909">
        <v>1113</v>
      </c>
    </row>
    <row r="910" spans="6:19" x14ac:dyDescent="0.3">
      <c r="F910">
        <v>0</v>
      </c>
      <c r="G910">
        <v>0</v>
      </c>
      <c r="H910">
        <f t="shared" si="21"/>
        <v>0</v>
      </c>
      <c r="S910">
        <v>0</v>
      </c>
    </row>
    <row r="911" spans="6:19" x14ac:dyDescent="0.3">
      <c r="F911">
        <v>0</v>
      </c>
      <c r="G911">
        <v>0</v>
      </c>
      <c r="H911">
        <f t="shared" si="21"/>
        <v>0</v>
      </c>
      <c r="S911">
        <v>0</v>
      </c>
    </row>
    <row r="912" spans="6:19" x14ac:dyDescent="0.3">
      <c r="F912">
        <v>0</v>
      </c>
      <c r="G912">
        <v>0</v>
      </c>
      <c r="H912">
        <f t="shared" si="21"/>
        <v>0</v>
      </c>
      <c r="S912">
        <v>0</v>
      </c>
    </row>
    <row r="913" spans="6:19" x14ac:dyDescent="0.3">
      <c r="F913">
        <v>0</v>
      </c>
      <c r="G913">
        <v>0</v>
      </c>
      <c r="H913">
        <f t="shared" si="21"/>
        <v>0</v>
      </c>
      <c r="S913">
        <v>0</v>
      </c>
    </row>
    <row r="914" spans="6:19" x14ac:dyDescent="0.3">
      <c r="F914">
        <v>0</v>
      </c>
      <c r="G914">
        <v>0</v>
      </c>
      <c r="H914">
        <f t="shared" si="21"/>
        <v>0</v>
      </c>
      <c r="S914">
        <v>0</v>
      </c>
    </row>
    <row r="915" spans="6:19" x14ac:dyDescent="0.3">
      <c r="F915">
        <v>0</v>
      </c>
      <c r="G915">
        <v>0</v>
      </c>
      <c r="H915">
        <f t="shared" si="21"/>
        <v>0</v>
      </c>
      <c r="S915">
        <v>0</v>
      </c>
    </row>
  </sheetData>
  <phoneticPr fontId="1" type="noConversion"/>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多介质下KV不同</vt:lpstr>
      <vt:lpstr>Sheet1</vt:lpstr>
      <vt:lpstr>fio</vt:lpstr>
      <vt:lpstr>log,memtable单测</vt:lpstr>
      <vt:lpstr>模拟测试</vt:lpstr>
      <vt:lpstr>模拟测试修改版</vt:lpstr>
      <vt:lpstr>模拟测试YCSB版</vt:lpstr>
      <vt:lpstr>longkey</vt:lpstr>
      <vt:lpstr>带宽占用RocksDB</vt:lpstr>
      <vt:lpstr>带宽占用pKVS</vt:lpstr>
      <vt:lpstr>scan测试</vt:lpstr>
      <vt:lpstr>新带宽占用pKVS</vt:lpstr>
      <vt:lpstr>延迟</vt:lpstr>
      <vt:lpstr>Sheet2</vt:lpstr>
      <vt:lpstr>KVell</vt:lpstr>
      <vt:lpstr>LevelDB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2021-05-02T05:39:53Z</dcterms:modified>
</cp:coreProperties>
</file>