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10007"/>
  </bookViews>
  <sheets>
    <sheet name="Sheet1" sheetId="1" r:id="rId1"/>
  </sheets>
  <externalReferences>
    <externalReference r:id="rId2"/>
  </externalReferences>
  <definedNames>
    <definedName name="D">Sheet1!$AN$111</definedName>
    <definedName name="omiga">Sheet1!$C$31</definedName>
    <definedName name="t">Sheet1!$C$32</definedName>
    <definedName name="ps">Sheet1!$C$10</definedName>
    <definedName name="n">Sheet1!$C$25</definedName>
    <definedName name="pd">Sheet1!$L$43</definedName>
    <definedName name="etah">Sheet1!$L$44</definedName>
    <definedName name="pniu">Sheet1!$C$37</definedName>
    <definedName name="rho">Sheet1!$C$38</definedName>
    <definedName name="hs">Sheet1!$C$16</definedName>
    <definedName name="g">Sheet1!$C$39</definedName>
    <definedName name="p0">Sheet1!$C$36</definedName>
    <definedName name="pe">Sheet1!$AM$111</definedName>
    <definedName name="z">Sheet1!$C$23</definedName>
    <definedName name="K">Sheet1!$C$21</definedName>
    <definedName name="luojubi">Sheet1!$AO$111</definedName>
    <definedName name="panmianbi">Sheet1!$AL$111</definedName>
    <definedName name="epsilon">Sheet1!$C$29</definedName>
    <definedName name="G_material">Sheet1!$C$22</definedName>
    <definedName name="dh">Sheet1!$C$26</definedName>
    <definedName name="V">Sheet1!$AQ$111</definedName>
    <definedName name="etas">Sheet1!$C$13</definedName>
    <definedName name="etar">Sheet1!$C$14</definedName>
    <definedName name="m">Sheet1!$BP$176</definedName>
    <definedName name="I">Sheet1!$BP$177</definedName>
    <definedName name="eta0">Sheet1!$AP$111</definedName>
  </definedNames>
  <calcPr calcId="144525"/>
</workbook>
</file>

<file path=xl/sharedStrings.xml><?xml version="1.0" encoding="utf-8"?>
<sst xmlns="http://schemas.openxmlformats.org/spreadsheetml/2006/main" count="245" uniqueCount="201">
  <si>
    <t>设计输入</t>
  </si>
  <si>
    <t>船舶主尺度</t>
  </si>
  <si>
    <r>
      <rPr>
        <sz val="12"/>
        <color rgb="FF000000"/>
        <rFont val="宋体"/>
        <charset val="204"/>
      </rPr>
      <t>三种工况下不同航速对应的有效功率</t>
    </r>
  </si>
  <si>
    <r>
      <rPr>
        <sz val="12"/>
        <color rgb="FF000000"/>
        <rFont val="宋体"/>
        <charset val="204"/>
      </rPr>
      <t>水线长</t>
    </r>
    <r>
      <rPr>
        <b/>
        <sz val="12"/>
        <color rgb="FF000000"/>
        <rFont val="Times New Roman"/>
        <charset val="204"/>
      </rPr>
      <t>L</t>
    </r>
    <r>
      <rPr>
        <b/>
        <vertAlign val="subscript"/>
        <sz val="12"/>
        <color rgb="FF000000"/>
        <rFont val="Times New Roman"/>
        <charset val="204"/>
      </rPr>
      <t>WL</t>
    </r>
    <r>
      <rPr>
        <b/>
        <sz val="12"/>
        <color rgb="FF000000"/>
        <rFont val="Times New Roman"/>
        <charset val="204"/>
      </rPr>
      <t>[m]</t>
    </r>
  </si>
  <si>
    <r>
      <rPr>
        <sz val="12"/>
        <color rgb="FF000000"/>
        <rFont val="宋体"/>
        <charset val="134"/>
      </rPr>
      <t>航速</t>
    </r>
    <r>
      <rPr>
        <b/>
        <sz val="12"/>
        <color rgb="FF000000"/>
        <rFont val="Times New Roman"/>
        <charset val="134"/>
      </rPr>
      <t>V</t>
    </r>
    <r>
      <rPr>
        <b/>
        <vertAlign val="subscript"/>
        <sz val="12"/>
        <color rgb="FF000000"/>
        <rFont val="Times New Roman"/>
        <charset val="134"/>
      </rPr>
      <t>s</t>
    </r>
    <r>
      <rPr>
        <b/>
        <sz val="12"/>
        <color rgb="FF000000"/>
        <rFont val="Times New Roman"/>
        <charset val="134"/>
      </rPr>
      <t>[kn]</t>
    </r>
  </si>
  <si>
    <r>
      <rPr>
        <sz val="12"/>
        <color rgb="FF000000"/>
        <rFont val="宋体"/>
        <charset val="204"/>
      </rPr>
      <t>有效功率</t>
    </r>
    <r>
      <rPr>
        <b/>
        <sz val="12"/>
        <color rgb="FF000000"/>
        <rFont val="Times New Roman"/>
        <charset val="204"/>
      </rPr>
      <t>P</t>
    </r>
    <r>
      <rPr>
        <b/>
        <vertAlign val="subscript"/>
        <sz val="12"/>
        <color rgb="FF000000"/>
        <rFont val="Times New Roman"/>
        <charset val="204"/>
      </rPr>
      <t>E</t>
    </r>
    <r>
      <rPr>
        <b/>
        <sz val="12"/>
        <color rgb="FF000000"/>
        <rFont val="Times New Roman"/>
        <charset val="204"/>
      </rPr>
      <t>[kW]</t>
    </r>
  </si>
  <si>
    <r>
      <rPr>
        <sz val="12"/>
        <color rgb="FF000000"/>
        <rFont val="宋体"/>
        <charset val="204"/>
      </rPr>
      <t>垂线间长</t>
    </r>
    <r>
      <rPr>
        <b/>
        <sz val="12"/>
        <color rgb="FF000000"/>
        <rFont val="Times New Roman"/>
        <charset val="204"/>
      </rPr>
      <t>L</t>
    </r>
    <r>
      <rPr>
        <b/>
        <vertAlign val="subscript"/>
        <sz val="12"/>
        <color rgb="FF000000"/>
        <rFont val="Times New Roman"/>
        <charset val="204"/>
      </rPr>
      <t>BP</t>
    </r>
    <r>
      <rPr>
        <b/>
        <sz val="12"/>
        <color rgb="FF000000"/>
        <rFont val="Times New Roman"/>
        <charset val="204"/>
      </rPr>
      <t>[m]</t>
    </r>
  </si>
  <si>
    <r>
      <rPr>
        <sz val="12"/>
        <color rgb="FF000000"/>
        <rFont val="宋体"/>
        <charset val="134"/>
      </rPr>
      <t>压载</t>
    </r>
  </si>
  <si>
    <r>
      <rPr>
        <sz val="12"/>
        <color rgb="FF000000"/>
        <rFont val="宋体"/>
        <charset val="134"/>
      </rPr>
      <t>满载（设计工况）</t>
    </r>
  </si>
  <si>
    <r>
      <rPr>
        <sz val="12"/>
        <color rgb="FF000000"/>
        <rFont val="宋体"/>
        <charset val="134"/>
      </rPr>
      <t>超满载</t>
    </r>
  </si>
  <si>
    <r>
      <rPr>
        <sz val="12"/>
        <color rgb="FF000000"/>
        <rFont val="宋体"/>
        <charset val="204"/>
      </rPr>
      <t>型宽</t>
    </r>
    <r>
      <rPr>
        <b/>
        <sz val="12"/>
        <color rgb="FF000000"/>
        <rFont val="Times New Roman"/>
        <charset val="204"/>
      </rPr>
      <t>B[m]</t>
    </r>
  </si>
  <si>
    <r>
      <rPr>
        <sz val="12"/>
        <color rgb="FF000000"/>
        <rFont val="宋体"/>
        <charset val="204"/>
      </rPr>
      <t>吃水</t>
    </r>
    <r>
      <rPr>
        <b/>
        <sz val="12"/>
        <color rgb="FF000000"/>
        <rFont val="Times New Roman"/>
        <charset val="204"/>
      </rPr>
      <t>draft[m]</t>
    </r>
  </si>
  <si>
    <r>
      <rPr>
        <sz val="12"/>
        <color rgb="FF000000"/>
        <rFont val="宋体"/>
        <charset val="204"/>
      </rPr>
      <t>排水体积</t>
    </r>
    <r>
      <rPr>
        <b/>
        <sz val="12"/>
        <color rgb="FF000000"/>
        <rFont val="Times New Roman"/>
        <charset val="204"/>
      </rPr>
      <t>Vol[m</t>
    </r>
    <r>
      <rPr>
        <b/>
        <vertAlign val="superscript"/>
        <sz val="12"/>
        <color rgb="FF000000"/>
        <rFont val="Times New Roman"/>
        <charset val="204"/>
      </rPr>
      <t>3</t>
    </r>
    <r>
      <rPr>
        <b/>
        <sz val="12"/>
        <color rgb="FF000000"/>
        <rFont val="Times New Roman"/>
        <charset val="204"/>
      </rPr>
      <t>]</t>
    </r>
  </si>
  <si>
    <r>
      <rPr>
        <sz val="12"/>
        <color rgb="FF000000"/>
        <rFont val="宋体"/>
        <charset val="204"/>
      </rPr>
      <t>方形系数</t>
    </r>
    <r>
      <rPr>
        <b/>
        <sz val="12"/>
        <color rgb="FF000000"/>
        <rFont val="Times New Roman"/>
        <charset val="204"/>
      </rPr>
      <t>C</t>
    </r>
    <r>
      <rPr>
        <b/>
        <vertAlign val="subscript"/>
        <sz val="12"/>
        <color rgb="FF000000"/>
        <rFont val="Times New Roman"/>
        <charset val="204"/>
      </rPr>
      <t>B</t>
    </r>
  </si>
  <si>
    <t>主机参数</t>
  </si>
  <si>
    <r>
      <rPr>
        <sz val="12"/>
        <color rgb="FF000000"/>
        <rFont val="宋体"/>
        <charset val="204"/>
      </rPr>
      <t>主机功率</t>
    </r>
    <r>
      <rPr>
        <b/>
        <sz val="12"/>
        <color rgb="FF000000"/>
        <rFont val="Times New Roman"/>
        <charset val="204"/>
      </rPr>
      <t>P</t>
    </r>
    <r>
      <rPr>
        <b/>
        <vertAlign val="subscript"/>
        <sz val="12"/>
        <color rgb="FF000000"/>
        <rFont val="Times New Roman"/>
        <charset val="204"/>
      </rPr>
      <t>s</t>
    </r>
    <r>
      <rPr>
        <b/>
        <sz val="12"/>
        <color rgb="FF000000"/>
        <rFont val="Times New Roman"/>
        <charset val="204"/>
      </rPr>
      <t>[kW]</t>
    </r>
  </si>
  <si>
    <r>
      <rPr>
        <sz val="12"/>
        <color rgb="FF000000"/>
        <rFont val="宋体"/>
        <charset val="204"/>
      </rPr>
      <t>主机转速</t>
    </r>
    <r>
      <rPr>
        <b/>
        <sz val="12"/>
        <color rgb="FF000000"/>
        <rFont val="Times New Roman"/>
        <charset val="204"/>
      </rPr>
      <t>N[RPM]</t>
    </r>
  </si>
  <si>
    <t>轴系参数</t>
  </si>
  <si>
    <r>
      <rPr>
        <sz val="12"/>
        <color rgb="FF000000"/>
        <rFont val="宋体"/>
        <charset val="204"/>
      </rPr>
      <t>轴系传递效率</t>
    </r>
    <r>
      <rPr>
        <b/>
        <sz val="12"/>
        <color rgb="FF000000"/>
        <rFont val="Times New Roman"/>
        <charset val="204"/>
      </rPr>
      <t>η</t>
    </r>
    <r>
      <rPr>
        <b/>
        <vertAlign val="subscript"/>
        <sz val="12"/>
        <color rgb="FF000000"/>
        <rFont val="Times New Roman"/>
        <charset val="204"/>
      </rPr>
      <t>S</t>
    </r>
  </si>
  <si>
    <r>
      <rPr>
        <sz val="12"/>
        <color rgb="FF000000"/>
        <rFont val="宋体"/>
        <charset val="204"/>
      </rPr>
      <t>相对旋转效率</t>
    </r>
    <r>
      <rPr>
        <b/>
        <sz val="12"/>
        <color rgb="FF000000"/>
        <rFont val="Times New Roman"/>
        <charset val="204"/>
      </rPr>
      <t>η</t>
    </r>
    <r>
      <rPr>
        <b/>
        <vertAlign val="subscript"/>
        <sz val="12"/>
        <color rgb="FF000000"/>
        <rFont val="Times New Roman"/>
        <charset val="204"/>
      </rPr>
      <t>R</t>
    </r>
  </si>
  <si>
    <r>
      <rPr>
        <sz val="12"/>
        <color rgb="FF000000"/>
        <rFont val="宋体"/>
        <charset val="204"/>
      </rPr>
      <t>桨轴距基线高度</t>
    </r>
    <r>
      <rPr>
        <b/>
        <sz val="12"/>
        <color rgb="FF000000"/>
        <rFont val="Times New Roman"/>
        <charset val="204"/>
      </rPr>
      <t>h</t>
    </r>
    <r>
      <rPr>
        <b/>
        <vertAlign val="subscript"/>
        <sz val="12"/>
        <color rgb="FF000000"/>
        <rFont val="Times New Roman"/>
        <charset val="204"/>
      </rPr>
      <t>z</t>
    </r>
  </si>
  <si>
    <r>
      <rPr>
        <sz val="12"/>
        <color rgb="FF000000"/>
        <rFont val="宋体"/>
        <charset val="204"/>
      </rPr>
      <t>桨轴沉深</t>
    </r>
    <r>
      <rPr>
        <b/>
        <sz val="12"/>
        <color rgb="FF000000"/>
        <rFont val="Times New Roman"/>
        <charset val="204"/>
      </rPr>
      <t>h</t>
    </r>
    <r>
      <rPr>
        <b/>
        <vertAlign val="subscript"/>
        <sz val="12"/>
        <color rgb="FF000000"/>
        <rFont val="Times New Roman"/>
        <charset val="204"/>
      </rPr>
      <t>s</t>
    </r>
  </si>
  <si>
    <t>桨参数</t>
  </si>
  <si>
    <t>桨系列</t>
  </si>
  <si>
    <t>AU/MAU</t>
  </si>
  <si>
    <t>数量</t>
  </si>
  <si>
    <t>单桨</t>
  </si>
  <si>
    <t>材料</t>
  </si>
  <si>
    <r>
      <rPr>
        <sz val="12"/>
        <color rgb="FF000000"/>
        <rFont val="宋体"/>
        <charset val="204"/>
      </rPr>
      <t>Cu</t>
    </r>
    <r>
      <rPr>
        <vertAlign val="subscript"/>
        <sz val="12"/>
        <color rgb="FF000000"/>
        <rFont val="宋体"/>
        <charset val="204"/>
      </rPr>
      <t>3</t>
    </r>
    <r>
      <rPr>
        <sz val="12"/>
        <color rgb="FF000000"/>
        <rFont val="宋体"/>
        <charset val="204"/>
      </rPr>
      <t>镍铝青铜</t>
    </r>
  </si>
  <si>
    <r>
      <rPr>
        <sz val="12"/>
        <color rgb="FF000000"/>
        <rFont val="宋体"/>
        <charset val="204"/>
      </rPr>
      <t>材料系数</t>
    </r>
    <r>
      <rPr>
        <b/>
        <sz val="12"/>
        <color rgb="FF000000"/>
        <rFont val="Times New Roman"/>
        <charset val="204"/>
      </rPr>
      <t>K</t>
    </r>
  </si>
  <si>
    <r>
      <rPr>
        <sz val="12"/>
        <color rgb="FF000000"/>
        <rFont val="宋体"/>
        <charset val="204"/>
      </rPr>
      <t>材料密度</t>
    </r>
    <r>
      <rPr>
        <b/>
        <sz val="12"/>
        <color rgb="FF000000"/>
        <rFont val="Times New Roman"/>
        <charset val="204"/>
      </rPr>
      <t>G[g/cm</t>
    </r>
    <r>
      <rPr>
        <b/>
        <vertAlign val="superscript"/>
        <sz val="12"/>
        <color rgb="FF000000"/>
        <rFont val="Times New Roman"/>
        <charset val="204"/>
      </rPr>
      <t>3</t>
    </r>
    <r>
      <rPr>
        <b/>
        <sz val="12"/>
        <color rgb="FF000000"/>
        <rFont val="Times New Roman"/>
        <charset val="204"/>
      </rPr>
      <t>]</t>
    </r>
  </si>
  <si>
    <r>
      <rPr>
        <sz val="12"/>
        <color rgb="FF000000"/>
        <rFont val="宋体"/>
        <charset val="204"/>
      </rPr>
      <t>叶数</t>
    </r>
    <r>
      <rPr>
        <b/>
        <sz val="12"/>
        <color rgb="FF000000"/>
        <rFont val="Times New Roman"/>
        <charset val="204"/>
      </rPr>
      <t>Z</t>
    </r>
  </si>
  <si>
    <t>旋向</t>
  </si>
  <si>
    <r>
      <rPr>
        <sz val="12"/>
        <color rgb="FF000000"/>
        <rFont val="宋体"/>
        <charset val="204"/>
      </rPr>
      <t>右</t>
    </r>
  </si>
  <si>
    <r>
      <rPr>
        <sz val="12"/>
        <color rgb="FF000000"/>
        <rFont val="宋体"/>
        <charset val="204"/>
      </rPr>
      <t>桨转速</t>
    </r>
    <r>
      <rPr>
        <b/>
        <sz val="12"/>
        <color rgb="FF000000"/>
        <rFont val="Times New Roman"/>
        <charset val="204"/>
      </rPr>
      <t>n[RPM]</t>
    </r>
  </si>
  <si>
    <r>
      <rPr>
        <sz val="12"/>
        <color rgb="FF000000"/>
        <rFont val="宋体"/>
        <charset val="204"/>
      </rPr>
      <t>毂径</t>
    </r>
    <r>
      <rPr>
        <b/>
        <sz val="12"/>
        <color rgb="FF000000"/>
        <rFont val="Times New Roman"/>
        <charset val="204"/>
      </rPr>
      <t>d</t>
    </r>
    <r>
      <rPr>
        <b/>
        <vertAlign val="subscript"/>
        <sz val="12"/>
        <color rgb="FF000000"/>
        <rFont val="Times New Roman"/>
        <charset val="204"/>
      </rPr>
      <t>h</t>
    </r>
    <r>
      <rPr>
        <b/>
        <sz val="12"/>
        <color rgb="FF000000"/>
        <rFont val="Times New Roman"/>
        <charset val="204"/>
      </rPr>
      <t>[m]</t>
    </r>
  </si>
  <si>
    <t>系列标准毂径比</t>
  </si>
  <si>
    <r>
      <rPr>
        <sz val="12"/>
        <color rgb="FF000000"/>
        <rFont val="宋体"/>
        <charset val="204"/>
      </rPr>
      <t>螺距比</t>
    </r>
    <r>
      <rPr>
        <b/>
        <sz val="12"/>
        <color rgb="FF000000"/>
        <rFont val="Times New Roman"/>
        <charset val="204"/>
      </rPr>
      <t>P/D</t>
    </r>
  </si>
  <si>
    <t>不随位置变化</t>
  </si>
  <si>
    <r>
      <rPr>
        <sz val="12"/>
        <color rgb="FF000000"/>
        <rFont val="宋体"/>
        <charset val="204"/>
      </rPr>
      <t>纵倾</t>
    </r>
    <r>
      <rPr>
        <b/>
        <sz val="12"/>
        <color rgb="FF000000"/>
        <rFont val="Microsoft YaHei"/>
        <charset val="204"/>
      </rPr>
      <t>ε</t>
    </r>
    <r>
      <rPr>
        <b/>
        <sz val="12"/>
        <color rgb="FF000000"/>
        <rFont val="Times New Roman"/>
        <charset val="204"/>
      </rPr>
      <t>[°]</t>
    </r>
  </si>
  <si>
    <t>推进因子</t>
  </si>
  <si>
    <r>
      <rPr>
        <sz val="12"/>
        <color rgb="FF000000"/>
        <rFont val="宋体"/>
        <charset val="204"/>
      </rPr>
      <t>伴流分数</t>
    </r>
    <r>
      <rPr>
        <b/>
        <sz val="12"/>
        <color rgb="FF000000"/>
        <rFont val="Times New Roman"/>
        <charset val="204"/>
      </rPr>
      <t>ω</t>
    </r>
  </si>
  <si>
    <r>
      <rPr>
        <sz val="12"/>
        <color rgb="FF000000"/>
        <rFont val="宋体"/>
        <charset val="204"/>
      </rPr>
      <t>推力减额分数</t>
    </r>
    <r>
      <rPr>
        <b/>
        <sz val="12"/>
        <color rgb="FF000000"/>
        <rFont val="Times New Roman"/>
        <charset val="204"/>
      </rPr>
      <t>t</t>
    </r>
  </si>
  <si>
    <t>环境参数</t>
  </si>
  <si>
    <r>
      <rPr>
        <sz val="12"/>
        <color rgb="FF000000"/>
        <rFont val="宋体"/>
        <charset val="204"/>
      </rPr>
      <t>温度</t>
    </r>
    <r>
      <rPr>
        <b/>
        <sz val="12"/>
        <color rgb="FF000000"/>
        <rFont val="Times New Roman"/>
        <charset val="204"/>
      </rPr>
      <t>T[℃]</t>
    </r>
  </si>
  <si>
    <r>
      <rPr>
        <sz val="12"/>
        <color rgb="FF000000"/>
        <rFont val="宋体"/>
        <charset val="204"/>
      </rPr>
      <t>静态气压</t>
    </r>
    <r>
      <rPr>
        <b/>
        <sz val="11"/>
        <color rgb="FF000000"/>
        <rFont val="Times New Roman"/>
        <charset val="204"/>
      </rPr>
      <t>p</t>
    </r>
    <r>
      <rPr>
        <b/>
        <vertAlign val="subscript"/>
        <sz val="11"/>
        <color rgb="FF000000"/>
        <rFont val="Times New Roman"/>
        <charset val="204"/>
      </rPr>
      <t>0</t>
    </r>
    <r>
      <rPr>
        <b/>
        <sz val="11"/>
        <color rgb="FF000000"/>
        <rFont val="Times New Roman"/>
        <charset val="204"/>
      </rPr>
      <t>[Pa]</t>
    </r>
  </si>
  <si>
    <r>
      <rPr>
        <sz val="12"/>
        <color rgb="FF000000"/>
        <rFont val="宋体"/>
        <charset val="204"/>
      </rPr>
      <t>饱和蒸气压</t>
    </r>
    <r>
      <rPr>
        <b/>
        <sz val="11"/>
        <color rgb="FF000000"/>
        <rFont val="Times New Roman"/>
        <charset val="204"/>
      </rPr>
      <t>p</t>
    </r>
    <r>
      <rPr>
        <b/>
        <vertAlign val="subscript"/>
        <sz val="11"/>
        <color rgb="FF000000"/>
        <rFont val="Times New Roman"/>
        <charset val="204"/>
      </rPr>
      <t>ν</t>
    </r>
    <r>
      <rPr>
        <b/>
        <sz val="11"/>
        <color rgb="FF000000"/>
        <rFont val="Times New Roman"/>
        <charset val="204"/>
      </rPr>
      <t>[Pa]</t>
    </r>
  </si>
  <si>
    <r>
      <rPr>
        <sz val="12"/>
        <color rgb="FF000000"/>
        <rFont val="宋体"/>
        <charset val="204"/>
      </rPr>
      <t>海水密度</t>
    </r>
    <r>
      <rPr>
        <b/>
        <sz val="11"/>
        <color rgb="FF000000"/>
        <rFont val="Times New Roman"/>
        <charset val="204"/>
      </rPr>
      <t>ρ[kg/m</t>
    </r>
    <r>
      <rPr>
        <b/>
        <vertAlign val="superscript"/>
        <sz val="11"/>
        <color rgb="FF000000"/>
        <rFont val="Times New Roman"/>
        <charset val="204"/>
      </rPr>
      <t>3</t>
    </r>
    <r>
      <rPr>
        <b/>
        <sz val="11"/>
        <color rgb="FF000000"/>
        <rFont val="Times New Roman"/>
        <charset val="204"/>
      </rPr>
      <t>]</t>
    </r>
  </si>
  <si>
    <r>
      <rPr>
        <sz val="12"/>
        <color rgb="FF000000"/>
        <rFont val="宋体"/>
        <charset val="204"/>
      </rPr>
      <t>重力加速度</t>
    </r>
    <r>
      <rPr>
        <b/>
        <sz val="12"/>
        <color rgb="FF000000"/>
        <rFont val="Times New Roman"/>
        <charset val="204"/>
      </rPr>
      <t>g[m/s</t>
    </r>
    <r>
      <rPr>
        <b/>
        <vertAlign val="superscript"/>
        <sz val="11"/>
        <color rgb="FF000000"/>
        <rFont val="Arial"/>
        <charset val="204"/>
      </rPr>
      <t>2</t>
    </r>
    <r>
      <rPr>
        <b/>
        <sz val="11"/>
        <color rgb="FF000000"/>
        <rFont val="Arial"/>
        <charset val="204"/>
      </rPr>
      <t>]</t>
    </r>
  </si>
  <si>
    <t>最大航速计算流程</t>
  </si>
  <si>
    <r>
      <rPr>
        <sz val="12"/>
        <rFont val="SimSun"/>
        <charset val="134"/>
      </rPr>
      <t>项</t>
    </r>
    <r>
      <rPr>
        <sz val="12"/>
        <rFont val="Times New Roman"/>
        <charset val="134"/>
      </rPr>
      <t xml:space="preserve">     </t>
    </r>
    <r>
      <rPr>
        <sz val="12"/>
        <rFont val="SimSun"/>
        <charset val="134"/>
      </rPr>
      <t>目</t>
    </r>
  </si>
  <si>
    <r>
      <rPr>
        <sz val="12"/>
        <rFont val="SimSun"/>
        <charset val="134"/>
      </rPr>
      <t>数</t>
    </r>
    <r>
      <rPr>
        <sz val="12"/>
        <rFont val="Times New Roman"/>
        <charset val="134"/>
      </rPr>
      <t xml:space="preserve">   </t>
    </r>
    <r>
      <rPr>
        <sz val="12"/>
        <rFont val="SimSun"/>
        <charset val="134"/>
      </rPr>
      <t>值</t>
    </r>
  </si>
  <si>
    <r>
      <rPr>
        <sz val="12"/>
        <rFont val="宋体"/>
        <charset val="134"/>
      </rPr>
      <t>桨收到功率</t>
    </r>
    <r>
      <rPr>
        <b/>
        <sz val="12"/>
        <rFont val="Times New Roman"/>
        <charset val="134"/>
      </rPr>
      <t>P</t>
    </r>
    <r>
      <rPr>
        <b/>
        <vertAlign val="subscript"/>
        <sz val="12"/>
        <rFont val="Times New Roman"/>
        <charset val="134"/>
      </rPr>
      <t>D</t>
    </r>
    <r>
      <rPr>
        <b/>
        <sz val="12"/>
        <rFont val="Times New Roman"/>
        <charset val="134"/>
      </rPr>
      <t>[kW]</t>
    </r>
    <r>
      <rPr>
        <sz val="12"/>
        <rFont val="Times New Roman"/>
        <charset val="134"/>
      </rPr>
      <t>=Psη</t>
    </r>
    <r>
      <rPr>
        <vertAlign val="subscript"/>
        <sz val="12"/>
        <rFont val="Times New Roman"/>
        <charset val="134"/>
      </rPr>
      <t>R</t>
    </r>
    <r>
      <rPr>
        <sz val="12"/>
        <rFont val="Times New Roman"/>
        <charset val="134"/>
      </rPr>
      <t>η</t>
    </r>
    <r>
      <rPr>
        <vertAlign val="subscript"/>
        <sz val="12"/>
        <rFont val="Times New Roman"/>
        <charset val="134"/>
      </rPr>
      <t>S</t>
    </r>
  </si>
  <si>
    <r>
      <rPr>
        <sz val="12"/>
        <rFont val="宋体"/>
        <charset val="134"/>
      </rPr>
      <t>船身效率</t>
    </r>
    <r>
      <rPr>
        <b/>
        <sz val="12"/>
        <rFont val="Times New Roman"/>
        <charset val="134"/>
      </rPr>
      <t>η</t>
    </r>
    <r>
      <rPr>
        <b/>
        <vertAlign val="subscript"/>
        <sz val="12"/>
        <rFont val="Times New Roman"/>
        <charset val="134"/>
      </rPr>
      <t>H</t>
    </r>
    <r>
      <rPr>
        <sz val="12"/>
        <rFont val="Times New Roman"/>
        <charset val="134"/>
      </rPr>
      <t>=</t>
    </r>
    <r>
      <rPr>
        <sz val="12"/>
        <rFont val="SimSun"/>
        <charset val="134"/>
      </rPr>
      <t>（</t>
    </r>
    <r>
      <rPr>
        <sz val="12"/>
        <rFont val="Times New Roman"/>
        <charset val="134"/>
      </rPr>
      <t>1-t</t>
    </r>
    <r>
      <rPr>
        <sz val="12"/>
        <rFont val="SimSun"/>
        <charset val="134"/>
      </rPr>
      <t>）</t>
    </r>
    <r>
      <rPr>
        <sz val="12"/>
        <rFont val="Times New Roman"/>
        <charset val="134"/>
      </rPr>
      <t>/</t>
    </r>
    <r>
      <rPr>
        <sz val="12"/>
        <rFont val="SimSun"/>
        <charset val="134"/>
      </rPr>
      <t>（</t>
    </r>
    <r>
      <rPr>
        <sz val="12"/>
        <rFont val="Times New Roman"/>
        <charset val="134"/>
      </rPr>
      <t>1-ω</t>
    </r>
    <r>
      <rPr>
        <sz val="12"/>
        <rFont val="SimSun"/>
        <charset val="134"/>
      </rPr>
      <t>）</t>
    </r>
  </si>
  <si>
    <r>
      <rPr>
        <sz val="12"/>
        <rFont val="宋体"/>
        <charset val="204"/>
      </rPr>
      <t>船速</t>
    </r>
    <r>
      <rPr>
        <b/>
        <sz val="12"/>
        <rFont val="Times New Roman"/>
        <charset val="204"/>
      </rPr>
      <t>Vs[kn]</t>
    </r>
  </si>
  <si>
    <r>
      <rPr>
        <sz val="12"/>
        <rFont val="宋体"/>
        <charset val="204"/>
      </rPr>
      <t>进速</t>
    </r>
    <r>
      <rPr>
        <b/>
        <sz val="12"/>
        <rFont val="Times New Roman"/>
        <charset val="204"/>
      </rPr>
      <t>V</t>
    </r>
    <r>
      <rPr>
        <b/>
        <vertAlign val="subscript"/>
        <sz val="12"/>
        <rFont val="Times New Roman"/>
        <charset val="204"/>
      </rPr>
      <t>A</t>
    </r>
    <r>
      <rPr>
        <vertAlign val="subscript"/>
        <sz val="12"/>
        <rFont val="Times New Roman"/>
        <charset val="204"/>
      </rPr>
      <t xml:space="preserve"> </t>
    </r>
    <r>
      <rPr>
        <b/>
        <sz val="12"/>
        <rFont val="Times New Roman"/>
        <charset val="204"/>
      </rPr>
      <t>[kn]</t>
    </r>
    <r>
      <rPr>
        <sz val="12"/>
        <rFont val="Times New Roman"/>
        <charset val="204"/>
      </rPr>
      <t>=(1-ω)Vs</t>
    </r>
  </si>
  <si>
    <r>
      <rPr>
        <b/>
        <sz val="12"/>
        <rFont val="Times New Roman"/>
        <charset val="134"/>
      </rPr>
      <t>Bp</t>
    </r>
    <r>
      <rPr>
        <b/>
        <vertAlign val="superscript"/>
        <sz val="12"/>
        <rFont val="Times New Roman"/>
        <charset val="134"/>
      </rPr>
      <t>0.5</t>
    </r>
    <r>
      <rPr>
        <sz val="12"/>
        <rFont val="Times New Roman"/>
        <charset val="134"/>
      </rPr>
      <t>=</t>
    </r>
    <r>
      <rPr>
        <sz val="12"/>
        <rFont val="SimSun"/>
        <charset val="134"/>
      </rPr>
      <t>（</t>
    </r>
    <r>
      <rPr>
        <sz val="12"/>
        <rFont val="Times New Roman"/>
        <charset val="134"/>
      </rPr>
      <t>1.166nP</t>
    </r>
    <r>
      <rPr>
        <vertAlign val="subscript"/>
        <sz val="12"/>
        <rFont val="Times New Roman"/>
        <charset val="134"/>
      </rPr>
      <t>D0</t>
    </r>
    <r>
      <rPr>
        <vertAlign val="superscript"/>
        <sz val="12"/>
        <rFont val="Times New Roman"/>
        <charset val="134"/>
      </rPr>
      <t>0.5</t>
    </r>
    <r>
      <rPr>
        <sz val="12"/>
        <rFont val="Times New Roman"/>
        <charset val="134"/>
      </rPr>
      <t>/V</t>
    </r>
    <r>
      <rPr>
        <vertAlign val="subscript"/>
        <sz val="12"/>
        <rFont val="Times New Roman"/>
        <charset val="134"/>
      </rPr>
      <t>A</t>
    </r>
    <r>
      <rPr>
        <vertAlign val="superscript"/>
        <sz val="12"/>
        <rFont val="Times New Roman"/>
        <charset val="134"/>
      </rPr>
      <t>2.5</t>
    </r>
    <r>
      <rPr>
        <sz val="12"/>
        <rFont val="SimSun"/>
        <charset val="134"/>
      </rPr>
      <t>）</t>
    </r>
    <r>
      <rPr>
        <vertAlign val="superscript"/>
        <sz val="12"/>
        <rFont val="Times New Roman"/>
        <charset val="134"/>
      </rPr>
      <t>0.5</t>
    </r>
  </si>
  <si>
    <t>MAU4-40</t>
  </si>
  <si>
    <t>δ</t>
  </si>
  <si>
    <t>P/D</t>
  </si>
  <si>
    <r>
      <rPr>
        <b/>
        <sz val="12"/>
        <color rgb="FF000000"/>
        <rFont val="Times New Roman"/>
        <charset val="204"/>
      </rPr>
      <t>η</t>
    </r>
    <r>
      <rPr>
        <b/>
        <vertAlign val="subscript"/>
        <sz val="12"/>
        <color rgb="FF000000"/>
        <rFont val="Times New Roman"/>
        <charset val="204"/>
      </rPr>
      <t>0</t>
    </r>
  </si>
  <si>
    <r>
      <rPr>
        <b/>
        <sz val="12"/>
        <rFont val="Times New Roman"/>
        <charset val="134"/>
      </rPr>
      <t>P</t>
    </r>
    <r>
      <rPr>
        <b/>
        <vertAlign val="subscript"/>
        <sz val="12"/>
        <rFont val="Times New Roman"/>
        <charset val="134"/>
      </rPr>
      <t>TE</t>
    </r>
    <r>
      <rPr>
        <b/>
        <sz val="12"/>
        <rFont val="Times New Roman"/>
        <charset val="134"/>
      </rPr>
      <t>[kW]</t>
    </r>
    <r>
      <rPr>
        <sz val="12"/>
        <rFont val="Times New Roman"/>
        <charset val="134"/>
      </rPr>
      <t>=P</t>
    </r>
    <r>
      <rPr>
        <vertAlign val="subscript"/>
        <sz val="12"/>
        <rFont val="Times New Roman"/>
        <charset val="134"/>
      </rPr>
      <t>D</t>
    </r>
    <r>
      <rPr>
        <sz val="12"/>
        <rFont val="Times New Roman"/>
        <charset val="134"/>
      </rPr>
      <t>η</t>
    </r>
    <r>
      <rPr>
        <vertAlign val="subscript"/>
        <sz val="12"/>
        <rFont val="Times New Roman"/>
        <charset val="134"/>
      </rPr>
      <t>H</t>
    </r>
    <r>
      <rPr>
        <sz val="12"/>
        <rFont val="Times New Roman"/>
        <charset val="134"/>
      </rPr>
      <t>η</t>
    </r>
    <r>
      <rPr>
        <vertAlign val="subscript"/>
        <sz val="12"/>
        <rFont val="Times New Roman"/>
        <charset val="134"/>
      </rPr>
      <t>0</t>
    </r>
  </si>
  <si>
    <t>MAU4-55</t>
  </si>
  <si>
    <t>MAU4-70</t>
  </si>
  <si>
    <t>最大航速点及对应的有效功率、桨径、螺距比和敞水效率</t>
  </si>
  <si>
    <t>盘面比</t>
  </si>
  <si>
    <r>
      <rPr>
        <b/>
        <sz val="12"/>
        <color theme="1"/>
        <rFont val="Times New Roman"/>
        <charset val="134"/>
      </rPr>
      <t>V</t>
    </r>
    <r>
      <rPr>
        <b/>
        <vertAlign val="subscript"/>
        <sz val="12"/>
        <color theme="1"/>
        <rFont val="Times New Roman"/>
        <charset val="134"/>
      </rPr>
      <t>max</t>
    </r>
    <r>
      <rPr>
        <b/>
        <sz val="12"/>
        <color theme="1"/>
        <rFont val="Times New Roman"/>
        <charset val="134"/>
      </rPr>
      <t>[kn]</t>
    </r>
  </si>
  <si>
    <r>
      <rPr>
        <b/>
        <sz val="12"/>
        <color theme="1"/>
        <rFont val="Times New Roman"/>
        <charset val="134"/>
      </rPr>
      <t>P</t>
    </r>
    <r>
      <rPr>
        <b/>
        <vertAlign val="subscript"/>
        <sz val="12"/>
        <color theme="1"/>
        <rFont val="Times New Roman"/>
        <charset val="134"/>
      </rPr>
      <t>E</t>
    </r>
    <r>
      <rPr>
        <b/>
        <sz val="12"/>
        <color theme="1"/>
        <rFont val="Times New Roman"/>
        <charset val="134"/>
      </rPr>
      <t>[kW]</t>
    </r>
  </si>
  <si>
    <t>D[m]</t>
  </si>
  <si>
    <r>
      <rPr>
        <b/>
        <sz val="12"/>
        <color theme="1"/>
        <rFont val="Times New Roman"/>
        <charset val="134"/>
      </rPr>
      <t>η</t>
    </r>
    <r>
      <rPr>
        <b/>
        <vertAlign val="subscript"/>
        <sz val="12"/>
        <color theme="1"/>
        <rFont val="Times New Roman"/>
        <charset val="134"/>
      </rPr>
      <t>0</t>
    </r>
  </si>
  <si>
    <t>空泡校核流程</t>
  </si>
  <si>
    <r>
      <rPr>
        <sz val="12"/>
        <color rgb="FF000000"/>
        <rFont val="宋体"/>
        <charset val="204"/>
      </rPr>
      <t>项</t>
    </r>
    <r>
      <rPr>
        <sz val="12"/>
        <color rgb="FF000000"/>
        <rFont val="Times New Roman"/>
        <charset val="204"/>
      </rPr>
      <t xml:space="preserve">    </t>
    </r>
    <r>
      <rPr>
        <sz val="12"/>
        <color rgb="FF000000"/>
        <rFont val="宋体"/>
        <charset val="204"/>
      </rPr>
      <t>目</t>
    </r>
  </si>
  <si>
    <r>
      <rPr>
        <sz val="12"/>
        <color rgb="FF000000"/>
        <rFont val="宋体"/>
        <charset val="204"/>
      </rPr>
      <t>数</t>
    </r>
    <r>
      <rPr>
        <sz val="12"/>
        <color rgb="FF000000"/>
        <rFont val="Times New Roman"/>
        <charset val="204"/>
      </rPr>
      <t xml:space="preserve">      </t>
    </r>
    <r>
      <rPr>
        <sz val="12"/>
        <color rgb="FF000000"/>
        <rFont val="宋体"/>
        <charset val="204"/>
      </rPr>
      <t>值</t>
    </r>
  </si>
  <si>
    <r>
      <rPr>
        <b/>
        <sz val="12"/>
        <color rgb="FF000000"/>
        <rFont val="Times New Roman"/>
        <charset val="204"/>
      </rPr>
      <t>V</t>
    </r>
    <r>
      <rPr>
        <b/>
        <vertAlign val="subscript"/>
        <sz val="12"/>
        <color rgb="FF000000"/>
        <rFont val="Times New Roman"/>
        <charset val="204"/>
      </rPr>
      <t>A</t>
    </r>
    <r>
      <rPr>
        <b/>
        <sz val="12"/>
        <color rgb="FF000000"/>
        <rFont val="Times New Roman"/>
        <charset val="204"/>
      </rPr>
      <t>[m/s]</t>
    </r>
    <r>
      <rPr>
        <sz val="12"/>
        <color rgb="FF000000"/>
        <rFont val="Times New Roman"/>
        <charset val="204"/>
      </rPr>
      <t>=0.5144V</t>
    </r>
    <r>
      <rPr>
        <vertAlign val="subscript"/>
        <sz val="12"/>
        <color rgb="FF000000"/>
        <rFont val="Times New Roman"/>
        <charset val="204"/>
      </rPr>
      <t>max</t>
    </r>
    <r>
      <rPr>
        <sz val="12"/>
        <color rgb="FF000000"/>
        <rFont val="Times New Roman"/>
        <charset val="204"/>
      </rPr>
      <t>(1-</t>
    </r>
    <r>
      <rPr>
        <sz val="12"/>
        <color rgb="FF000000"/>
        <rFont val="微软雅黑"/>
        <charset val="204"/>
      </rPr>
      <t>ω</t>
    </r>
    <r>
      <rPr>
        <sz val="12"/>
        <color rgb="FF000000"/>
        <rFont val="Times New Roman"/>
        <charset val="204"/>
      </rPr>
      <t>)</t>
    </r>
  </si>
  <si>
    <r>
      <rPr>
        <b/>
        <sz val="12"/>
        <color rgb="FF000000"/>
        <rFont val="Times New Roman"/>
        <charset val="204"/>
      </rPr>
      <t>V</t>
    </r>
    <r>
      <rPr>
        <b/>
        <vertAlign val="superscript"/>
        <sz val="12"/>
        <color rgb="FF000000"/>
        <rFont val="Times New Roman"/>
        <charset val="204"/>
      </rPr>
      <t>2</t>
    </r>
    <r>
      <rPr>
        <b/>
        <vertAlign val="subscript"/>
        <sz val="12"/>
        <color rgb="FF000000"/>
        <rFont val="Times New Roman"/>
        <charset val="204"/>
      </rPr>
      <t>0.7R</t>
    </r>
    <r>
      <rPr>
        <b/>
        <sz val="12"/>
        <color rgb="FF000000"/>
        <rFont val="Times New Roman"/>
        <charset val="204"/>
      </rPr>
      <t>[(m/s)</t>
    </r>
    <r>
      <rPr>
        <b/>
        <vertAlign val="superscript"/>
        <sz val="12"/>
        <color rgb="FF000000"/>
        <rFont val="Times New Roman"/>
        <charset val="204"/>
      </rPr>
      <t>2</t>
    </r>
    <r>
      <rPr>
        <b/>
        <sz val="12"/>
        <color rgb="FF000000"/>
        <rFont val="Times New Roman"/>
        <charset val="204"/>
      </rPr>
      <t>]</t>
    </r>
    <r>
      <rPr>
        <sz val="12"/>
        <color rgb="FF000000"/>
        <rFont val="Times New Roman"/>
        <charset val="204"/>
      </rPr>
      <t>=V</t>
    </r>
    <r>
      <rPr>
        <vertAlign val="superscript"/>
        <sz val="12"/>
        <color rgb="FF000000"/>
        <rFont val="Times New Roman"/>
        <charset val="204"/>
      </rPr>
      <t>2</t>
    </r>
    <r>
      <rPr>
        <vertAlign val="subscript"/>
        <sz val="12"/>
        <color rgb="FF000000"/>
        <rFont val="Times New Roman"/>
        <charset val="204"/>
      </rPr>
      <t>A</t>
    </r>
    <r>
      <rPr>
        <sz val="12"/>
        <color rgb="FF000000"/>
        <rFont val="Times New Roman"/>
        <charset val="204"/>
      </rPr>
      <t>+(0.7πND/60)²</t>
    </r>
  </si>
  <si>
    <t>空泡界限插值</t>
  </si>
  <si>
    <r>
      <rPr>
        <b/>
        <sz val="12"/>
        <color rgb="FF000000"/>
        <rFont val="Times New Roman"/>
        <charset val="204"/>
      </rPr>
      <t>σ</t>
    </r>
    <r>
      <rPr>
        <sz val="12"/>
        <color rgb="FF000000"/>
        <rFont val="Times New Roman"/>
        <charset val="204"/>
      </rPr>
      <t>=(p</t>
    </r>
    <r>
      <rPr>
        <vertAlign val="subscript"/>
        <sz val="12"/>
        <color rgb="FF000000"/>
        <rFont val="Times New Roman"/>
        <charset val="204"/>
      </rPr>
      <t>0</t>
    </r>
    <r>
      <rPr>
        <sz val="12"/>
        <color rgb="FF000000"/>
        <rFont val="Times New Roman"/>
        <charset val="204"/>
      </rPr>
      <t>-p</t>
    </r>
    <r>
      <rPr>
        <vertAlign val="subscript"/>
        <sz val="12"/>
        <color rgb="FF000000"/>
        <rFont val="Times New Roman"/>
        <charset val="204"/>
      </rPr>
      <t>v</t>
    </r>
    <r>
      <rPr>
        <sz val="12"/>
        <color rgb="FF000000"/>
        <rFont val="Times New Roman"/>
        <charset val="204"/>
      </rPr>
      <t>)/(0.5</t>
    </r>
    <r>
      <rPr>
        <sz val="12"/>
        <color rgb="FF000000"/>
        <rFont val="微软雅黑"/>
        <charset val="204"/>
      </rPr>
      <t>ρ</t>
    </r>
    <r>
      <rPr>
        <sz val="12"/>
        <color rgb="FF000000"/>
        <rFont val="Times New Roman"/>
        <charset val="204"/>
      </rPr>
      <t>V</t>
    </r>
    <r>
      <rPr>
        <vertAlign val="superscript"/>
        <sz val="12"/>
        <color rgb="FF000000"/>
        <rFont val="Times New Roman"/>
        <charset val="204"/>
      </rPr>
      <t>2</t>
    </r>
    <r>
      <rPr>
        <vertAlign val="subscript"/>
        <sz val="12"/>
        <color rgb="FF000000"/>
        <rFont val="Times New Roman"/>
        <charset val="204"/>
      </rPr>
      <t>0.7R</t>
    </r>
    <r>
      <rPr>
        <sz val="12"/>
        <color rgb="FF000000"/>
        <rFont val="Times New Roman"/>
        <charset val="204"/>
      </rPr>
      <t>)</t>
    </r>
  </si>
  <si>
    <r>
      <rPr>
        <b/>
        <sz val="12"/>
        <color rgb="FF000000"/>
        <rFont val="微软雅黑"/>
        <charset val="204"/>
      </rPr>
      <t>τ</t>
    </r>
    <r>
      <rPr>
        <b/>
        <vertAlign val="subscript"/>
        <sz val="12"/>
        <color rgb="FF000000"/>
        <rFont val="Times New Roman"/>
        <charset val="204"/>
      </rPr>
      <t>c</t>
    </r>
  </si>
  <si>
    <r>
      <rPr>
        <b/>
        <sz val="12"/>
        <color rgb="FF000000"/>
        <rFont val="Times New Roman"/>
        <charset val="204"/>
      </rPr>
      <t>T[N]</t>
    </r>
    <r>
      <rPr>
        <sz val="12"/>
        <color rgb="FF000000"/>
        <rFont val="Times New Roman"/>
        <charset val="204"/>
      </rPr>
      <t>=P</t>
    </r>
    <r>
      <rPr>
        <vertAlign val="subscript"/>
        <sz val="12"/>
        <color rgb="FF000000"/>
        <rFont val="Times New Roman"/>
        <charset val="204"/>
      </rPr>
      <t>E</t>
    </r>
    <r>
      <rPr>
        <sz val="12"/>
        <color rgb="FF000000"/>
        <rFont val="微软雅黑"/>
        <charset val="204"/>
      </rPr>
      <t>/(</t>
    </r>
    <r>
      <rPr>
        <sz val="12"/>
        <color rgb="FF000000"/>
        <rFont val="Times New Roman"/>
        <charset val="204"/>
      </rPr>
      <t>η</t>
    </r>
    <r>
      <rPr>
        <vertAlign val="subscript"/>
        <sz val="12"/>
        <color rgb="FF000000"/>
        <rFont val="Times New Roman"/>
        <charset val="204"/>
      </rPr>
      <t>H</t>
    </r>
    <r>
      <rPr>
        <sz val="12"/>
        <color rgb="FF000000"/>
        <rFont val="微软雅黑"/>
        <charset val="204"/>
      </rPr>
      <t>V</t>
    </r>
    <r>
      <rPr>
        <vertAlign val="subscript"/>
        <sz val="12"/>
        <color rgb="FF000000"/>
        <rFont val="微软雅黑"/>
        <charset val="204"/>
      </rPr>
      <t>A</t>
    </r>
    <r>
      <rPr>
        <sz val="12"/>
        <color rgb="FF000000"/>
        <rFont val="Times New Roman"/>
        <charset val="204"/>
      </rPr>
      <t>)</t>
    </r>
  </si>
  <si>
    <r>
      <rPr>
        <b/>
        <sz val="12"/>
        <color rgb="FF000000"/>
        <rFont val="Times New Roman"/>
        <charset val="204"/>
      </rPr>
      <t>Ap[m</t>
    </r>
    <r>
      <rPr>
        <b/>
        <vertAlign val="superscript"/>
        <sz val="12"/>
        <color rgb="FF000000"/>
        <rFont val="Times New Roman"/>
        <charset val="204"/>
      </rPr>
      <t>2</t>
    </r>
    <r>
      <rPr>
        <b/>
        <sz val="12"/>
        <color rgb="FF000000"/>
        <rFont val="Times New Roman"/>
        <charset val="204"/>
      </rPr>
      <t>]</t>
    </r>
    <r>
      <rPr>
        <sz val="12"/>
        <color rgb="FF000000"/>
        <rFont val="Times New Roman"/>
        <charset val="204"/>
      </rPr>
      <t>=T/(0.5</t>
    </r>
    <r>
      <rPr>
        <sz val="12"/>
        <color rgb="FF000000"/>
        <rFont val="微软雅黑"/>
        <charset val="204"/>
      </rPr>
      <t>ρ</t>
    </r>
    <r>
      <rPr>
        <sz val="12"/>
        <color rgb="FF000000"/>
        <rFont val="Times New Roman"/>
        <charset val="204"/>
      </rPr>
      <t>V</t>
    </r>
    <r>
      <rPr>
        <vertAlign val="superscript"/>
        <sz val="12"/>
        <color rgb="FF000000"/>
        <rFont val="Times New Roman"/>
        <charset val="204"/>
      </rPr>
      <t>2</t>
    </r>
    <r>
      <rPr>
        <vertAlign val="subscript"/>
        <sz val="12"/>
        <color rgb="FF000000"/>
        <rFont val="Times New Roman"/>
        <charset val="204"/>
      </rPr>
      <t>0.7R</t>
    </r>
    <r>
      <rPr>
        <sz val="12"/>
        <color rgb="FF000000"/>
        <rFont val="微软雅黑"/>
        <charset val="204"/>
      </rPr>
      <t>τ</t>
    </r>
    <r>
      <rPr>
        <vertAlign val="subscript"/>
        <sz val="12"/>
        <color rgb="FF000000"/>
        <rFont val="Times New Roman"/>
        <charset val="204"/>
      </rPr>
      <t>c</t>
    </r>
    <r>
      <rPr>
        <sz val="12"/>
        <color rgb="FF000000"/>
        <rFont val="Times New Roman"/>
        <charset val="204"/>
      </rPr>
      <t>)</t>
    </r>
  </si>
  <si>
    <r>
      <rPr>
        <b/>
        <sz val="12"/>
        <color rgb="FF000000"/>
        <rFont val="Times New Roman"/>
        <charset val="204"/>
      </rPr>
      <t>A</t>
    </r>
    <r>
      <rPr>
        <b/>
        <vertAlign val="subscript"/>
        <sz val="12"/>
        <color rgb="FF000000"/>
        <rFont val="Times New Roman"/>
        <charset val="204"/>
      </rPr>
      <t>E</t>
    </r>
    <r>
      <rPr>
        <b/>
        <sz val="12"/>
        <color rgb="FF000000"/>
        <rFont val="Times New Roman"/>
        <charset val="204"/>
      </rPr>
      <t>[m</t>
    </r>
    <r>
      <rPr>
        <b/>
        <vertAlign val="superscript"/>
        <sz val="12"/>
        <color rgb="FF000000"/>
        <rFont val="Times New Roman"/>
        <charset val="204"/>
      </rPr>
      <t>2</t>
    </r>
    <r>
      <rPr>
        <b/>
        <sz val="12"/>
        <color rgb="FF000000"/>
        <rFont val="Times New Roman"/>
        <charset val="204"/>
      </rPr>
      <t>]</t>
    </r>
    <r>
      <rPr>
        <sz val="12"/>
        <color rgb="FF000000"/>
        <rFont val="Times New Roman"/>
        <charset val="204"/>
      </rPr>
      <t>=A</t>
    </r>
    <r>
      <rPr>
        <vertAlign val="subscript"/>
        <sz val="12"/>
        <color rgb="FF000000"/>
        <rFont val="Times New Roman"/>
        <charset val="204"/>
      </rPr>
      <t>p</t>
    </r>
    <r>
      <rPr>
        <sz val="12"/>
        <color rgb="FF000000"/>
        <rFont val="Times New Roman"/>
        <charset val="204"/>
      </rPr>
      <t>/(1.067-0.229P/D)</t>
    </r>
  </si>
  <si>
    <r>
      <rPr>
        <b/>
        <sz val="12"/>
        <color rgb="FF000000"/>
        <rFont val="Times New Roman"/>
        <charset val="204"/>
      </rPr>
      <t>A</t>
    </r>
    <r>
      <rPr>
        <b/>
        <vertAlign val="subscript"/>
        <sz val="12"/>
        <color rgb="FF000000"/>
        <rFont val="Times New Roman"/>
        <charset val="204"/>
      </rPr>
      <t>E</t>
    </r>
    <r>
      <rPr>
        <b/>
        <sz val="12"/>
        <color rgb="FF000000"/>
        <rFont val="Times New Roman"/>
        <charset val="204"/>
      </rPr>
      <t>/A</t>
    </r>
    <r>
      <rPr>
        <b/>
        <vertAlign val="subscript"/>
        <sz val="12"/>
        <color rgb="FF000000"/>
        <rFont val="Times New Roman"/>
        <charset val="204"/>
      </rPr>
      <t>0</t>
    </r>
    <r>
      <rPr>
        <sz val="12"/>
        <color rgb="FF000000"/>
        <rFont val="Times New Roman"/>
        <charset val="204"/>
      </rPr>
      <t>=A</t>
    </r>
    <r>
      <rPr>
        <vertAlign val="subscript"/>
        <sz val="12"/>
        <color rgb="FF000000"/>
        <rFont val="Times New Roman"/>
        <charset val="204"/>
      </rPr>
      <t>E</t>
    </r>
    <r>
      <rPr>
        <sz val="12"/>
        <color rgb="FF000000"/>
        <rFont val="Times New Roman"/>
        <charset val="204"/>
      </rPr>
      <t>/(</t>
    </r>
    <r>
      <rPr>
        <sz val="12"/>
        <color rgb="FF000000"/>
        <rFont val="微软雅黑"/>
        <charset val="204"/>
      </rPr>
      <t>π</t>
    </r>
    <r>
      <rPr>
        <sz val="12"/>
        <color rgb="FF000000"/>
        <rFont val="Times New Roman"/>
        <charset val="204"/>
      </rPr>
      <t>D</t>
    </r>
    <r>
      <rPr>
        <vertAlign val="superscript"/>
        <sz val="12"/>
        <color rgb="FF000000"/>
        <rFont val="Times New Roman"/>
        <charset val="204"/>
      </rPr>
      <t>2</t>
    </r>
    <r>
      <rPr>
        <sz val="12"/>
        <color rgb="FF000000"/>
        <rFont val="Times New Roman"/>
        <charset val="204"/>
      </rPr>
      <t>/4)</t>
    </r>
  </si>
  <si>
    <t>空泡校核结果</t>
  </si>
  <si>
    <r>
      <rPr>
        <b/>
        <sz val="12"/>
        <color theme="1"/>
        <rFont val="宋体"/>
        <charset val="134"/>
      </rPr>
      <t>A</t>
    </r>
    <r>
      <rPr>
        <b/>
        <vertAlign val="subscript"/>
        <sz val="12"/>
        <color theme="1"/>
        <rFont val="宋体"/>
        <charset val="134"/>
      </rPr>
      <t>E</t>
    </r>
    <r>
      <rPr>
        <b/>
        <sz val="12"/>
        <color theme="1"/>
        <rFont val="宋体"/>
        <charset val="134"/>
      </rPr>
      <t>/A</t>
    </r>
    <r>
      <rPr>
        <b/>
        <vertAlign val="subscript"/>
        <sz val="12"/>
        <color theme="1"/>
        <rFont val="宋体"/>
        <charset val="134"/>
      </rPr>
      <t>O</t>
    </r>
  </si>
  <si>
    <t>V[kn]</t>
  </si>
  <si>
    <r>
      <rPr>
        <sz val="11"/>
        <color rgb="FF000000"/>
        <rFont val="宋体"/>
        <charset val="204"/>
      </rPr>
      <t>强度校核</t>
    </r>
  </si>
  <si>
    <t>项目</t>
  </si>
  <si>
    <t>数值</t>
  </si>
  <si>
    <t>位置</t>
  </si>
  <si>
    <t>0.25R</t>
  </si>
  <si>
    <t>0.6R</t>
  </si>
  <si>
    <t xml:space="preserve"> </t>
  </si>
  <si>
    <r>
      <rPr>
        <b/>
        <sz val="12"/>
        <color rgb="FF000000"/>
        <rFont val="Times New Roman"/>
        <charset val="134"/>
      </rPr>
      <t>t</t>
    </r>
    <r>
      <rPr>
        <b/>
        <vertAlign val="subscript"/>
        <sz val="11"/>
        <color rgb="FF000000"/>
        <rFont val="Times New Roman"/>
        <charset val="134"/>
      </rPr>
      <t>1.0R</t>
    </r>
    <r>
      <rPr>
        <b/>
        <sz val="11"/>
        <color rgb="FF000000"/>
        <rFont val="Times New Roman"/>
        <charset val="134"/>
      </rPr>
      <t>[mm]</t>
    </r>
    <r>
      <rPr>
        <sz val="11"/>
        <color rgb="FF000000"/>
        <rFont val="Arial"/>
        <charset val="134"/>
      </rPr>
      <t>=0.0035D</t>
    </r>
  </si>
  <si>
    <t>r/R</t>
  </si>
  <si>
    <r>
      <rPr>
        <sz val="11"/>
        <color rgb="FF000000"/>
        <rFont val="宋体"/>
        <charset val="204"/>
      </rPr>
      <t>叶片厚度</t>
    </r>
    <r>
      <rPr>
        <sz val="11"/>
        <color rgb="FF000000"/>
        <rFont val="Arial"/>
        <charset val="204"/>
      </rPr>
      <t>[mm]</t>
    </r>
  </si>
  <si>
    <r>
      <rPr>
        <b/>
        <sz val="12"/>
        <color rgb="FF000000"/>
        <rFont val="Times New Roman"/>
        <charset val="134"/>
      </rPr>
      <t>b</t>
    </r>
    <r>
      <rPr>
        <b/>
        <vertAlign val="subscript"/>
        <sz val="12"/>
        <color rgb="FF000000"/>
        <rFont val="Times New Roman"/>
        <charset val="134"/>
      </rPr>
      <t>0.66R</t>
    </r>
    <r>
      <rPr>
        <b/>
        <sz val="12"/>
        <color rgb="FF000000"/>
        <rFont val="Times New Roman"/>
        <charset val="134"/>
      </rPr>
      <t>[m]</t>
    </r>
    <r>
      <rPr>
        <sz val="12"/>
        <color rgb="FF000000"/>
        <rFont val="宋体"/>
        <charset val="134"/>
      </rPr>
      <t>=0.226DA</t>
    </r>
    <r>
      <rPr>
        <vertAlign val="subscript"/>
        <sz val="12"/>
        <color rgb="FF000000"/>
        <rFont val="宋体"/>
        <charset val="134"/>
      </rPr>
      <t>E</t>
    </r>
    <r>
      <rPr>
        <sz val="12"/>
        <color rgb="FF000000"/>
        <rFont val="宋体"/>
        <charset val="134"/>
      </rPr>
      <t>/A</t>
    </r>
    <r>
      <rPr>
        <vertAlign val="subscript"/>
        <sz val="12"/>
        <color rgb="FF000000"/>
        <rFont val="宋体"/>
        <charset val="134"/>
      </rPr>
      <t>O</t>
    </r>
    <r>
      <rPr>
        <sz val="12"/>
        <color rgb="FF000000"/>
        <rFont val="宋体"/>
        <charset val="134"/>
      </rPr>
      <t>/（0.1Z）</t>
    </r>
  </si>
  <si>
    <t>b[m]</t>
  </si>
  <si>
    <t>K1</t>
  </si>
  <si>
    <t>K2</t>
  </si>
  <si>
    <t>K3</t>
  </si>
  <si>
    <t>K4</t>
  </si>
  <si>
    <r>
      <rPr>
        <b/>
        <sz val="12"/>
        <color rgb="FF000000"/>
        <rFont val="Times New Roman"/>
        <charset val="134"/>
      </rPr>
      <t>A1</t>
    </r>
    <r>
      <rPr>
        <sz val="12"/>
        <color rgb="FF000000"/>
        <rFont val="Times New Roman"/>
        <charset val="134"/>
      </rPr>
      <t>=D/P(K1-K2D/P</t>
    </r>
    <r>
      <rPr>
        <vertAlign val="subscript"/>
        <sz val="12"/>
        <color rgb="FF000000"/>
        <rFont val="Times New Roman"/>
        <charset val="134"/>
      </rPr>
      <t>0.7R</t>
    </r>
    <r>
      <rPr>
        <sz val="12"/>
        <color rgb="FF000000"/>
        <rFont val="Times New Roman"/>
        <charset val="134"/>
      </rPr>
      <t>)+K3D/P</t>
    </r>
    <r>
      <rPr>
        <vertAlign val="subscript"/>
        <sz val="12"/>
        <color rgb="FF000000"/>
        <rFont val="Times New Roman"/>
        <charset val="134"/>
      </rPr>
      <t>0.7R</t>
    </r>
    <r>
      <rPr>
        <sz val="12"/>
        <color rgb="FF000000"/>
        <rFont val="Times New Roman"/>
        <charset val="134"/>
      </rPr>
      <t>-K4</t>
    </r>
  </si>
  <si>
    <r>
      <rPr>
        <b/>
        <sz val="12"/>
        <color rgb="FF000000"/>
        <rFont val="Times New Roman"/>
        <charset val="134"/>
      </rPr>
      <t>Y</t>
    </r>
    <r>
      <rPr>
        <sz val="12"/>
        <color rgb="FF000000"/>
        <rFont val="Times New Roman"/>
        <charset val="134"/>
      </rPr>
      <t>=1.36A</t>
    </r>
    <r>
      <rPr>
        <vertAlign val="subscript"/>
        <sz val="12"/>
        <color rgb="FF000000"/>
        <rFont val="Times New Roman"/>
        <charset val="134"/>
      </rPr>
      <t>1</t>
    </r>
    <r>
      <rPr>
        <sz val="12"/>
        <color rgb="FF000000"/>
        <rFont val="Times New Roman"/>
        <charset val="134"/>
      </rPr>
      <t>Pe/(Zbn)</t>
    </r>
  </si>
  <si>
    <t>K5</t>
  </si>
  <si>
    <t>K6</t>
  </si>
  <si>
    <t>K7</t>
  </si>
  <si>
    <t>K8</t>
  </si>
  <si>
    <r>
      <rPr>
        <b/>
        <sz val="12"/>
        <color rgb="FF000000"/>
        <rFont val="Times New Roman"/>
        <charset val="134"/>
      </rPr>
      <t>A2</t>
    </r>
    <r>
      <rPr>
        <sz val="12"/>
        <color rgb="FF000000"/>
        <rFont val="Times New Roman"/>
        <charset val="134"/>
      </rPr>
      <t>=D/P(k5+K6</t>
    </r>
    <r>
      <rPr>
        <sz val="12"/>
        <color rgb="FF000000"/>
        <rFont val="Microsoft YaHei"/>
        <charset val="134"/>
      </rPr>
      <t>ε</t>
    </r>
    <r>
      <rPr>
        <sz val="12"/>
        <color rgb="FF000000"/>
        <rFont val="Times New Roman"/>
        <charset val="134"/>
      </rPr>
      <t>)-K7ε+K8</t>
    </r>
  </si>
  <si>
    <r>
      <rPr>
        <b/>
        <sz val="12"/>
        <color rgb="FF000000"/>
        <rFont val="Times New Roman"/>
        <charset val="134"/>
      </rPr>
      <t>X</t>
    </r>
    <r>
      <rPr>
        <sz val="12"/>
        <color rgb="FF000000"/>
        <rFont val="Times New Roman"/>
        <charset val="134"/>
      </rPr>
      <t>=A</t>
    </r>
    <r>
      <rPr>
        <vertAlign val="subscript"/>
        <sz val="12"/>
        <color rgb="FF000000"/>
        <rFont val="Times New Roman"/>
        <charset val="134"/>
      </rPr>
      <t>2</t>
    </r>
    <r>
      <rPr>
        <sz val="12"/>
        <color rgb="FF000000"/>
        <rFont val="Times New Roman"/>
        <charset val="134"/>
      </rPr>
      <t>GA</t>
    </r>
    <r>
      <rPr>
        <vertAlign val="subscript"/>
        <sz val="12"/>
        <color rgb="FF000000"/>
        <rFont val="Times New Roman"/>
        <charset val="134"/>
      </rPr>
      <t>d</t>
    </r>
    <r>
      <rPr>
        <sz val="12"/>
        <color rgb="FF000000"/>
        <rFont val="Times New Roman"/>
        <charset val="134"/>
      </rPr>
      <t>n</t>
    </r>
    <r>
      <rPr>
        <vertAlign val="superscript"/>
        <sz val="12"/>
        <color rgb="FF000000"/>
        <rFont val="Times New Roman"/>
        <charset val="134"/>
      </rPr>
      <t>2</t>
    </r>
    <r>
      <rPr>
        <sz val="12"/>
        <color rgb="FF000000"/>
        <rFont val="Times New Roman"/>
        <charset val="134"/>
      </rPr>
      <t>D</t>
    </r>
    <r>
      <rPr>
        <vertAlign val="superscript"/>
        <sz val="12"/>
        <color rgb="FF000000"/>
        <rFont val="Times New Roman"/>
        <charset val="134"/>
      </rPr>
      <t>3</t>
    </r>
    <r>
      <rPr>
        <sz val="12"/>
        <color rgb="FF000000"/>
        <rFont val="Times New Roman"/>
        <charset val="134"/>
      </rPr>
      <t>/(10</t>
    </r>
    <r>
      <rPr>
        <vertAlign val="superscript"/>
        <sz val="12"/>
        <color rgb="FF000000"/>
        <rFont val="Times New Roman"/>
        <charset val="134"/>
      </rPr>
      <t>10</t>
    </r>
    <r>
      <rPr>
        <sz val="12"/>
        <color rgb="FF000000"/>
        <rFont val="Times New Roman"/>
        <charset val="134"/>
      </rPr>
      <t>Zb)</t>
    </r>
  </si>
  <si>
    <r>
      <rPr>
        <b/>
        <sz val="12"/>
        <color rgb="FF000000"/>
        <rFont val="Times New Roman"/>
        <charset val="134"/>
      </rPr>
      <t>t[mm]</t>
    </r>
    <r>
      <rPr>
        <sz val="12"/>
        <color rgb="FF000000"/>
        <rFont val="Times New Roman"/>
        <charset val="134"/>
      </rPr>
      <t>=(Y/(K-X))</t>
    </r>
    <r>
      <rPr>
        <vertAlign val="superscript"/>
        <sz val="12"/>
        <color rgb="FF000000"/>
        <rFont val="Times New Roman"/>
        <charset val="134"/>
      </rPr>
      <t>0.5</t>
    </r>
  </si>
  <si>
    <r>
      <rPr>
        <b/>
        <sz val="12"/>
        <color rgb="FF000000"/>
        <rFont val="宋体"/>
        <charset val="134"/>
      </rPr>
      <t>标准桨叶厚度</t>
    </r>
    <r>
      <rPr>
        <b/>
        <sz val="12"/>
        <color rgb="FF000000"/>
        <rFont val="Times New Roman"/>
        <charset val="134"/>
      </rPr>
      <t>[mm]</t>
    </r>
  </si>
  <si>
    <t>校核结果</t>
  </si>
  <si>
    <t>满足</t>
  </si>
  <si>
    <r>
      <rPr>
        <sz val="12"/>
        <color rgb="FF000000"/>
        <rFont val="宋体"/>
        <charset val="134"/>
      </rPr>
      <t>满足</t>
    </r>
  </si>
  <si>
    <r>
      <rPr>
        <b/>
        <sz val="12"/>
        <color rgb="FF000000"/>
        <rFont val="宋体"/>
        <charset val="134"/>
      </rPr>
      <t>实取桨叶厚度</t>
    </r>
    <r>
      <rPr>
        <b/>
        <sz val="12"/>
        <color rgb="FF000000"/>
        <rFont val="Times New Roman"/>
        <charset val="134"/>
      </rPr>
      <t>[mm]</t>
    </r>
  </si>
  <si>
    <r>
      <rPr>
        <b/>
        <sz val="11"/>
        <color rgb="FF000000"/>
        <rFont val="宋体"/>
        <charset val="204"/>
      </rPr>
      <t>叶片厚度</t>
    </r>
    <r>
      <rPr>
        <b/>
        <sz val="11"/>
        <color rgb="FF000000"/>
        <rFont val="Arial"/>
        <charset val="204"/>
      </rPr>
      <t>[mm]</t>
    </r>
  </si>
  <si>
    <t>螺距修正</t>
  </si>
  <si>
    <t>针对毂径比差异进行修正</t>
  </si>
  <si>
    <r>
      <rPr>
        <sz val="11"/>
        <color rgb="FF000000"/>
        <rFont val="宋体"/>
        <charset val="204"/>
      </rPr>
      <t>修正量</t>
    </r>
    <r>
      <rPr>
        <b/>
        <sz val="11"/>
        <color rgb="FF000000"/>
        <rFont val="宋体"/>
        <charset val="204"/>
      </rPr>
      <t>△</t>
    </r>
    <r>
      <rPr>
        <b/>
        <sz val="11"/>
        <color rgb="FF000000"/>
        <rFont val="Times New Roman"/>
        <charset val="204"/>
      </rPr>
      <t>Ph/D</t>
    </r>
    <r>
      <rPr>
        <sz val="11"/>
        <color rgb="FF000000"/>
        <rFont val="宋体"/>
        <charset val="204"/>
      </rPr>
      <t>=0.1×（dh/D-标准毂径比）</t>
    </r>
  </si>
  <si>
    <r>
      <rPr>
        <sz val="11"/>
        <color rgb="FF000000"/>
        <rFont val="宋体"/>
        <charset val="204"/>
      </rPr>
      <t>修正后的螺距比</t>
    </r>
    <r>
      <rPr>
        <b/>
        <sz val="11"/>
        <color rgb="FF000000"/>
        <rFont val="Times New Roman"/>
        <charset val="204"/>
      </rPr>
      <t>P/D'</t>
    </r>
    <r>
      <rPr>
        <sz val="11"/>
        <color rgb="FF000000"/>
        <rFont val="宋体"/>
        <charset val="204"/>
      </rPr>
      <t>=P/D+△P</t>
    </r>
    <r>
      <rPr>
        <vertAlign val="subscript"/>
        <sz val="11"/>
        <color rgb="FF000000"/>
        <rFont val="宋体"/>
        <charset val="204"/>
      </rPr>
      <t>h</t>
    </r>
    <r>
      <rPr>
        <sz val="11"/>
        <color rgb="FF000000"/>
        <rFont val="宋体"/>
        <charset val="204"/>
      </rPr>
      <t>/D</t>
    </r>
  </si>
  <si>
    <t>针对厚度差异进行修正</t>
  </si>
  <si>
    <r>
      <rPr>
        <sz val="11"/>
        <color rgb="FF000000"/>
        <rFont val="宋体"/>
        <charset val="204"/>
      </rPr>
      <t>滑脱比</t>
    </r>
    <r>
      <rPr>
        <b/>
        <sz val="11"/>
        <color rgb="FF000000"/>
        <rFont val="Times New Roman"/>
        <charset val="204"/>
      </rPr>
      <t>1-s</t>
    </r>
    <r>
      <rPr>
        <sz val="11"/>
        <color rgb="FF000000"/>
        <rFont val="Times New Roman"/>
        <charset val="204"/>
      </rPr>
      <t>=VA/(nP)</t>
    </r>
  </si>
  <si>
    <r>
      <rPr>
        <b/>
        <sz val="11"/>
        <color rgb="FF000000"/>
        <rFont val="宋体"/>
        <charset val="204"/>
      </rPr>
      <t>设</t>
    </r>
    <r>
      <rPr>
        <b/>
        <sz val="11"/>
        <color rgb="FF000000"/>
        <rFont val="Arial"/>
        <charset val="204"/>
      </rPr>
      <t>(t/b)|</t>
    </r>
    <r>
      <rPr>
        <b/>
        <vertAlign val="subscript"/>
        <sz val="11"/>
        <color rgb="FF000000"/>
        <rFont val="Arial"/>
        <charset val="204"/>
      </rPr>
      <t>0.7R</t>
    </r>
  </si>
  <si>
    <r>
      <rPr>
        <b/>
        <sz val="11"/>
        <color rgb="FF000000"/>
        <rFont val="宋体"/>
        <charset val="204"/>
      </rPr>
      <t>标</t>
    </r>
    <r>
      <rPr>
        <b/>
        <sz val="11"/>
        <color rgb="FF000000"/>
        <rFont val="Arial"/>
        <charset val="204"/>
      </rPr>
      <t>(t/b)|</t>
    </r>
    <r>
      <rPr>
        <b/>
        <vertAlign val="subscript"/>
        <sz val="11"/>
        <color rgb="FF000000"/>
        <rFont val="Arial"/>
        <charset val="204"/>
      </rPr>
      <t>0.7R</t>
    </r>
  </si>
  <si>
    <r>
      <rPr>
        <b/>
        <sz val="11"/>
        <color rgb="FF000000"/>
        <rFont val="宋体"/>
        <charset val="204"/>
      </rPr>
      <t>△</t>
    </r>
    <r>
      <rPr>
        <b/>
        <sz val="11"/>
        <color rgb="FF000000"/>
        <rFont val="Arial"/>
        <charset val="204"/>
      </rPr>
      <t>(t/b)|</t>
    </r>
    <r>
      <rPr>
        <b/>
        <vertAlign val="subscript"/>
        <sz val="11"/>
        <color rgb="FF000000"/>
        <rFont val="Arial"/>
        <charset val="204"/>
      </rPr>
      <t>0.7R</t>
    </r>
    <r>
      <rPr>
        <sz val="11"/>
        <color rgb="FF000000"/>
        <rFont val="Times New Roman"/>
        <charset val="204"/>
      </rPr>
      <t>=0.75/0.755×(</t>
    </r>
    <r>
      <rPr>
        <sz val="11"/>
        <color rgb="FF000000"/>
        <rFont val="宋体"/>
        <charset val="204"/>
      </rPr>
      <t>设</t>
    </r>
    <r>
      <rPr>
        <sz val="11"/>
        <color rgb="FF000000"/>
        <rFont val="Times New Roman"/>
        <charset val="204"/>
      </rPr>
      <t>(t/b)|0.7R-</t>
    </r>
    <r>
      <rPr>
        <sz val="11"/>
        <color rgb="FF000000"/>
        <rFont val="宋体"/>
        <charset val="204"/>
      </rPr>
      <t>标</t>
    </r>
    <r>
      <rPr>
        <sz val="11"/>
        <color rgb="FF000000"/>
        <rFont val="Times New Roman"/>
        <charset val="204"/>
      </rPr>
      <t>(t/b)|0.7R×0.650/0.755)</t>
    </r>
  </si>
  <si>
    <r>
      <rPr>
        <b/>
        <sz val="11"/>
        <color rgb="FF000000"/>
        <rFont val="宋体"/>
        <charset val="204"/>
      </rPr>
      <t>△</t>
    </r>
    <r>
      <rPr>
        <b/>
        <sz val="11"/>
        <color rgb="FF000000"/>
        <rFont val="Arial"/>
        <charset val="204"/>
      </rPr>
      <t>(Ph/D)</t>
    </r>
    <r>
      <rPr>
        <b/>
        <vertAlign val="subscript"/>
        <sz val="11"/>
        <color rgb="FF000000"/>
        <rFont val="Arial"/>
        <charset val="204"/>
      </rPr>
      <t>t</t>
    </r>
    <r>
      <rPr>
        <sz val="11"/>
        <color rgb="FF000000"/>
        <rFont val="Times New Roman"/>
        <charset val="204"/>
      </rPr>
      <t>=-2(P/D')(1-s)</t>
    </r>
    <r>
      <rPr>
        <sz val="11"/>
        <color rgb="FF000000"/>
        <rFont val="宋体"/>
        <charset val="204"/>
      </rPr>
      <t>△</t>
    </r>
    <r>
      <rPr>
        <sz val="11"/>
        <color rgb="FF000000"/>
        <rFont val="Times New Roman"/>
        <charset val="204"/>
      </rPr>
      <t>(t/b)|</t>
    </r>
    <r>
      <rPr>
        <vertAlign val="subscript"/>
        <sz val="11"/>
        <color rgb="FF000000"/>
        <rFont val="Times New Roman"/>
        <charset val="204"/>
      </rPr>
      <t>0.7R</t>
    </r>
  </si>
  <si>
    <r>
      <rPr>
        <sz val="11"/>
        <color rgb="FF000000"/>
        <rFont val="宋体"/>
        <charset val="204"/>
      </rPr>
      <t>最终确定的螺距比</t>
    </r>
    <r>
      <rPr>
        <b/>
        <sz val="11"/>
        <color rgb="FF000000"/>
        <rFont val="Times New Roman"/>
        <charset val="204"/>
      </rPr>
      <t>P/D</t>
    </r>
    <r>
      <rPr>
        <b/>
        <vertAlign val="subscript"/>
        <sz val="11"/>
        <color rgb="FF000000"/>
        <rFont val="Times New Roman"/>
        <charset val="204"/>
      </rPr>
      <t>end</t>
    </r>
  </si>
  <si>
    <t>质量惯性矩计算</t>
  </si>
  <si>
    <t>(1)</t>
  </si>
  <si>
    <t>(2)</t>
  </si>
  <si>
    <t>(3)</t>
  </si>
  <si>
    <t>(4)</t>
  </si>
  <si>
    <t>(5)</t>
  </si>
  <si>
    <t>(6)</t>
  </si>
  <si>
    <t>(7)</t>
  </si>
  <si>
    <t>(8)</t>
  </si>
  <si>
    <r>
      <rPr>
        <sz val="11"/>
        <color rgb="FF000000"/>
        <rFont val="宋体"/>
        <charset val="204"/>
      </rPr>
      <t>面积系数</t>
    </r>
    <r>
      <rPr>
        <sz val="11"/>
        <color rgb="FF000000"/>
        <rFont val="Arial"/>
        <charset val="204"/>
      </rPr>
      <t>K</t>
    </r>
    <r>
      <rPr>
        <vertAlign val="subscript"/>
        <sz val="11"/>
        <color rgb="FF000000"/>
        <rFont val="Arial"/>
        <charset val="204"/>
      </rPr>
      <t>a</t>
    </r>
  </si>
  <si>
    <r>
      <rPr>
        <sz val="11"/>
        <color rgb="FF000000"/>
        <rFont val="宋体"/>
        <charset val="204"/>
      </rPr>
      <t>弦长</t>
    </r>
    <r>
      <rPr>
        <sz val="11"/>
        <color rgb="FF000000"/>
        <rFont val="Arial"/>
        <charset val="204"/>
      </rPr>
      <t>×</t>
    </r>
    <r>
      <rPr>
        <sz val="11"/>
        <color rgb="FF000000"/>
        <rFont val="宋体"/>
        <charset val="204"/>
      </rPr>
      <t>最大厚度</t>
    </r>
    <r>
      <rPr>
        <sz val="11"/>
        <color rgb="FF000000"/>
        <rFont val="Arial"/>
        <charset val="204"/>
      </rPr>
      <t>b×t/m²</t>
    </r>
  </si>
  <si>
    <r>
      <rPr>
        <sz val="11"/>
        <color rgb="FF000000"/>
        <rFont val="宋体"/>
        <charset val="204"/>
      </rPr>
      <t>切面面积</t>
    </r>
    <r>
      <rPr>
        <sz val="11"/>
        <color rgb="FF000000"/>
        <rFont val="Arial"/>
        <charset val="204"/>
      </rPr>
      <t>S/m²(S=K</t>
    </r>
    <r>
      <rPr>
        <vertAlign val="subscript"/>
        <sz val="11"/>
        <color rgb="FF000000"/>
        <rFont val="Arial"/>
        <charset val="204"/>
      </rPr>
      <t>a</t>
    </r>
    <r>
      <rPr>
        <sz val="11"/>
        <color rgb="FF000000"/>
        <rFont val="Arial"/>
        <charset val="204"/>
      </rPr>
      <t>bt)</t>
    </r>
  </si>
  <si>
    <r>
      <rPr>
        <sz val="11"/>
        <color rgb="FF000000"/>
        <rFont val="宋体"/>
        <charset val="204"/>
      </rPr>
      <t>辛氏系数</t>
    </r>
    <r>
      <rPr>
        <sz val="11"/>
        <color rgb="FF000000"/>
        <rFont val="Arial"/>
        <charset val="204"/>
      </rPr>
      <t>SM</t>
    </r>
  </si>
  <si>
    <t>(4)×(5)</t>
  </si>
  <si>
    <t>(6)r</t>
  </si>
  <si>
    <r>
      <rPr>
        <sz val="11"/>
        <color rgb="FF000000"/>
        <rFont val="Arial"/>
        <charset val="204"/>
      </rPr>
      <t>(6)r</t>
    </r>
    <r>
      <rPr>
        <vertAlign val="superscript"/>
        <sz val="11"/>
        <color rgb="FF000000"/>
        <rFont val="Arial"/>
        <charset val="204"/>
      </rPr>
      <t>2</t>
    </r>
  </si>
  <si>
    <t>求和</t>
  </si>
  <si>
    <r>
      <rPr>
        <b/>
        <sz val="11"/>
        <color rgb="FF000000"/>
        <rFont val="Times New Roman"/>
        <charset val="204"/>
      </rPr>
      <t>d</t>
    </r>
    <r>
      <rPr>
        <b/>
        <vertAlign val="subscript"/>
        <sz val="11"/>
        <color rgb="FF000000"/>
        <rFont val="Times New Roman"/>
        <charset val="204"/>
      </rPr>
      <t>0</t>
    </r>
    <r>
      <rPr>
        <b/>
        <sz val="11"/>
        <color rgb="FF000000"/>
        <rFont val="Times New Roman"/>
        <charset val="204"/>
      </rPr>
      <t>[m]</t>
    </r>
    <r>
      <rPr>
        <sz val="11"/>
        <color rgb="FF000000"/>
        <rFont val="宋体"/>
        <charset val="204"/>
      </rPr>
      <t>=0.045+0.12(P</t>
    </r>
    <r>
      <rPr>
        <vertAlign val="subscript"/>
        <sz val="11"/>
        <color rgb="FF000000"/>
        <rFont val="宋体"/>
        <charset val="204"/>
      </rPr>
      <t>D</t>
    </r>
    <r>
      <rPr>
        <sz val="11"/>
        <color rgb="FF000000"/>
        <rFont val="宋体"/>
        <charset val="204"/>
      </rPr>
      <t>/n)</t>
    </r>
    <r>
      <rPr>
        <vertAlign val="superscript"/>
        <sz val="11"/>
        <color rgb="FF000000"/>
        <rFont val="宋体"/>
        <charset val="204"/>
      </rPr>
      <t>1/3</t>
    </r>
  </si>
  <si>
    <r>
      <rPr>
        <b/>
        <sz val="11"/>
        <color rgb="FF000000"/>
        <rFont val="宋体"/>
        <charset val="204"/>
      </rPr>
      <t>每叶片质量</t>
    </r>
    <r>
      <rPr>
        <b/>
        <sz val="11"/>
        <color rgb="FF000000"/>
        <rFont val="Times New Roman"/>
        <charset val="204"/>
      </rPr>
      <t>[kg]</t>
    </r>
    <r>
      <rPr>
        <sz val="11"/>
        <color rgb="FF000000"/>
        <rFont val="宋体"/>
        <charset val="204"/>
      </rPr>
      <t>=(R/30sum(6)+0.166×0.02R)G</t>
    </r>
  </si>
  <si>
    <r>
      <rPr>
        <b/>
        <sz val="11"/>
        <color rgb="FF000000"/>
        <rFont val="宋体"/>
        <charset val="204"/>
      </rPr>
      <t>叶片总质量</t>
    </r>
    <r>
      <rPr>
        <b/>
        <sz val="11"/>
        <color rgb="FF000000"/>
        <rFont val="Times New Roman"/>
        <charset val="204"/>
      </rPr>
      <t>[kg]</t>
    </r>
  </si>
  <si>
    <r>
      <rPr>
        <b/>
        <sz val="11"/>
        <color rgb="FF000000"/>
        <rFont val="宋体"/>
        <charset val="204"/>
      </rPr>
      <t>桨毂质量</t>
    </r>
    <r>
      <rPr>
        <b/>
        <sz val="11"/>
        <color rgb="FF000000"/>
        <rFont val="Times New Roman"/>
        <charset val="204"/>
      </rPr>
      <t>[kg]</t>
    </r>
    <r>
      <rPr>
        <sz val="11"/>
        <color rgb="FF000000"/>
        <rFont val="Arial"/>
        <charset val="204"/>
      </rPr>
      <t>=(0.88-0.6d</t>
    </r>
    <r>
      <rPr>
        <vertAlign val="subscript"/>
        <sz val="11"/>
        <color rgb="FF000000"/>
        <rFont val="Arial"/>
        <charset val="204"/>
      </rPr>
      <t>0</t>
    </r>
    <r>
      <rPr>
        <sz val="11"/>
        <color rgb="FF000000"/>
        <rFont val="Arial"/>
        <charset val="204"/>
      </rPr>
      <t>/d</t>
    </r>
    <r>
      <rPr>
        <vertAlign val="subscript"/>
        <sz val="11"/>
        <color rgb="FF000000"/>
        <rFont val="Arial"/>
        <charset val="204"/>
      </rPr>
      <t>h</t>
    </r>
    <r>
      <rPr>
        <sz val="11"/>
        <color rgb="FF000000"/>
        <rFont val="Arial"/>
        <charset val="204"/>
      </rPr>
      <t>)d</t>
    </r>
    <r>
      <rPr>
        <vertAlign val="subscript"/>
        <sz val="11"/>
        <color rgb="FF000000"/>
        <rFont val="Arial"/>
        <charset val="204"/>
      </rPr>
      <t>h</t>
    </r>
    <r>
      <rPr>
        <vertAlign val="superscript"/>
        <sz val="11"/>
        <color rgb="FF000000"/>
        <rFont val="Arial"/>
        <charset val="204"/>
      </rPr>
      <t>3</t>
    </r>
    <r>
      <rPr>
        <sz val="11"/>
        <color rgb="FF000000"/>
        <rFont val="Arial"/>
        <charset val="204"/>
      </rPr>
      <t>G</t>
    </r>
  </si>
  <si>
    <r>
      <rPr>
        <b/>
        <sz val="11"/>
        <color rgb="FF000000"/>
        <rFont val="宋体"/>
        <charset val="204"/>
      </rPr>
      <t>桨总质量</t>
    </r>
    <r>
      <rPr>
        <b/>
        <sz val="11"/>
        <color rgb="FF000000"/>
        <rFont val="Times New Roman"/>
        <charset val="204"/>
      </rPr>
      <t>[kg]</t>
    </r>
  </si>
  <si>
    <r>
      <rPr>
        <b/>
        <sz val="11"/>
        <color rgb="FF000000"/>
        <rFont val="宋体"/>
        <charset val="204"/>
      </rPr>
      <t>质量惯性矩</t>
    </r>
    <r>
      <rPr>
        <b/>
        <sz val="11"/>
        <color rgb="FF000000"/>
        <rFont val="Times New Roman"/>
        <charset val="204"/>
      </rPr>
      <t>[kg·m</t>
    </r>
    <r>
      <rPr>
        <b/>
        <vertAlign val="superscript"/>
        <sz val="11"/>
        <color rgb="FF000000"/>
        <rFont val="Times New Roman"/>
        <charset val="204"/>
      </rPr>
      <t>2</t>
    </r>
    <r>
      <rPr>
        <b/>
        <sz val="11"/>
        <color rgb="FF000000"/>
        <rFont val="Times New Roman"/>
        <charset val="204"/>
      </rPr>
      <t>]</t>
    </r>
    <r>
      <rPr>
        <sz val="11"/>
        <color rgb="FF000000"/>
        <rFont val="宋体"/>
        <charset val="204"/>
      </rPr>
      <t>=0.0948GZb</t>
    </r>
    <r>
      <rPr>
        <vertAlign val="subscript"/>
        <sz val="11"/>
        <color rgb="FF000000"/>
        <rFont val="宋体"/>
        <charset val="204"/>
      </rPr>
      <t>max</t>
    </r>
    <r>
      <rPr>
        <sz val="11"/>
        <color rgb="FF000000"/>
        <rFont val="宋体"/>
        <charset val="204"/>
      </rPr>
      <t>(0.5t</t>
    </r>
    <r>
      <rPr>
        <vertAlign val="subscript"/>
        <sz val="11"/>
        <color rgb="FF000000"/>
        <rFont val="宋体"/>
        <charset val="204"/>
      </rPr>
      <t>0.2</t>
    </r>
    <r>
      <rPr>
        <sz val="11"/>
        <color rgb="FF000000"/>
        <rFont val="宋体"/>
        <charset val="204"/>
      </rPr>
      <t>+t</t>
    </r>
    <r>
      <rPr>
        <vertAlign val="subscript"/>
        <sz val="11"/>
        <color rgb="FF000000"/>
        <rFont val="宋体"/>
        <charset val="204"/>
      </rPr>
      <t>0.6</t>
    </r>
    <r>
      <rPr>
        <sz val="11"/>
        <color rgb="FF000000"/>
        <rFont val="宋体"/>
        <charset val="204"/>
      </rPr>
      <t>)D</t>
    </r>
    <r>
      <rPr>
        <vertAlign val="superscript"/>
        <sz val="11"/>
        <color rgb="FF000000"/>
        <rFont val="宋体"/>
        <charset val="204"/>
      </rPr>
      <t>3</t>
    </r>
  </si>
  <si>
    <t>敞水特性曲线</t>
  </si>
  <si>
    <r>
      <rPr>
        <sz val="11"/>
        <color rgb="FF000000"/>
        <rFont val="Arial"/>
        <charset val="204"/>
      </rPr>
      <t>MAU4-40</t>
    </r>
    <r>
      <rPr>
        <sz val="11"/>
        <color rgb="FF000000"/>
        <rFont val="宋体"/>
        <charset val="204"/>
      </rPr>
      <t>（螺距比</t>
    </r>
    <r>
      <rPr>
        <sz val="11"/>
        <color rgb="FF000000"/>
        <rFont val="Arial"/>
        <charset val="204"/>
      </rPr>
      <t>=0.670</t>
    </r>
    <r>
      <rPr>
        <sz val="11"/>
        <color rgb="FF000000"/>
        <rFont val="宋体"/>
        <charset val="204"/>
      </rPr>
      <t>）敞水特性</t>
    </r>
  </si>
  <si>
    <t xml:space="preserve">                  敞水特性曲线</t>
  </si>
  <si>
    <t>J</t>
  </si>
  <si>
    <r>
      <rPr>
        <sz val="11"/>
        <color rgb="FF000000"/>
        <rFont val="Arial"/>
        <charset val="204"/>
      </rPr>
      <t>K</t>
    </r>
    <r>
      <rPr>
        <vertAlign val="subscript"/>
        <sz val="11"/>
        <color rgb="FF000000"/>
        <rFont val="Arial"/>
        <charset val="204"/>
      </rPr>
      <t>T</t>
    </r>
  </si>
  <si>
    <r>
      <rPr>
        <sz val="11"/>
        <color rgb="FF000000"/>
        <rFont val="Arial"/>
        <charset val="204"/>
      </rPr>
      <t>10K</t>
    </r>
    <r>
      <rPr>
        <vertAlign val="subscript"/>
        <sz val="11"/>
        <color rgb="FF000000"/>
        <rFont val="Arial"/>
        <charset val="204"/>
      </rPr>
      <t>Q</t>
    </r>
  </si>
  <si>
    <r>
      <rPr>
        <sz val="11"/>
        <color rgb="FF000000"/>
        <rFont val="Arial"/>
        <charset val="204"/>
      </rPr>
      <t>η</t>
    </r>
    <r>
      <rPr>
        <vertAlign val="subscript"/>
        <sz val="11"/>
        <color rgb="FF000000"/>
        <rFont val="Arial"/>
        <charset val="204"/>
      </rPr>
      <t>0</t>
    </r>
  </si>
  <si>
    <r>
      <rPr>
        <sz val="11"/>
        <color rgb="FF000000"/>
        <rFont val="Arial"/>
        <charset val="204"/>
      </rPr>
      <t>MAU4-55</t>
    </r>
    <r>
      <rPr>
        <sz val="11"/>
        <color rgb="FF000000"/>
        <rFont val="宋体"/>
        <charset val="204"/>
      </rPr>
      <t>（螺距比</t>
    </r>
    <r>
      <rPr>
        <sz val="11"/>
        <color rgb="FF000000"/>
        <rFont val="Arial"/>
        <charset val="204"/>
      </rPr>
      <t>=0.670</t>
    </r>
    <r>
      <rPr>
        <sz val="11"/>
        <color rgb="FF000000"/>
        <rFont val="宋体"/>
        <charset val="204"/>
      </rPr>
      <t>）敞水特性</t>
    </r>
  </si>
  <si>
    <r>
      <rPr>
        <sz val="11"/>
        <color rgb="FF000000"/>
        <rFont val="Arial"/>
        <charset val="204"/>
      </rPr>
      <t>MAU4-70</t>
    </r>
    <r>
      <rPr>
        <sz val="11"/>
        <color rgb="FF000000"/>
        <rFont val="宋体"/>
        <charset val="204"/>
      </rPr>
      <t>（螺距比</t>
    </r>
    <r>
      <rPr>
        <sz val="11"/>
        <color rgb="FF000000"/>
        <rFont val="Arial"/>
        <charset val="204"/>
      </rPr>
      <t>=0.670</t>
    </r>
    <r>
      <rPr>
        <sz val="11"/>
        <color rgb="FF000000"/>
        <rFont val="宋体"/>
        <charset val="204"/>
      </rPr>
      <t>）敞水特性</t>
    </r>
  </si>
  <si>
    <r>
      <rPr>
        <sz val="11"/>
        <color rgb="FFC00000"/>
        <rFont val="宋体"/>
        <charset val="204"/>
      </rPr>
      <t>多项式插值，求得</t>
    </r>
    <r>
      <rPr>
        <sz val="11"/>
        <color rgb="FFC00000"/>
        <rFont val="Arial"/>
        <charset val="204"/>
      </rPr>
      <t>MAU4-43</t>
    </r>
    <r>
      <rPr>
        <sz val="11"/>
        <color rgb="FFC00000"/>
        <rFont val="宋体"/>
        <charset val="204"/>
      </rPr>
      <t>（螺距比</t>
    </r>
    <r>
      <rPr>
        <sz val="11"/>
        <color rgb="FFC00000"/>
        <rFont val="Arial"/>
        <charset val="204"/>
      </rPr>
      <t>=0.666</t>
    </r>
    <r>
      <rPr>
        <sz val="11"/>
        <color rgb="FFC00000"/>
        <rFont val="宋体"/>
        <charset val="204"/>
      </rPr>
      <t>）敞水特性</t>
    </r>
  </si>
  <si>
    <t>右端额外点</t>
  </si>
  <si>
    <t>系柱工况</t>
  </si>
  <si>
    <r>
      <rPr>
        <b/>
        <sz val="12"/>
        <rFont val="Times New Roman"/>
        <charset val="204"/>
      </rPr>
      <t>T[kN]</t>
    </r>
    <r>
      <rPr>
        <sz val="12"/>
        <rFont val="Times New Roman"/>
        <charset val="204"/>
      </rPr>
      <t>=K</t>
    </r>
    <r>
      <rPr>
        <vertAlign val="subscript"/>
        <sz val="12"/>
        <rFont val="Times New Roman"/>
        <charset val="204"/>
      </rPr>
      <t>T</t>
    </r>
    <r>
      <rPr>
        <sz val="12"/>
        <rFont val="Times New Roman"/>
        <charset val="204"/>
      </rPr>
      <t>Q/(K</t>
    </r>
    <r>
      <rPr>
        <vertAlign val="subscript"/>
        <sz val="12"/>
        <rFont val="Times New Roman"/>
        <charset val="204"/>
      </rPr>
      <t>Q</t>
    </r>
    <r>
      <rPr>
        <sz val="12"/>
        <rFont val="Times New Roman"/>
        <charset val="204"/>
      </rPr>
      <t>D)</t>
    </r>
  </si>
  <si>
    <r>
      <rPr>
        <b/>
        <sz val="12"/>
        <rFont val="Times New Roman"/>
        <charset val="204"/>
      </rPr>
      <t>Q[kN·m]</t>
    </r>
    <r>
      <rPr>
        <sz val="12"/>
        <rFont val="Times New Roman"/>
        <charset val="204"/>
      </rPr>
      <t>=P</t>
    </r>
    <r>
      <rPr>
        <vertAlign val="subscript"/>
        <sz val="12"/>
        <rFont val="Times New Roman"/>
        <charset val="204"/>
      </rPr>
      <t>D</t>
    </r>
    <r>
      <rPr>
        <sz val="12"/>
        <rFont val="Times New Roman"/>
        <charset val="204"/>
      </rPr>
      <t>/(2πn)</t>
    </r>
  </si>
  <si>
    <r>
      <rPr>
        <b/>
        <sz val="12"/>
        <rFont val="Times New Roman"/>
        <charset val="204"/>
      </rPr>
      <t>N[RPM]</t>
    </r>
    <r>
      <rPr>
        <sz val="12"/>
        <rFont val="Times New Roman"/>
        <charset val="204"/>
      </rPr>
      <t>=60(</t>
    </r>
    <r>
      <rPr>
        <sz val="12"/>
        <rFont val="宋体"/>
        <charset val="204"/>
      </rPr>
      <t>T/(ρ</t>
    </r>
    <r>
      <rPr>
        <sz val="12"/>
        <rFont val="Times New Roman"/>
        <charset val="204"/>
      </rPr>
      <t>D</t>
    </r>
    <r>
      <rPr>
        <vertAlign val="superscript"/>
        <sz val="12"/>
        <rFont val="Times New Roman"/>
        <charset val="204"/>
      </rPr>
      <t>4</t>
    </r>
    <r>
      <rPr>
        <sz val="12"/>
        <rFont val="Times New Roman"/>
        <charset val="204"/>
      </rPr>
      <t>K</t>
    </r>
    <r>
      <rPr>
        <vertAlign val="subscript"/>
        <sz val="12"/>
        <rFont val="Times New Roman"/>
        <charset val="204"/>
      </rPr>
      <t>T</t>
    </r>
    <r>
      <rPr>
        <sz val="12"/>
        <rFont val="Times New Roman"/>
        <charset val="204"/>
      </rPr>
      <t>))</t>
    </r>
    <r>
      <rPr>
        <vertAlign val="superscript"/>
        <sz val="12"/>
        <rFont val="Times New Roman"/>
        <charset val="204"/>
      </rPr>
      <t>0.5</t>
    </r>
  </si>
  <si>
    <r>
      <rPr>
        <b/>
        <sz val="12"/>
        <rFont val="Times New Roman"/>
        <charset val="204"/>
      </rPr>
      <t>t</t>
    </r>
    <r>
      <rPr>
        <b/>
        <vertAlign val="subscript"/>
        <sz val="12"/>
        <rFont val="Times New Roman"/>
        <charset val="204"/>
      </rPr>
      <t>0</t>
    </r>
  </si>
  <si>
    <r>
      <rPr>
        <b/>
        <sz val="12"/>
        <rFont val="Times New Roman"/>
        <charset val="204"/>
      </rPr>
      <t>F[kN]</t>
    </r>
    <r>
      <rPr>
        <sz val="12"/>
        <rFont val="Times New Roman"/>
        <charset val="204"/>
      </rPr>
      <t>=T(1-t</t>
    </r>
    <r>
      <rPr>
        <vertAlign val="subscript"/>
        <sz val="12"/>
        <rFont val="Times New Roman"/>
        <charset val="204"/>
      </rPr>
      <t>0</t>
    </r>
    <r>
      <rPr>
        <sz val="12"/>
        <rFont val="Times New Roman"/>
        <charset val="204"/>
      </rPr>
      <t>)</t>
    </r>
  </si>
  <si>
    <t>航行特性</t>
  </si>
  <si>
    <r>
      <rPr>
        <sz val="12"/>
        <rFont val="SimSun"/>
        <charset val="134"/>
      </rPr>
      <t>名</t>
    </r>
    <r>
      <rPr>
        <sz val="12"/>
        <rFont val="Times New Roman"/>
        <charset val="134"/>
      </rPr>
      <t xml:space="preserve">      </t>
    </r>
    <r>
      <rPr>
        <sz val="12"/>
        <rFont val="SimSun"/>
        <charset val="134"/>
      </rPr>
      <t>称</t>
    </r>
  </si>
  <si>
    <r>
      <rPr>
        <sz val="12"/>
        <rFont val="SimSun"/>
        <charset val="204"/>
      </rPr>
      <t>数</t>
    </r>
    <r>
      <rPr>
        <sz val="12"/>
        <rFont val="Times New Roman"/>
        <charset val="204"/>
      </rPr>
      <t xml:space="preserve">     </t>
    </r>
    <r>
      <rPr>
        <sz val="12"/>
        <rFont val="SimSun"/>
        <charset val="204"/>
      </rPr>
      <t>值</t>
    </r>
  </si>
  <si>
    <t>N=68RPM</t>
  </si>
  <si>
    <t>N=63RPM</t>
  </si>
  <si>
    <t>N=58RPM</t>
  </si>
  <si>
    <r>
      <rPr>
        <b/>
        <sz val="12"/>
        <color rgb="FF000000"/>
        <rFont val="Times New Roman"/>
        <charset val="134"/>
      </rPr>
      <t>V</t>
    </r>
    <r>
      <rPr>
        <b/>
        <vertAlign val="subscript"/>
        <sz val="12"/>
        <color rgb="FF000000"/>
        <rFont val="Times New Roman"/>
        <charset val="134"/>
      </rPr>
      <t>s</t>
    </r>
    <r>
      <rPr>
        <b/>
        <sz val="12"/>
        <color rgb="FF000000"/>
        <rFont val="Times New Roman"/>
        <charset val="134"/>
      </rPr>
      <t>[kn]</t>
    </r>
  </si>
  <si>
    <t>Pe[kW]</t>
  </si>
  <si>
    <r>
      <rPr>
        <b/>
        <sz val="12"/>
        <rFont val="Times New Roman"/>
        <charset val="204"/>
      </rPr>
      <t>V</t>
    </r>
    <r>
      <rPr>
        <b/>
        <vertAlign val="subscript"/>
        <sz val="12"/>
        <rFont val="Times New Roman"/>
        <charset val="204"/>
      </rPr>
      <t>A</t>
    </r>
    <r>
      <rPr>
        <b/>
        <sz val="12"/>
        <rFont val="Times New Roman"/>
        <charset val="204"/>
      </rPr>
      <t>[m/s]</t>
    </r>
    <r>
      <rPr>
        <sz val="12"/>
        <rFont val="Times New Roman"/>
        <charset val="204"/>
      </rPr>
      <t>=0.5144(1-w)V</t>
    </r>
  </si>
  <si>
    <t>满载</t>
  </si>
  <si>
    <r>
      <rPr>
        <b/>
        <sz val="12"/>
        <rFont val="Times New Roman"/>
        <charset val="204"/>
      </rPr>
      <t>J</t>
    </r>
    <r>
      <rPr>
        <sz val="12"/>
        <rFont val="Times New Roman"/>
        <charset val="204"/>
      </rPr>
      <t>=V</t>
    </r>
    <r>
      <rPr>
        <vertAlign val="subscript"/>
        <sz val="12"/>
        <rFont val="Times New Roman"/>
        <charset val="204"/>
      </rPr>
      <t>A</t>
    </r>
    <r>
      <rPr>
        <sz val="12"/>
        <rFont val="Times New Roman"/>
        <charset val="204"/>
      </rPr>
      <t>/(ND)</t>
    </r>
  </si>
  <si>
    <r>
      <rPr>
        <b/>
        <sz val="12"/>
        <rFont val="Times New Roman"/>
        <charset val="204"/>
      </rPr>
      <t>K</t>
    </r>
    <r>
      <rPr>
        <b/>
        <vertAlign val="subscript"/>
        <sz val="12"/>
        <rFont val="Times New Roman"/>
        <charset val="204"/>
      </rPr>
      <t>T</t>
    </r>
  </si>
  <si>
    <t>Ps[kW]</t>
  </si>
  <si>
    <r>
      <rPr>
        <b/>
        <sz val="12"/>
        <rFont val="Times New Roman"/>
        <charset val="204"/>
      </rPr>
      <t>K</t>
    </r>
    <r>
      <rPr>
        <b/>
        <vertAlign val="subscript"/>
        <sz val="12"/>
        <rFont val="Times New Roman"/>
        <charset val="204"/>
      </rPr>
      <t>Q</t>
    </r>
  </si>
  <si>
    <r>
      <rPr>
        <b/>
        <sz val="12"/>
        <rFont val="Times New Roman"/>
        <charset val="204"/>
      </rPr>
      <t>P</t>
    </r>
    <r>
      <rPr>
        <b/>
        <vertAlign val="subscript"/>
        <sz val="12"/>
        <rFont val="Times New Roman"/>
        <charset val="204"/>
      </rPr>
      <t>TE</t>
    </r>
    <r>
      <rPr>
        <b/>
        <sz val="12"/>
        <rFont val="Times New Roman"/>
        <charset val="204"/>
      </rPr>
      <t>[kW]</t>
    </r>
    <r>
      <rPr>
        <sz val="12"/>
        <rFont val="Times New Roman"/>
        <charset val="204"/>
      </rPr>
      <t>=K</t>
    </r>
    <r>
      <rPr>
        <vertAlign val="subscript"/>
        <sz val="12"/>
        <rFont val="Times New Roman"/>
        <charset val="204"/>
      </rPr>
      <t>T</t>
    </r>
    <r>
      <rPr>
        <sz val="12"/>
        <rFont val="Times New Roman"/>
        <charset val="204"/>
      </rPr>
      <t>ρ</t>
    </r>
    <r>
      <rPr>
        <sz val="12"/>
        <rFont val="宋体"/>
        <charset val="204"/>
      </rPr>
      <t>N</t>
    </r>
    <r>
      <rPr>
        <vertAlign val="superscript"/>
        <sz val="12"/>
        <rFont val="宋体"/>
        <charset val="204"/>
      </rPr>
      <t>2</t>
    </r>
    <r>
      <rPr>
        <sz val="12"/>
        <rFont val="宋体"/>
        <charset val="204"/>
      </rPr>
      <t>D</t>
    </r>
    <r>
      <rPr>
        <vertAlign val="superscript"/>
        <sz val="12"/>
        <rFont val="宋体"/>
        <charset val="204"/>
      </rPr>
      <t>4</t>
    </r>
    <r>
      <rPr>
        <sz val="12"/>
        <rFont val="Times New Roman"/>
        <charset val="204"/>
      </rPr>
      <t>(1-t)×0.5144V</t>
    </r>
  </si>
  <si>
    <r>
      <rPr>
        <b/>
        <sz val="12"/>
        <rFont val="Times New Roman"/>
        <charset val="204"/>
      </rPr>
      <t>Ps[kW]</t>
    </r>
    <r>
      <rPr>
        <sz val="12"/>
        <rFont val="Times New Roman"/>
        <charset val="204"/>
      </rPr>
      <t>= K</t>
    </r>
    <r>
      <rPr>
        <vertAlign val="subscript"/>
        <sz val="12"/>
        <rFont val="Times New Roman"/>
        <charset val="204"/>
      </rPr>
      <t>Q</t>
    </r>
    <r>
      <rPr>
        <sz val="12"/>
        <rFont val="Times New Roman"/>
        <charset val="204"/>
      </rPr>
      <t>2πρN</t>
    </r>
    <r>
      <rPr>
        <vertAlign val="superscript"/>
        <sz val="12"/>
        <rFont val="Times New Roman"/>
        <charset val="204"/>
      </rPr>
      <t>3</t>
    </r>
    <r>
      <rPr>
        <sz val="12"/>
        <rFont val="宋体"/>
        <charset val="204"/>
      </rPr>
      <t>D</t>
    </r>
    <r>
      <rPr>
        <vertAlign val="superscript"/>
        <sz val="12"/>
        <rFont val="宋体"/>
        <charset val="204"/>
      </rPr>
      <t>5</t>
    </r>
    <r>
      <rPr>
        <sz val="12"/>
        <rFont val="宋体"/>
        <charset val="204"/>
      </rPr>
      <t>/(η</t>
    </r>
    <r>
      <rPr>
        <sz val="12"/>
        <rFont val="Times New Roman"/>
        <charset val="204"/>
      </rPr>
      <t>s·η</t>
    </r>
    <r>
      <rPr>
        <vertAlign val="subscript"/>
        <sz val="12"/>
        <rFont val="Times New Roman"/>
        <charset val="204"/>
      </rPr>
      <t>R</t>
    </r>
    <r>
      <rPr>
        <sz val="12"/>
        <rFont val="Times New Roman"/>
        <charset val="204"/>
      </rPr>
      <t>)</t>
    </r>
  </si>
  <si>
    <t>工况</t>
  </si>
  <si>
    <t>设计</t>
  </si>
  <si>
    <t>压载</t>
  </si>
  <si>
    <t>超满载</t>
  </si>
  <si>
    <t>桨设计要素总结</t>
  </si>
  <si>
    <r>
      <rPr>
        <sz val="12"/>
        <color theme="1"/>
        <rFont val="宋体"/>
        <charset val="134"/>
      </rPr>
      <t>螺旋桨直径</t>
    </r>
    <r>
      <rPr>
        <b/>
        <sz val="12"/>
        <color theme="1"/>
        <rFont val="Times New Roman"/>
        <charset val="134"/>
      </rPr>
      <t>D[m]</t>
    </r>
  </si>
  <si>
    <r>
      <t>设计航速</t>
    </r>
    <r>
      <rPr>
        <b/>
        <sz val="12"/>
        <color theme="1"/>
        <rFont val="Times New Roman"/>
        <charset val="134"/>
      </rPr>
      <t>V</t>
    </r>
    <r>
      <rPr>
        <b/>
        <vertAlign val="subscript"/>
        <sz val="12"/>
        <color theme="1"/>
        <rFont val="Times New Roman"/>
        <charset val="134"/>
      </rPr>
      <t>max</t>
    </r>
    <r>
      <rPr>
        <b/>
        <sz val="12"/>
        <color theme="1"/>
        <rFont val="Times New Roman"/>
        <charset val="134"/>
      </rPr>
      <t>[kn]</t>
    </r>
  </si>
  <si>
    <r>
      <rPr>
        <sz val="12"/>
        <color theme="1"/>
        <rFont val="宋体"/>
        <charset val="134"/>
      </rPr>
      <t>螺距比</t>
    </r>
    <r>
      <rPr>
        <b/>
        <sz val="12"/>
        <color theme="1"/>
        <rFont val="Times New Roman"/>
        <charset val="134"/>
      </rPr>
      <t>P/D</t>
    </r>
  </si>
  <si>
    <r>
      <rPr>
        <sz val="12"/>
        <color theme="1"/>
        <rFont val="宋体"/>
        <charset val="134"/>
      </rPr>
      <t>毂径比</t>
    </r>
    <r>
      <rPr>
        <b/>
        <sz val="12"/>
        <color theme="1"/>
        <rFont val="Times New Roman"/>
        <charset val="134"/>
      </rPr>
      <t>d</t>
    </r>
    <r>
      <rPr>
        <b/>
        <vertAlign val="subscript"/>
        <sz val="12"/>
        <color theme="1"/>
        <rFont val="Times New Roman"/>
        <charset val="134"/>
      </rPr>
      <t>h</t>
    </r>
    <r>
      <rPr>
        <b/>
        <sz val="12"/>
        <color theme="1"/>
        <rFont val="Times New Roman"/>
        <charset val="134"/>
      </rPr>
      <t>/D</t>
    </r>
  </si>
  <si>
    <t>类型与叶数</t>
  </si>
  <si>
    <t>AU4叶桨</t>
  </si>
  <si>
    <t>右</t>
  </si>
  <si>
    <r>
      <rPr>
        <sz val="12"/>
        <color theme="1"/>
        <rFont val="宋体"/>
        <charset val="134"/>
      </rPr>
      <t>盘面比</t>
    </r>
    <r>
      <rPr>
        <b/>
        <sz val="12"/>
        <color theme="1"/>
        <rFont val="Times New Roman"/>
        <charset val="134"/>
      </rPr>
      <t>A</t>
    </r>
    <r>
      <rPr>
        <b/>
        <vertAlign val="subscript"/>
        <sz val="12"/>
        <color theme="1"/>
        <rFont val="Times New Roman"/>
        <charset val="134"/>
      </rPr>
      <t>E</t>
    </r>
    <r>
      <rPr>
        <b/>
        <sz val="12"/>
        <color theme="1"/>
        <rFont val="Times New Roman"/>
        <charset val="134"/>
      </rPr>
      <t>/A</t>
    </r>
    <r>
      <rPr>
        <b/>
        <vertAlign val="subscript"/>
        <sz val="12"/>
        <color theme="1"/>
        <rFont val="Times New Roman"/>
        <charset val="134"/>
      </rPr>
      <t>O</t>
    </r>
  </si>
  <si>
    <r>
      <rPr>
        <sz val="12"/>
        <color theme="1"/>
        <rFont val="宋体"/>
        <charset val="134"/>
      </rPr>
      <t>Cu</t>
    </r>
    <r>
      <rPr>
        <vertAlign val="subscript"/>
        <sz val="12"/>
        <color theme="1"/>
        <rFont val="宋体"/>
        <charset val="134"/>
      </rPr>
      <t>3</t>
    </r>
    <r>
      <rPr>
        <sz val="12"/>
        <color theme="1"/>
        <rFont val="宋体"/>
        <charset val="134"/>
      </rPr>
      <t>镍铝青铜</t>
    </r>
  </si>
  <si>
    <r>
      <rPr>
        <sz val="12"/>
        <color theme="1"/>
        <rFont val="宋体"/>
        <charset val="134"/>
      </rPr>
      <t>纵倾角</t>
    </r>
    <r>
      <rPr>
        <b/>
        <sz val="12"/>
        <color theme="1"/>
        <rFont val="Times New Roman"/>
        <charset val="134"/>
      </rPr>
      <t>ε[°]</t>
    </r>
  </si>
  <si>
    <r>
      <rPr>
        <sz val="12"/>
        <color theme="1"/>
        <rFont val="宋体"/>
        <charset val="134"/>
      </rPr>
      <t>质量</t>
    </r>
    <r>
      <rPr>
        <b/>
        <sz val="12"/>
        <color theme="1"/>
        <rFont val="Times New Roman"/>
        <charset val="134"/>
      </rPr>
      <t>m[kg]</t>
    </r>
  </si>
  <si>
    <r>
      <rPr>
        <sz val="12"/>
        <color theme="1"/>
        <rFont val="宋体"/>
        <charset val="134"/>
      </rPr>
      <t>桨敞水效率</t>
    </r>
    <r>
      <rPr>
        <b/>
        <sz val="12"/>
        <color theme="1"/>
        <rFont val="Times New Roman"/>
        <charset val="134"/>
      </rPr>
      <t>η</t>
    </r>
    <r>
      <rPr>
        <b/>
        <vertAlign val="subscript"/>
        <sz val="12"/>
        <color theme="1"/>
        <rFont val="Times New Roman"/>
        <charset val="134"/>
      </rPr>
      <t>0</t>
    </r>
  </si>
  <si>
    <r>
      <rPr>
        <sz val="12"/>
        <color theme="1"/>
        <rFont val="宋体"/>
        <charset val="134"/>
      </rPr>
      <t>质量惯性矩</t>
    </r>
    <r>
      <rPr>
        <b/>
        <sz val="12"/>
        <color theme="1"/>
        <rFont val="Times New Roman"/>
        <charset val="134"/>
      </rPr>
      <t>I[kg·m</t>
    </r>
    <r>
      <rPr>
        <b/>
        <vertAlign val="superscript"/>
        <sz val="12"/>
        <color theme="1"/>
        <rFont val="Times New Roman"/>
        <charset val="134"/>
      </rPr>
      <t>2</t>
    </r>
    <r>
      <rPr>
        <b/>
        <sz val="12"/>
        <color theme="1"/>
        <rFont val="Times New Roman"/>
        <charset val="134"/>
      </rPr>
      <t>]</t>
    </r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</si>
</sst>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"/>
    <numFmt numFmtId="178" formatCode="0.000_ "/>
    <numFmt numFmtId="179" formatCode="0.00_ "/>
    <numFmt numFmtId="180" formatCode="0.000"/>
    <numFmt numFmtId="181" formatCode="0.0_ "/>
    <numFmt numFmtId="182" formatCode="0.0000_ "/>
    <numFmt numFmtId="183" formatCode="0.000000_ "/>
  </numFmts>
  <fonts count="92">
    <font>
      <sz val="11"/>
      <color theme="1"/>
      <name val="宋体"/>
      <charset val="134"/>
      <scheme val="minor"/>
    </font>
    <font>
      <sz val="11"/>
      <color rgb="FF000000"/>
      <name val="Arial"/>
      <charset val="204"/>
    </font>
    <font>
      <sz val="11"/>
      <color rgb="FF000000"/>
      <name val="宋体"/>
      <charset val="204"/>
    </font>
    <font>
      <b/>
      <sz val="12"/>
      <color rgb="FF000000"/>
      <name val="宋体"/>
      <charset val="204"/>
    </font>
    <font>
      <b/>
      <sz val="12"/>
      <color rgb="FF000000"/>
      <name val="Times New Roman"/>
      <charset val="204"/>
    </font>
    <font>
      <sz val="12"/>
      <color rgb="FF000000"/>
      <name val="Times New Roman"/>
      <charset val="204"/>
    </font>
    <font>
      <sz val="12"/>
      <color rgb="FF000000"/>
      <name val="宋体"/>
      <charset val="204"/>
    </font>
    <font>
      <sz val="12"/>
      <color rgb="FF000000"/>
      <name val="宋体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b/>
      <sz val="11"/>
      <color rgb="FF000000"/>
      <name val="宋体"/>
      <charset val="204"/>
    </font>
    <font>
      <b/>
      <sz val="14"/>
      <color theme="1"/>
      <name val="宋体"/>
      <charset val="134"/>
    </font>
    <font>
      <sz val="12"/>
      <color rgb="FF000000"/>
      <name val="Arial"/>
      <charset val="204"/>
    </font>
    <font>
      <sz val="12"/>
      <name val="SimSun"/>
      <charset val="134"/>
    </font>
    <font>
      <sz val="12"/>
      <name val="宋体"/>
      <charset val="134"/>
    </font>
    <font>
      <sz val="12"/>
      <name val="Times New Roman"/>
      <charset val="134"/>
    </font>
    <font>
      <sz val="12"/>
      <name val="宋体"/>
      <charset val="204"/>
    </font>
    <font>
      <b/>
      <sz val="12"/>
      <name val="Times New Roman"/>
      <charset val="134"/>
    </font>
    <font>
      <b/>
      <sz val="12"/>
      <name val="Times New Roman"/>
      <charset val="204"/>
    </font>
    <font>
      <sz val="12"/>
      <name val="Times New Roman"/>
      <charset val="204"/>
    </font>
    <font>
      <sz val="12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204"/>
    </font>
    <font>
      <b/>
      <sz val="12"/>
      <color rgb="FF000000"/>
      <name val="微软雅黑"/>
      <charset val="204"/>
    </font>
    <font>
      <b/>
      <sz val="12"/>
      <color theme="1"/>
      <name val="宋体"/>
      <charset val="134"/>
    </font>
    <font>
      <sz val="11"/>
      <color rgb="FF000000"/>
      <name val="Times New Roman"/>
      <charset val="204"/>
    </font>
    <font>
      <b/>
      <sz val="12"/>
      <color rgb="FF000000"/>
      <name val="Times New Roman"/>
      <charset val="134"/>
    </font>
    <font>
      <b/>
      <sz val="12"/>
      <color rgb="FF000000"/>
      <name val="宋体"/>
      <charset val="134"/>
    </font>
    <font>
      <b/>
      <sz val="11"/>
      <color rgb="FF000000"/>
      <name val="Times New Roman"/>
      <charset val="204"/>
    </font>
    <font>
      <sz val="16"/>
      <color theme="1"/>
      <name val="宋体"/>
      <charset val="134"/>
      <scheme val="minor"/>
    </font>
    <font>
      <sz val="11"/>
      <color rgb="FFC00000"/>
      <name val="宋体"/>
      <charset val="204"/>
    </font>
    <font>
      <sz val="12"/>
      <name val="SimSun"/>
      <charset val="20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vertAlign val="subscript"/>
      <sz val="12"/>
      <color rgb="FF000000"/>
      <name val="Times New Roman"/>
      <charset val="204"/>
    </font>
    <font>
      <b/>
      <vertAlign val="subscript"/>
      <sz val="12"/>
      <color rgb="FF000000"/>
      <name val="Times New Roman"/>
      <charset val="134"/>
    </font>
    <font>
      <b/>
      <vertAlign val="superscript"/>
      <sz val="12"/>
      <color rgb="FF000000"/>
      <name val="Times New Roman"/>
      <charset val="204"/>
    </font>
    <font>
      <vertAlign val="subscript"/>
      <sz val="12"/>
      <color rgb="FF000000"/>
      <name val="宋体"/>
      <charset val="204"/>
    </font>
    <font>
      <b/>
      <sz val="12"/>
      <color rgb="FF000000"/>
      <name val="Microsoft YaHei"/>
      <charset val="204"/>
    </font>
    <font>
      <b/>
      <vertAlign val="subscript"/>
      <sz val="11"/>
      <color rgb="FF000000"/>
      <name val="Times New Roman"/>
      <charset val="204"/>
    </font>
    <font>
      <b/>
      <vertAlign val="superscript"/>
      <sz val="11"/>
      <color rgb="FF000000"/>
      <name val="Times New Roman"/>
      <charset val="204"/>
    </font>
    <font>
      <b/>
      <vertAlign val="superscript"/>
      <sz val="11"/>
      <color rgb="FF000000"/>
      <name val="Arial"/>
      <charset val="204"/>
    </font>
    <font>
      <b/>
      <sz val="11"/>
      <color rgb="FF000000"/>
      <name val="Arial"/>
      <charset val="204"/>
    </font>
    <font>
      <b/>
      <vertAlign val="subscript"/>
      <sz val="12"/>
      <name val="Times New Roman"/>
      <charset val="134"/>
    </font>
    <font>
      <vertAlign val="subscript"/>
      <sz val="12"/>
      <name val="Times New Roman"/>
      <charset val="134"/>
    </font>
    <font>
      <b/>
      <vertAlign val="subscript"/>
      <sz val="12"/>
      <name val="Times New Roman"/>
      <charset val="204"/>
    </font>
    <font>
      <vertAlign val="subscript"/>
      <sz val="12"/>
      <name val="Times New Roman"/>
      <charset val="204"/>
    </font>
    <font>
      <b/>
      <vertAlign val="superscript"/>
      <sz val="12"/>
      <name val="Times New Roman"/>
      <charset val="134"/>
    </font>
    <font>
      <vertAlign val="superscript"/>
      <sz val="12"/>
      <name val="Times New Roman"/>
      <charset val="134"/>
    </font>
    <font>
      <b/>
      <vertAlign val="subscript"/>
      <sz val="12"/>
      <color theme="1"/>
      <name val="Times New Roman"/>
      <charset val="134"/>
    </font>
    <font>
      <vertAlign val="subscript"/>
      <sz val="12"/>
      <color rgb="FF000000"/>
      <name val="Times New Roman"/>
      <charset val="204"/>
    </font>
    <font>
      <sz val="12"/>
      <color rgb="FF000000"/>
      <name val="微软雅黑"/>
      <charset val="204"/>
    </font>
    <font>
      <vertAlign val="superscript"/>
      <sz val="12"/>
      <color rgb="FF000000"/>
      <name val="Times New Roman"/>
      <charset val="204"/>
    </font>
    <font>
      <vertAlign val="subscript"/>
      <sz val="12"/>
      <color rgb="FF000000"/>
      <name val="微软雅黑"/>
      <charset val="204"/>
    </font>
    <font>
      <b/>
      <vertAlign val="subscript"/>
      <sz val="12"/>
      <color theme="1"/>
      <name val="宋体"/>
      <charset val="134"/>
    </font>
    <font>
      <b/>
      <vertAlign val="subscript"/>
      <sz val="11"/>
      <color rgb="FF000000"/>
      <name val="Times New Roman"/>
      <charset val="134"/>
    </font>
    <font>
      <b/>
      <sz val="11"/>
      <color rgb="FF000000"/>
      <name val="Times New Roman"/>
      <charset val="134"/>
    </font>
    <font>
      <sz val="11"/>
      <color rgb="FF000000"/>
      <name val="Arial"/>
      <charset val="134"/>
    </font>
    <font>
      <vertAlign val="subscript"/>
      <sz val="12"/>
      <color rgb="FF000000"/>
      <name val="宋体"/>
      <charset val="134"/>
    </font>
    <font>
      <vertAlign val="subscript"/>
      <sz val="12"/>
      <color rgb="FF000000"/>
      <name val="Times New Roman"/>
      <charset val="134"/>
    </font>
    <font>
      <sz val="12"/>
      <color rgb="FF000000"/>
      <name val="Microsoft YaHei"/>
      <charset val="134"/>
    </font>
    <font>
      <vertAlign val="superscript"/>
      <sz val="12"/>
      <color rgb="FF000000"/>
      <name val="Times New Roman"/>
      <charset val="134"/>
    </font>
    <font>
      <vertAlign val="subscript"/>
      <sz val="11"/>
      <color rgb="FF000000"/>
      <name val="宋体"/>
      <charset val="204"/>
    </font>
    <font>
      <b/>
      <vertAlign val="subscript"/>
      <sz val="11"/>
      <color rgb="FF000000"/>
      <name val="Arial"/>
      <charset val="204"/>
    </font>
    <font>
      <vertAlign val="subscript"/>
      <sz val="11"/>
      <color rgb="FF000000"/>
      <name val="Times New Roman"/>
      <charset val="204"/>
    </font>
    <font>
      <vertAlign val="subscript"/>
      <sz val="11"/>
      <color rgb="FF000000"/>
      <name val="Arial"/>
      <charset val="204"/>
    </font>
    <font>
      <vertAlign val="superscript"/>
      <sz val="11"/>
      <color rgb="FF000000"/>
      <name val="Arial"/>
      <charset val="204"/>
    </font>
    <font>
      <vertAlign val="superscript"/>
      <sz val="11"/>
      <color rgb="FF000000"/>
      <name val="宋体"/>
      <charset val="204"/>
    </font>
    <font>
      <sz val="11"/>
      <color rgb="FFC00000"/>
      <name val="Arial"/>
      <charset val="204"/>
    </font>
    <font>
      <vertAlign val="superscript"/>
      <sz val="12"/>
      <name val="Times New Roman"/>
      <charset val="204"/>
    </font>
    <font>
      <vertAlign val="superscript"/>
      <sz val="12"/>
      <name val="宋体"/>
      <charset val="204"/>
    </font>
    <font>
      <vertAlign val="subscript"/>
      <sz val="12"/>
      <color theme="1"/>
      <name val="宋体"/>
      <charset val="134"/>
    </font>
    <font>
      <b/>
      <vertAlign val="superscript"/>
      <sz val="12"/>
      <color theme="1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1" applyNumberFormat="0" applyFill="0" applyAlignment="0" applyProtection="0">
      <alignment vertical="center"/>
    </xf>
    <xf numFmtId="0" fontId="45" fillId="0" borderId="11" applyNumberFormat="0" applyFill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46" fillId="17" borderId="13" applyNumberFormat="0" applyAlignment="0" applyProtection="0">
      <alignment vertical="center"/>
    </xf>
    <xf numFmtId="0" fontId="47" fillId="17" borderId="9" applyNumberFormat="0" applyAlignment="0" applyProtection="0">
      <alignment vertical="center"/>
    </xf>
    <xf numFmtId="0" fontId="48" fillId="18" borderId="14" applyNumberFormat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50" fillId="0" borderId="16" applyNumberFormat="0" applyFill="0" applyAlignment="0" applyProtection="0">
      <alignment vertical="center"/>
    </xf>
    <xf numFmtId="0" fontId="51" fillId="21" borderId="0" applyNumberFormat="0" applyBorder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6" fillId="2" borderId="4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center" vertical="top"/>
    </xf>
    <xf numFmtId="0" fontId="7" fillId="3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top" wrapText="1"/>
    </xf>
    <xf numFmtId="0" fontId="5" fillId="0" borderId="4" xfId="0" applyNumberFormat="1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top"/>
    </xf>
    <xf numFmtId="49" fontId="10" fillId="2" borderId="4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Fill="1" applyBorder="1" applyAlignment="1">
      <alignment horizontal="left" vertical="top" wrapText="1"/>
    </xf>
    <xf numFmtId="0" fontId="11" fillId="0" borderId="0" xfId="0" applyFont="1" applyAlignment="1">
      <alignment horizontal="justify" vertical="center"/>
    </xf>
    <xf numFmtId="49" fontId="12" fillId="0" borderId="0" xfId="0" applyNumberFormat="1" applyFont="1" applyFill="1" applyBorder="1" applyAlignment="1">
      <alignment horizontal="center" vertical="top"/>
    </xf>
    <xf numFmtId="49" fontId="12" fillId="0" borderId="0" xfId="0" applyNumberFormat="1" applyFont="1" applyFill="1" applyBorder="1" applyAlignment="1">
      <alignment horizontal="left" vertical="top" wrapText="1"/>
    </xf>
    <xf numFmtId="49" fontId="6" fillId="0" borderId="0" xfId="0" applyNumberFormat="1" applyFont="1" applyFill="1" applyBorder="1" applyAlignment="1">
      <alignment horizontal="center" vertical="top"/>
    </xf>
    <xf numFmtId="0" fontId="13" fillId="2" borderId="4" xfId="0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176" fontId="15" fillId="5" borderId="1" xfId="0" applyNumberFormat="1" applyFont="1" applyFill="1" applyBorder="1" applyAlignment="1">
      <alignment horizontal="center" vertical="center"/>
    </xf>
    <xf numFmtId="176" fontId="15" fillId="5" borderId="3" xfId="0" applyNumberFormat="1" applyFont="1" applyFill="1" applyBorder="1" applyAlignment="1">
      <alignment horizontal="center" vertical="center"/>
    </xf>
    <xf numFmtId="176" fontId="15" fillId="5" borderId="2" xfId="0" applyNumberFormat="1" applyFont="1" applyFill="1" applyBorder="1" applyAlignment="1">
      <alignment horizontal="center" vertical="center"/>
    </xf>
    <xf numFmtId="178" fontId="15" fillId="5" borderId="1" xfId="0" applyNumberFormat="1" applyFont="1" applyFill="1" applyBorder="1" applyAlignment="1">
      <alignment horizontal="center" vertical="center"/>
    </xf>
    <xf numFmtId="178" fontId="15" fillId="5" borderId="3" xfId="0" applyNumberFormat="1" applyFont="1" applyFill="1" applyBorder="1" applyAlignment="1">
      <alignment horizontal="center" vertical="center"/>
    </xf>
    <xf numFmtId="178" fontId="15" fillId="5" borderId="2" xfId="0" applyNumberFormat="1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1" fontId="8" fillId="0" borderId="4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left" vertical="center"/>
    </xf>
    <xf numFmtId="180" fontId="8" fillId="0" borderId="4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176" fontId="19" fillId="0" borderId="4" xfId="0" applyNumberFormat="1" applyFont="1" applyFill="1" applyBorder="1" applyAlignment="1">
      <alignment horizontal="center" vertical="center"/>
    </xf>
    <xf numFmtId="49" fontId="15" fillId="2" borderId="4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justify" vertical="center" indent="2"/>
    </xf>
    <xf numFmtId="0" fontId="20" fillId="2" borderId="4" xfId="0" applyFont="1" applyFill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top"/>
    </xf>
    <xf numFmtId="0" fontId="21" fillId="0" borderId="0" xfId="0" applyFont="1">
      <alignment vertical="center"/>
    </xf>
    <xf numFmtId="0" fontId="22" fillId="2" borderId="4" xfId="0" applyFont="1" applyFill="1" applyBorder="1" applyAlignment="1">
      <alignment horizontal="left" vertical="top"/>
    </xf>
    <xf numFmtId="0" fontId="9" fillId="0" borderId="4" xfId="0" applyFont="1" applyBorder="1" applyAlignment="1">
      <alignment horizontal="center" vertical="top"/>
    </xf>
    <xf numFmtId="179" fontId="9" fillId="0" borderId="4" xfId="0" applyNumberFormat="1" applyFont="1" applyBorder="1" applyAlignment="1">
      <alignment horizontal="center" vertical="top"/>
    </xf>
    <xf numFmtId="49" fontId="6" fillId="0" borderId="0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horizontal="left" vertical="center"/>
    </xf>
    <xf numFmtId="178" fontId="5" fillId="0" borderId="4" xfId="0" applyNumberFormat="1" applyFont="1" applyFill="1" applyBorder="1" applyAlignment="1">
      <alignment horizontal="center" vertical="center"/>
    </xf>
    <xf numFmtId="179" fontId="5" fillId="0" borderId="4" xfId="0" applyNumberFormat="1" applyFont="1" applyFill="1" applyBorder="1" applyAlignment="1">
      <alignment horizontal="center" vertical="center"/>
    </xf>
    <xf numFmtId="178" fontId="23" fillId="0" borderId="4" xfId="0" applyNumberFormat="1" applyFont="1" applyFill="1" applyBorder="1" applyAlignment="1">
      <alignment horizontal="center" vertical="center" indent="2"/>
    </xf>
    <xf numFmtId="0" fontId="24" fillId="2" borderId="4" xfId="0" applyFont="1" applyFill="1" applyBorder="1" applyAlignment="1">
      <alignment horizontal="left" vertical="center"/>
    </xf>
    <xf numFmtId="179" fontId="23" fillId="0" borderId="4" xfId="0" applyNumberFormat="1" applyFont="1" applyFill="1" applyBorder="1" applyAlignment="1">
      <alignment horizontal="center" vertical="center" indent="2"/>
    </xf>
    <xf numFmtId="176" fontId="19" fillId="0" borderId="4" xfId="0" applyNumberFormat="1" applyFont="1" applyFill="1" applyBorder="1" applyAlignment="1">
      <alignment horizontal="center" vertical="center" indent="2"/>
    </xf>
    <xf numFmtId="179" fontId="19" fillId="0" borderId="4" xfId="0" applyNumberFormat="1" applyFont="1" applyFill="1" applyBorder="1" applyAlignment="1">
      <alignment horizontal="center" vertical="center" indent="2"/>
    </xf>
    <xf numFmtId="0" fontId="0" fillId="0" borderId="4" xfId="0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top"/>
    </xf>
    <xf numFmtId="0" fontId="25" fillId="2" borderId="4" xfId="0" applyFont="1" applyFill="1" applyBorder="1" applyAlignment="1">
      <alignment horizontal="center" vertical="top"/>
    </xf>
    <xf numFmtId="0" fontId="22" fillId="2" borderId="4" xfId="0" applyFont="1" applyFill="1" applyBorder="1" applyAlignment="1">
      <alignment horizontal="center" vertical="top"/>
    </xf>
    <xf numFmtId="0" fontId="9" fillId="5" borderId="4" xfId="0" applyFont="1" applyFill="1" applyBorder="1" applyAlignment="1">
      <alignment horizontal="center" vertical="top"/>
    </xf>
    <xf numFmtId="181" fontId="9" fillId="0" borderId="4" xfId="0" applyNumberFormat="1" applyFont="1" applyBorder="1" applyAlignment="1">
      <alignment horizontal="center" vertical="top"/>
    </xf>
    <xf numFmtId="49" fontId="26" fillId="0" borderId="0" xfId="0" applyNumberFormat="1" applyFont="1" applyFill="1" applyBorder="1" applyAlignment="1">
      <alignment horizontal="center" vertical="top"/>
    </xf>
    <xf numFmtId="49" fontId="26" fillId="0" borderId="0" xfId="0" applyNumberFormat="1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left" vertical="center" wrapText="1"/>
    </xf>
    <xf numFmtId="179" fontId="8" fillId="5" borderId="1" xfId="0" applyNumberFormat="1" applyFont="1" applyFill="1" applyBorder="1" applyAlignment="1">
      <alignment horizontal="center" vertical="center" wrapText="1"/>
    </xf>
    <xf numFmtId="178" fontId="8" fillId="5" borderId="1" xfId="0" applyNumberFormat="1" applyFont="1" applyFill="1" applyBorder="1" applyAlignment="1">
      <alignment horizontal="center" vertical="center" wrapText="1"/>
    </xf>
    <xf numFmtId="178" fontId="8" fillId="4" borderId="4" xfId="0" applyNumberFormat="1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27" fillId="2" borderId="4" xfId="0" applyFont="1" applyFill="1" applyBorder="1" applyAlignment="1">
      <alignment horizontal="left" vertical="center"/>
    </xf>
    <xf numFmtId="179" fontId="8" fillId="5" borderId="2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top"/>
    </xf>
    <xf numFmtId="0" fontId="2" fillId="0" borderId="4" xfId="0" applyNumberFormat="1" applyFont="1" applyFill="1" applyBorder="1" applyAlignment="1">
      <alignment horizontal="center" vertical="top"/>
    </xf>
    <xf numFmtId="178" fontId="8" fillId="5" borderId="2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top" wrapText="1"/>
    </xf>
    <xf numFmtId="179" fontId="8" fillId="4" borderId="4" xfId="0" applyNumberFormat="1" applyFont="1" applyFill="1" applyBorder="1" applyAlignment="1">
      <alignment horizontal="center" vertical="center" wrapText="1"/>
    </xf>
    <xf numFmtId="182" fontId="8" fillId="4" borderId="4" xfId="0" applyNumberFormat="1" applyFont="1" applyFill="1" applyBorder="1" applyAlignment="1">
      <alignment horizontal="center" vertical="center" wrapText="1"/>
    </xf>
    <xf numFmtId="0" fontId="28" fillId="2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center" vertical="top"/>
    </xf>
    <xf numFmtId="0" fontId="10" fillId="2" borderId="4" xfId="0" applyNumberFormat="1" applyFont="1" applyFill="1" applyBorder="1" applyAlignment="1">
      <alignment horizontal="center" vertical="top"/>
    </xf>
    <xf numFmtId="0" fontId="1" fillId="2" borderId="4" xfId="0" applyNumberFormat="1" applyFont="1" applyFill="1" applyBorder="1" applyAlignment="1">
      <alignment horizontal="center" vertical="top"/>
    </xf>
    <xf numFmtId="179" fontId="1" fillId="0" borderId="4" xfId="0" applyNumberFormat="1" applyFont="1" applyFill="1" applyBorder="1" applyAlignment="1">
      <alignment horizontal="center" vertical="top"/>
    </xf>
    <xf numFmtId="0" fontId="1" fillId="0" borderId="0" xfId="0" applyNumberFormat="1" applyFont="1" applyFill="1" applyBorder="1" applyAlignment="1">
      <alignment horizontal="left" vertical="top"/>
    </xf>
    <xf numFmtId="0" fontId="2" fillId="2" borderId="4" xfId="0" applyNumberFormat="1" applyFont="1" applyFill="1" applyBorder="1" applyAlignment="1">
      <alignment horizontal="center" vertical="top"/>
    </xf>
    <xf numFmtId="0" fontId="2" fillId="2" borderId="4" xfId="0" applyNumberFormat="1" applyFont="1" applyFill="1" applyBorder="1" applyAlignment="1" applyProtection="1">
      <alignment horizontal="left" vertical="top"/>
    </xf>
    <xf numFmtId="11" fontId="1" fillId="0" borderId="4" xfId="0" applyNumberFormat="1" applyFont="1" applyFill="1" applyBorder="1" applyAlignment="1">
      <alignment horizontal="center" vertical="top"/>
    </xf>
    <xf numFmtId="49" fontId="2" fillId="2" borderId="4" xfId="0" applyNumberFormat="1" applyFont="1" applyFill="1" applyBorder="1" applyAlignment="1">
      <alignment horizontal="left" vertical="top" wrapText="1"/>
    </xf>
    <xf numFmtId="182" fontId="1" fillId="0" borderId="4" xfId="0" applyNumberFormat="1" applyFont="1" applyFill="1" applyBorder="1" applyAlignment="1">
      <alignment horizontal="center" vertical="top" wrapText="1"/>
    </xf>
    <xf numFmtId="0" fontId="2" fillId="2" borderId="4" xfId="0" applyNumberFormat="1" applyFont="1" applyFill="1" applyBorder="1" applyAlignment="1">
      <alignment horizontal="left" vertical="top"/>
    </xf>
    <xf numFmtId="182" fontId="1" fillId="0" borderId="4" xfId="0" applyNumberFormat="1" applyFont="1" applyFill="1" applyBorder="1" applyAlignment="1">
      <alignment horizontal="center" vertical="center"/>
    </xf>
    <xf numFmtId="0" fontId="10" fillId="2" borderId="4" xfId="0" applyNumberFormat="1" applyFont="1" applyFill="1" applyBorder="1" applyAlignment="1">
      <alignment horizontal="left" vertical="top"/>
    </xf>
    <xf numFmtId="0" fontId="10" fillId="2" borderId="4" xfId="0" applyNumberFormat="1" applyFont="1" applyFill="1" applyBorder="1" applyAlignment="1">
      <alignment horizontal="left" vertical="top" wrapText="1"/>
    </xf>
    <xf numFmtId="11" fontId="1" fillId="0" borderId="4" xfId="0" applyNumberFormat="1" applyFont="1" applyFill="1" applyBorder="1" applyAlignment="1">
      <alignment horizontal="center" vertical="center"/>
    </xf>
    <xf numFmtId="182" fontId="1" fillId="0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top"/>
    </xf>
    <xf numFmtId="49" fontId="29" fillId="2" borderId="1" xfId="0" applyNumberFormat="1" applyFont="1" applyFill="1" applyBorder="1" applyAlignment="1">
      <alignment horizontal="left" vertical="top"/>
    </xf>
    <xf numFmtId="49" fontId="10" fillId="2" borderId="3" xfId="0" applyNumberFormat="1" applyFont="1" applyFill="1" applyBorder="1" applyAlignment="1">
      <alignment horizontal="left" vertical="top"/>
    </xf>
    <xf numFmtId="49" fontId="10" fillId="2" borderId="1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182" fontId="1" fillId="0" borderId="4" xfId="0" applyNumberFormat="1" applyFont="1" applyFill="1" applyBorder="1" applyAlignment="1">
      <alignment horizontal="center" vertical="top"/>
    </xf>
    <xf numFmtId="49" fontId="10" fillId="2" borderId="2" xfId="0" applyNumberFormat="1" applyFont="1" applyFill="1" applyBorder="1" applyAlignment="1">
      <alignment horizontal="left" vertical="top"/>
    </xf>
    <xf numFmtId="178" fontId="1" fillId="0" borderId="1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/>
    </xf>
    <xf numFmtId="183" fontId="1" fillId="0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center" vertical="top"/>
    </xf>
    <xf numFmtId="181" fontId="1" fillId="2" borderId="4" xfId="0" applyNumberFormat="1" applyFont="1" applyFill="1" applyBorder="1" applyAlignment="1">
      <alignment horizontal="center" vertical="center"/>
    </xf>
    <xf numFmtId="181" fontId="1" fillId="0" borderId="4" xfId="0" applyNumberFormat="1" applyFont="1" applyFill="1" applyBorder="1" applyAlignment="1">
      <alignment horizontal="center" vertical="center"/>
    </xf>
    <xf numFmtId="179" fontId="1" fillId="0" borderId="4" xfId="0" applyNumberFormat="1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1" fontId="31" fillId="2" borderId="4" xfId="0" applyNumberFormat="1" applyFont="1" applyFill="1" applyBorder="1" applyAlignment="1">
      <alignment horizontal="center" vertical="center"/>
    </xf>
    <xf numFmtId="179" fontId="1" fillId="0" borderId="4" xfId="0" applyNumberFormat="1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top"/>
    </xf>
    <xf numFmtId="49" fontId="2" fillId="6" borderId="2" xfId="0" applyNumberFormat="1" applyFont="1" applyFill="1" applyBorder="1" applyAlignment="1">
      <alignment horizontal="center" vertical="top"/>
    </xf>
    <xf numFmtId="0" fontId="1" fillId="7" borderId="2" xfId="0" applyNumberFormat="1" applyFont="1" applyFill="1" applyBorder="1" applyAlignment="1">
      <alignment horizontal="left" vertical="top" wrapText="1"/>
    </xf>
    <xf numFmtId="0" fontId="1" fillId="7" borderId="4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horizontal="left" vertical="top"/>
    </xf>
    <xf numFmtId="0" fontId="13" fillId="2" borderId="5" xfId="0" applyNumberFormat="1" applyFont="1" applyFill="1" applyBorder="1" applyAlignment="1">
      <alignment horizontal="center" vertical="center"/>
    </xf>
    <xf numFmtId="0" fontId="18" fillId="2" borderId="5" xfId="0" applyNumberFormat="1" applyFont="1" applyFill="1" applyBorder="1" applyAlignment="1">
      <alignment horizontal="left" vertical="center" indent="1"/>
    </xf>
    <xf numFmtId="181" fontId="5" fillId="0" borderId="5" xfId="0" applyNumberFormat="1" applyFont="1" applyFill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3" fillId="2" borderId="6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top"/>
    </xf>
    <xf numFmtId="0" fontId="13" fillId="2" borderId="7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/>
    </xf>
    <xf numFmtId="49" fontId="1" fillId="0" borderId="0" xfId="0" applyNumberFormat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/>
    </xf>
    <xf numFmtId="0" fontId="32" fillId="2" borderId="2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top"/>
    </xf>
    <xf numFmtId="0" fontId="4" fillId="2" borderId="7" xfId="0" applyFont="1" applyFill="1" applyBorder="1" applyAlignment="1">
      <alignment horizontal="center" vertical="center"/>
    </xf>
    <xf numFmtId="176" fontId="9" fillId="4" borderId="4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left" vertical="top" wrapText="1"/>
    </xf>
    <xf numFmtId="49" fontId="29" fillId="2" borderId="4" xfId="0" applyNumberFormat="1" applyFont="1" applyFill="1" applyBorder="1" applyAlignment="1">
      <alignment horizontal="left" vertical="top" wrapText="1"/>
    </xf>
    <xf numFmtId="0" fontId="1" fillId="5" borderId="4" xfId="0" applyNumberFormat="1" applyFont="1" applyFill="1" applyBorder="1" applyAlignment="1">
      <alignment horizontal="left" vertical="top" wrapText="1"/>
    </xf>
    <xf numFmtId="176" fontId="1" fillId="0" borderId="4" xfId="0" applyNumberFormat="1" applyFont="1" applyFill="1" applyBorder="1" applyAlignment="1">
      <alignment horizontal="left" vertical="top" wrapText="1"/>
    </xf>
    <xf numFmtId="179" fontId="1" fillId="0" borderId="4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 applyProtection="1">
      <alignment horizontal="left" vertical="top" wrapText="1"/>
    </xf>
    <xf numFmtId="49" fontId="2" fillId="0" borderId="0" xfId="0" applyNumberFormat="1" applyFont="1" applyFill="1" applyBorder="1" applyAlignment="1" applyProtection="1">
      <alignment horizontal="left" vertical="top"/>
    </xf>
    <xf numFmtId="0" fontId="20" fillId="2" borderId="4" xfId="0" applyFont="1" applyFill="1" applyBorder="1" applyAlignment="1" applyProtection="1">
      <alignment horizontal="left" vertical="center"/>
    </xf>
    <xf numFmtId="0" fontId="20" fillId="0" borderId="4" xfId="0" applyFont="1" applyBorder="1" applyAlignment="1" applyProtection="1">
      <alignment horizontal="center" vertical="center"/>
    </xf>
    <xf numFmtId="182" fontId="20" fillId="0" borderId="4" xfId="0" applyNumberFormat="1" applyFont="1" applyBorder="1" applyAlignment="1" applyProtection="1">
      <alignment horizontal="center" vertical="center"/>
    </xf>
    <xf numFmtId="176" fontId="20" fillId="0" borderId="4" xfId="0" applyNumberFormat="1" applyFont="1" applyBorder="1" applyAlignment="1" applyProtection="1">
      <alignment horizontal="center" vertical="center"/>
    </xf>
    <xf numFmtId="176" fontId="33" fillId="0" borderId="4" xfId="0" applyNumberFormat="1" applyFont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84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840" b="0"/>
              <a:t>不同工况下的有效功率曲线</a:t>
            </a:r>
            <a:endParaRPr sz="840" b="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180731266509"/>
          <c:y val="0.183239962651727"/>
          <c:w val="0.869233977478104"/>
          <c:h val="0.538375350140056"/>
        </c:manualLayout>
      </c:layout>
      <c:scatterChart>
        <c:scatterStyle val="smooth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压载（千瓦）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[1]Sheet1!$B$2:$B$9</c:f>
              <c:numCache>
                <c:formatCode>General</c:formatCode>
                <c:ptCount val="8"/>
                <c:pt idx="0">
                  <c:v>2938</c:v>
                </c:pt>
                <c:pt idx="1">
                  <c:v>3814</c:v>
                </c:pt>
                <c:pt idx="2">
                  <c:v>5101</c:v>
                </c:pt>
                <c:pt idx="3">
                  <c:v>6384</c:v>
                </c:pt>
                <c:pt idx="4">
                  <c:v>8077</c:v>
                </c:pt>
                <c:pt idx="5">
                  <c:v>10039</c:v>
                </c:pt>
                <c:pt idx="6">
                  <c:v>12292</c:v>
                </c:pt>
                <c:pt idx="7">
                  <c:v>14854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满载（千瓦）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[1]Sheet1!$C$2:$C$9</c:f>
              <c:numCache>
                <c:formatCode>General</c:formatCode>
                <c:ptCount val="8"/>
                <c:pt idx="0">
                  <c:v>3860</c:v>
                </c:pt>
                <c:pt idx="1">
                  <c:v>4780</c:v>
                </c:pt>
                <c:pt idx="2">
                  <c:v>6301</c:v>
                </c:pt>
                <c:pt idx="3">
                  <c:v>7918</c:v>
                </c:pt>
                <c:pt idx="4">
                  <c:v>9801</c:v>
                </c:pt>
                <c:pt idx="5">
                  <c:v>12054</c:v>
                </c:pt>
                <c:pt idx="6">
                  <c:v>14787</c:v>
                </c:pt>
                <c:pt idx="7">
                  <c:v>17921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[1]Sheet1!$D$1</c:f>
              <c:strCache>
                <c:ptCount val="1"/>
                <c:pt idx="0">
                  <c:v>超满载（千瓦）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[1]Sheet1!$A$2:$A$9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</c:numCache>
            </c:numRef>
          </c:xVal>
          <c:yVal>
            <c:numRef>
              <c:f>[1]Sheet1!$D$2:$D$9</c:f>
              <c:numCache>
                <c:formatCode>General</c:formatCode>
                <c:ptCount val="8"/>
                <c:pt idx="0">
                  <c:v>4654</c:v>
                </c:pt>
                <c:pt idx="1">
                  <c:v>5787</c:v>
                </c:pt>
                <c:pt idx="2">
                  <c:v>7454</c:v>
                </c:pt>
                <c:pt idx="3">
                  <c:v>9114</c:v>
                </c:pt>
                <c:pt idx="4">
                  <c:v>11305</c:v>
                </c:pt>
                <c:pt idx="5">
                  <c:v>13843</c:v>
                </c:pt>
                <c:pt idx="6">
                  <c:v>16759</c:v>
                </c:pt>
                <c:pt idx="7">
                  <c:v>20074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60524"/>
        <c:axId val="635514943"/>
      </c:scatterChart>
      <c:valAx>
        <c:axId val="593260524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700"/>
                  <a:t>航速Vs（kn）</a:t>
                </a:r>
                <a:endParaRPr sz="700"/>
              </a:p>
            </c:rich>
          </c:tx>
          <c:layout>
            <c:manualLayout>
              <c:xMode val="edge"/>
              <c:yMode val="edge"/>
              <c:x val="0.469606992665931"/>
              <c:y val="0.8079661834152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514943"/>
        <c:crosses val="autoZero"/>
        <c:crossBetween val="midCat"/>
      </c:valAx>
      <c:valAx>
        <c:axId val="63551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7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700"/>
                  <a:t>有效功率Pe（kW）</a:t>
                </a:r>
                <a:endParaRPr sz="700"/>
              </a:p>
            </c:rich>
          </c:tx>
          <c:layout>
            <c:manualLayout>
              <c:xMode val="edge"/>
              <c:yMode val="edge"/>
              <c:x val="0.00711394578682694"/>
              <c:y val="0.1008080908204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2605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700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825012439874"/>
          <c:y val="0.252207380575051"/>
          <c:w val="0.772665450323437"/>
          <c:h val="0.558388046185194"/>
        </c:manualLayout>
      </c:layout>
      <c:scatterChart>
        <c:scatterStyle val="smooth"/>
        <c:varyColors val="0"/>
        <c:ser>
          <c:idx val="0"/>
          <c:order val="0"/>
          <c:tx>
            <c:strRef>
              <c:f>"桨-N=68RPM"</c:f>
              <c:strCache>
                <c:ptCount val="1"/>
                <c:pt idx="0">
                  <c:v>桨-N=68RPM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445349886804662"/>
                  <c:y val="0.003479293716475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Sheet1!$CN$220:$CQ$220</c:f>
              <c:numCache>
                <c:formatCode>0</c:formatCode>
                <c:ptCount val="4"/>
                <c:pt idx="0">
                  <c:v>13223.8540676484</c:v>
                </c:pt>
                <c:pt idx="1">
                  <c:v>13169.7907540108</c:v>
                </c:pt>
                <c:pt idx="2">
                  <c:v>12961.7580375552</c:v>
                </c:pt>
                <c:pt idx="3">
                  <c:v>12594.0665489293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"桨-N=63RPM"</c:f>
              <c:strCache>
                <c:ptCount val="1"/>
                <c:pt idx="0">
                  <c:v>桨-N=63RPM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Sheet1!$CR$220:$CU$220</c:f>
              <c:numCache>
                <c:formatCode>0</c:formatCode>
                <c:ptCount val="4"/>
                <c:pt idx="0">
                  <c:v>10665.5783421387</c:v>
                </c:pt>
                <c:pt idx="1">
                  <c:v>10466.6278472984</c:v>
                </c:pt>
                <c:pt idx="2">
                  <c:v>10118.7541895323</c:v>
                </c:pt>
                <c:pt idx="3">
                  <c:v>9616.26799948789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"桨-N=58RPM"</c:f>
              <c:strCache>
                <c:ptCount val="1"/>
                <c:pt idx="0">
                  <c:v>桨-N=58RPM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Sheet1!$CV$220:$CY$220</c:f>
              <c:numCache>
                <c:formatCode>0</c:formatCode>
                <c:ptCount val="4"/>
                <c:pt idx="0">
                  <c:v>8340.34133685319</c:v>
                </c:pt>
                <c:pt idx="1">
                  <c:v>8013.14928368339</c:v>
                </c:pt>
                <c:pt idx="2">
                  <c:v>7542.08030747985</c:v>
                </c:pt>
                <c:pt idx="3">
                  <c:v>6921.44503889019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"船-压载"</c:f>
              <c:strCache>
                <c:ptCount val="1"/>
                <c:pt idx="0">
                  <c:v>船-压载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230689149017732"/>
                  <c:y val="0.0411536308704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{8077,10039,12292,14854}</c:f>
              <c:numCache>
                <c:formatCode>General</c:formatCode>
                <c:ptCount val="4"/>
                <c:pt idx="0">
                  <c:v>8077</c:v>
                </c:pt>
                <c:pt idx="1">
                  <c:v>10039</c:v>
                </c:pt>
                <c:pt idx="2">
                  <c:v>12292</c:v>
                </c:pt>
                <c:pt idx="3">
                  <c:v>14854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"船-满载"</c:f>
              <c:strCache>
                <c:ptCount val="1"/>
                <c:pt idx="0">
                  <c:v>船-满载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275914956347728"/>
                  <c:y val="0.089045508186967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{9801,12054,14787,17921}</c:f>
              <c:numCache>
                <c:formatCode>General</c:formatCode>
                <c:ptCount val="4"/>
                <c:pt idx="0">
                  <c:v>9801</c:v>
                </c:pt>
                <c:pt idx="1">
                  <c:v>12054</c:v>
                </c:pt>
                <c:pt idx="2">
                  <c:v>14787</c:v>
                </c:pt>
                <c:pt idx="3">
                  <c:v>17921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"船-超满载"</c:f>
              <c:strCache>
                <c:ptCount val="1"/>
                <c:pt idx="0">
                  <c:v>船-超满载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224438902743142"/>
                  <c:y val="0.02860823031221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{11305,13843,16759,20074}</c:f>
              <c:numCache>
                <c:formatCode>General</c:formatCode>
                <c:ptCount val="4"/>
                <c:pt idx="0">
                  <c:v>11305</c:v>
                </c:pt>
                <c:pt idx="1">
                  <c:v>13843</c:v>
                </c:pt>
                <c:pt idx="2">
                  <c:v>16759</c:v>
                </c:pt>
                <c:pt idx="3">
                  <c:v>20074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18423"/>
        <c:axId val="750955672"/>
      </c:scatterChart>
      <c:valAx>
        <c:axId val="935018423"/>
        <c:scaling>
          <c:orientation val="minMax"/>
          <c:max val="17"/>
          <c:min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V[</a:t>
                </a:r>
                <a:r>
                  <a:rPr altLang="en-US"/>
                  <a:t>节</a:t>
                </a:r>
                <a:r>
                  <a:rPr lang="en-US" altLang="zh-CN"/>
                  <a:t>]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955672"/>
        <c:crosses val="autoZero"/>
        <c:crossBetween val="midCat"/>
        <c:majorUnit val="1"/>
      </c:valAx>
      <c:valAx>
        <c:axId val="750955672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P</a:t>
                </a:r>
                <a:r>
                  <a:rPr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TE</a:t>
                </a:r>
                <a:r>
                  <a:t>[</a:t>
                </a:r>
                <a:r>
                  <a:rPr lang="en-US" altLang="zh-CN"/>
                  <a:t>k</a:t>
                </a:r>
                <a:r>
                  <a:t>W]</a:t>
                </a:r>
                <a:r>
                  <a:rPr lang="en-US" altLang="zh-CN"/>
                  <a:t>,P</a:t>
                </a:r>
                <a:r>
                  <a:rPr lang="en-US" altLang="zh-CN" baseline="-25000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</a:rPr>
                  <a:t>E</a:t>
                </a:r>
                <a:r>
                  <a:rPr lang="en-US" altLang="zh-CN"/>
                  <a:t>[kW]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315396320376262"/>
              <c:y val="0.4480426221913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018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43970807762481"/>
          <c:y val="0.023318994792845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"桨-N=68RPM"</c:f>
              <c:strCache>
                <c:ptCount val="1"/>
                <c:pt idx="0">
                  <c:v>桨-N=68RPM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4072353136409"/>
                  <c:y val="0.09259259259259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Sheet1!$DC$221:$DF$221</c:f>
              <c:numCache>
                <c:formatCode>0_ </c:formatCode>
                <c:ptCount val="4"/>
                <c:pt idx="0">
                  <c:v>-20224.607426142</c:v>
                </c:pt>
                <c:pt idx="1">
                  <c:v>-19317.6262081235</c:v>
                </c:pt>
                <c:pt idx="2">
                  <c:v>-18359.6544242703</c:v>
                </c:pt>
                <c:pt idx="3">
                  <c:v>-17346.891617609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"桨-N=63RPM"</c:f>
              <c:strCache>
                <c:ptCount val="1"/>
                <c:pt idx="0">
                  <c:v>桨-N=63RPM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Sheet1!$DG$221:$DJ$221</c:f>
              <c:numCache>
                <c:formatCode>0_ </c:formatCode>
                <c:ptCount val="4"/>
                <c:pt idx="0">
                  <c:v>-14484.2101397292</c:v>
                </c:pt>
                <c:pt idx="1">
                  <c:v>-13655.0318596816</c:v>
                </c:pt>
                <c:pt idx="2">
                  <c:v>-12774.4206396252</c:v>
                </c:pt>
                <c:pt idx="3">
                  <c:v>-11838.5760225865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"桨-N=58RPM"</c:f>
              <c:strCache>
                <c:ptCount val="1"/>
                <c:pt idx="0">
                  <c:v>桨-N=58RPM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Sheet1!$DK$221:$DN$221</c:f>
              <c:numCache>
                <c:formatCode>0_ </c:formatCode>
                <c:ptCount val="4"/>
                <c:pt idx="0">
                  <c:v>-10516.2624463462</c:v>
                </c:pt>
                <c:pt idx="1">
                  <c:v>-9758.45829789568</c:v>
                </c:pt>
                <c:pt idx="2">
                  <c:v>-8948.77883526226</c:v>
                </c:pt>
                <c:pt idx="3">
                  <c:v>-8083.42360147237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"船-压载"</c:f>
              <c:strCache>
                <c:ptCount val="1"/>
                <c:pt idx="0">
                  <c:v>船-压载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Sheet1!$DC$218:$DF$218</c:f>
              <c:numCache>
                <c:formatCode>0_ </c:formatCode>
                <c:ptCount val="4"/>
                <c:pt idx="0">
                  <c:v>-8326.80412371134</c:v>
                </c:pt>
                <c:pt idx="1">
                  <c:v>-10349.4845360825</c:v>
                </c:pt>
                <c:pt idx="2">
                  <c:v>-12672.1649484536</c:v>
                </c:pt>
                <c:pt idx="3">
                  <c:v>-15313.4020618557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"船-满载"</c:f>
              <c:strCache>
                <c:ptCount val="1"/>
                <c:pt idx="0">
                  <c:v>船-满载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Sheet1!$DC$219:$DF$219</c:f>
              <c:numCache>
                <c:formatCode>0_ </c:formatCode>
                <c:ptCount val="4"/>
                <c:pt idx="0">
                  <c:v>-10104.1237113402</c:v>
                </c:pt>
                <c:pt idx="1">
                  <c:v>-12426.8041237113</c:v>
                </c:pt>
                <c:pt idx="2">
                  <c:v>-15244.3298969072</c:v>
                </c:pt>
                <c:pt idx="3">
                  <c:v>-18475.2577319588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"船-超满载"</c:f>
              <c:strCache>
                <c:ptCount val="1"/>
                <c:pt idx="0">
                  <c:v>船-超满载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Sheet1!$CN$215:$CQ$215</c:f>
              <c:numCache>
                <c:formatCode>0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</c:numCache>
            </c:numRef>
          </c:xVal>
          <c:yVal>
            <c:numRef>
              <c:f>Sheet1!$DC$220:$DF$220</c:f>
              <c:numCache>
                <c:formatCode>0_ </c:formatCode>
                <c:ptCount val="4"/>
                <c:pt idx="0">
                  <c:v>-11654.6391752577</c:v>
                </c:pt>
                <c:pt idx="1">
                  <c:v>-14271.1340206186</c:v>
                </c:pt>
                <c:pt idx="2">
                  <c:v>-17277.3195876289</c:v>
                </c:pt>
                <c:pt idx="3">
                  <c:v>-20694.8453608247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018423"/>
        <c:axId val="750955672"/>
      </c:scatterChart>
      <c:valAx>
        <c:axId val="935018423"/>
        <c:scaling>
          <c:orientation val="minMax"/>
          <c:max val="17"/>
          <c:min val="14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955672"/>
        <c:crosses val="autoZero"/>
        <c:crossBetween val="midCat"/>
        <c:majorUnit val="1"/>
      </c:valAx>
      <c:valAx>
        <c:axId val="750955672"/>
        <c:scaling>
          <c:orientation val="minMax"/>
          <c:max val="-5000"/>
          <c:min val="-2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cap="all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</a:t>
                </a:r>
                <a:r>
                  <a:rPr lang="en-US" altLang="zh-CN" baseline="-25000">
                    <a:solidFill>
                      <a:srgbClr val="FF0000"/>
                    </a:solidFill>
                    <a:uFillTx/>
                  </a:rPr>
                  <a:t>S</a:t>
                </a:r>
                <a:r>
                  <a:rPr lang="en-US" altLang="zh-CN">
                    <a:solidFill>
                      <a:srgbClr val="FF0000"/>
                    </a:solidFill>
                  </a:rPr>
                  <a:t>[kW]</a:t>
                </a:r>
                <a:endParaRPr lang="en-US" altLang="zh-CN">
                  <a:solidFill>
                    <a:srgbClr val="FF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315396320376262"/>
              <c:y val="0.4480426221913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;[Red]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018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盘面比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"实际"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Sheet1!$W$70:$Y$70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Sheet1!$W$79:$Y$79</c:f>
              <c:numCache>
                <c:formatCode>0.00_ </c:formatCode>
                <c:ptCount val="3"/>
                <c:pt idx="0">
                  <c:v>0.429478464310753</c:v>
                </c:pt>
                <c:pt idx="1">
                  <c:v>0.440452588826128</c:v>
                </c:pt>
                <c:pt idx="2">
                  <c:v>0.462945808602336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"原始"</c:f>
              <c:strCache>
                <c:ptCount val="1"/>
                <c:pt idx="0">
                  <c:v>原始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Sheet1!$W$70:$Y$70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00802"/>
        <c:axId val="19605392"/>
      </c:scatterChart>
      <c:valAx>
        <c:axId val="84290080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05392"/>
        <c:crosses val="autoZero"/>
        <c:crossBetween val="midCat"/>
      </c:valAx>
      <c:valAx>
        <c:axId val="19605392"/>
        <c:scaling>
          <c:orientation val="minMax"/>
          <c:max val="0.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290080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"有效功率"</c:f>
              <c:strCache>
                <c:ptCount val="1"/>
                <c:pt idx="0">
                  <c:v>有效功率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Sheet1!$R$63:$T$63</c:f>
              <c:numCache>
                <c:formatCode>General</c:formatCode>
                <c:ptCount val="3"/>
                <c:pt idx="0">
                  <c:v>13398</c:v>
                </c:pt>
                <c:pt idx="1">
                  <c:v>12930</c:v>
                </c:pt>
                <c:pt idx="2">
                  <c:v>12507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6542"/>
        <c:axId val="284815502"/>
      </c:scatterChart>
      <c:valAx>
        <c:axId val="29010654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815502"/>
        <c:crosses val="autoZero"/>
        <c:crossBetween val="midCat"/>
      </c:valAx>
      <c:valAx>
        <c:axId val="284815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06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"D"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Sheet1!$R$65:$T$65</c:f>
              <c:numCache>
                <c:formatCode>0.00_ </c:formatCode>
                <c:ptCount val="3"/>
                <c:pt idx="0">
                  <c:v>10.1234682352941</c:v>
                </c:pt>
                <c:pt idx="1">
                  <c:v>9.99011011764706</c:v>
                </c:pt>
                <c:pt idx="2">
                  <c:v>9.73664376470588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6542"/>
        <c:axId val="284815502"/>
      </c:scatterChart>
      <c:valAx>
        <c:axId val="29010654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815502"/>
        <c:crosses val="autoZero"/>
        <c:crossBetween val="midCat"/>
      </c:valAx>
      <c:valAx>
        <c:axId val="284815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06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"P/D"</c:f>
              <c:strCache>
                <c:ptCount val="1"/>
                <c:pt idx="0">
                  <c:v>P/D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Sheet1!$R$66:$T$66</c:f>
              <c:numCache>
                <c:formatCode>General</c:formatCode>
                <c:ptCount val="3"/>
                <c:pt idx="0">
                  <c:v>0.657</c:v>
                </c:pt>
                <c:pt idx="1">
                  <c:v>0.711</c:v>
                </c:pt>
                <c:pt idx="2">
                  <c:v>0.726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6542"/>
        <c:axId val="284815502"/>
      </c:scatterChart>
      <c:valAx>
        <c:axId val="29010654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815502"/>
        <c:crosses val="autoZero"/>
        <c:crossBetween val="midCat"/>
      </c:valAx>
      <c:valAx>
        <c:axId val="284815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06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"敞水效率"</c:f>
              <c:strCache>
                <c:ptCount val="1"/>
                <c:pt idx="0">
                  <c:v>敞水效率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Sheet1!$R$67:$T$67</c:f>
              <c:numCache>
                <c:formatCode>General</c:formatCode>
                <c:ptCount val="3"/>
                <c:pt idx="0">
                  <c:v>0.564</c:v>
                </c:pt>
                <c:pt idx="1">
                  <c:v>0.535</c:v>
                </c:pt>
                <c:pt idx="2">
                  <c:v>0.509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6542"/>
        <c:axId val="284815502"/>
      </c:scatterChart>
      <c:valAx>
        <c:axId val="29010654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815502"/>
        <c:crosses val="autoZero"/>
        <c:crossBetween val="midCat"/>
      </c:valAx>
      <c:valAx>
        <c:axId val="284815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06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"航速"</c:f>
              <c:strCache>
                <c:ptCount val="1"/>
                <c:pt idx="0">
                  <c:v>航速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Sheet1!$R$61:$T$61</c:f>
              <c:numCache>
                <c:formatCode>General</c:formatCode>
                <c:ptCount val="3"/>
                <c:pt idx="0">
                  <c:v>0.4</c:v>
                </c:pt>
                <c:pt idx="1">
                  <c:v>0.55</c:v>
                </c:pt>
                <c:pt idx="2">
                  <c:v>0.7</c:v>
                </c:pt>
              </c:numCache>
            </c:numRef>
          </c:xVal>
          <c:yVal>
            <c:numRef>
              <c:f>Sheet1!$R$62:$T$62</c:f>
              <c:numCache>
                <c:formatCode>General</c:formatCode>
                <c:ptCount val="3"/>
                <c:pt idx="0">
                  <c:v>15.51</c:v>
                </c:pt>
                <c:pt idx="1">
                  <c:v>15.33</c:v>
                </c:pt>
                <c:pt idx="2">
                  <c:v>15.16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06542"/>
        <c:axId val="284815502"/>
      </c:scatterChart>
      <c:valAx>
        <c:axId val="290106542"/>
        <c:scaling>
          <c:orientation val="minMax"/>
          <c:max val="0.7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4815502"/>
        <c:crosses val="autoZero"/>
        <c:crossBetween val="midCat"/>
      </c:valAx>
      <c:valAx>
        <c:axId val="2848155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1065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377146802451023"/>
                  <c:y val="-0.3394742754437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Sheet1!$BB$118:$BB$119</c:f>
              <c:numCache>
                <c:formatCode>General</c:formatCode>
                <c:ptCount val="2"/>
                <c:pt idx="0">
                  <c:v>1</c:v>
                </c:pt>
                <c:pt idx="1">
                  <c:v>0.25</c:v>
                </c:pt>
              </c:numCache>
            </c:numRef>
          </c:xVal>
          <c:yVal>
            <c:numRef>
              <c:f>Sheet1!$BC$118:$BC$119</c:f>
              <c:numCache>
                <c:formatCode>General</c:formatCode>
                <c:ptCount val="2"/>
                <c:pt idx="0">
                  <c:v>35.35</c:v>
                </c:pt>
                <c:pt idx="1">
                  <c:v>407.03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30750"/>
        <c:axId val="536966359"/>
      </c:scatterChart>
      <c:valAx>
        <c:axId val="3066307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2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000"/>
                  <a:t>r/R</a:t>
                </a:r>
                <a:endParaRPr lang="en-US" altLang="zh-CN" sz="20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966359"/>
        <c:crosses val="autoZero"/>
        <c:crossBetween val="midCat"/>
      </c:valAx>
      <c:valAx>
        <c:axId val="536966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600">
                    <a:solidFill>
                      <a:schemeClr val="tx1"/>
                    </a:solidFill>
                  </a:rPr>
                  <a:t>叶片厚度[mm]</a:t>
                </a:r>
                <a:endParaRPr sz="16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663075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Sheet1!$BT$202</c:f>
              <c:strCache>
                <c:ptCount val="1"/>
                <c:pt idx="0">
                  <c:v>KT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7414616881968"/>
                  <c:y val="-0.02692003167062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Sheet1!$BU$201:$CC$201</c:f>
              <c:numCache>
                <c:formatCode>0.00_ 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c:formatCode="General">
                  <c:v>0.75</c:v>
                </c:pt>
              </c:numCache>
            </c:numRef>
          </c:xVal>
          <c:yVal>
            <c:numRef>
              <c:f>Sheet1!$BU$202:$CC$202</c:f>
              <c:numCache>
                <c:formatCode>0.00_ </c:formatCode>
                <c:ptCount val="9"/>
                <c:pt idx="0">
                  <c:v>0.2775352</c:v>
                </c:pt>
                <c:pt idx="1">
                  <c:v>0.2498252</c:v>
                </c:pt>
                <c:pt idx="2">
                  <c:v>0.2272988</c:v>
                </c:pt>
                <c:pt idx="3">
                  <c:v>0.1944484</c:v>
                </c:pt>
                <c:pt idx="4">
                  <c:v>0.1589124</c:v>
                </c:pt>
                <c:pt idx="5">
                  <c:v>0.115876</c:v>
                </c:pt>
                <c:pt idx="6">
                  <c:v>0.073278</c:v>
                </c:pt>
                <c:pt idx="7">
                  <c:v>0.026282</c:v>
                </c:pt>
                <c:pt idx="8" c:formatCode="General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Sheet1!$BT$203</c:f>
              <c:strCache>
                <c:ptCount val="1"/>
                <c:pt idx="0">
                  <c:v>10KQ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0740610697044865"/>
                  <c:y val="-0.1674369878743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Sheet1!$BU$201:$CD$201</c:f>
              <c:numCache>
                <c:formatCode>0.00_ 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c:formatCode="General">
                  <c:v>0.75</c:v>
                </c:pt>
                <c:pt idx="9" c:formatCode="General">
                  <c:v>0.81</c:v>
                </c:pt>
              </c:numCache>
            </c:numRef>
          </c:xVal>
          <c:yVal>
            <c:numRef>
              <c:f>Sheet1!$BU$203:$CD$203</c:f>
              <c:numCache>
                <c:formatCode>0.00_ </c:formatCode>
                <c:ptCount val="10"/>
                <c:pt idx="0">
                  <c:v>0.2811728</c:v>
                </c:pt>
                <c:pt idx="1">
                  <c:v>0.2646124</c:v>
                </c:pt>
                <c:pt idx="2">
                  <c:v>0.2408936</c:v>
                </c:pt>
                <c:pt idx="3">
                  <c:v>0.21814</c:v>
                </c:pt>
                <c:pt idx="4">
                  <c:v>0.1885588</c:v>
                </c:pt>
                <c:pt idx="5">
                  <c:v>0.1557988</c:v>
                </c:pt>
                <c:pt idx="6">
                  <c:v>0.1161752</c:v>
                </c:pt>
                <c:pt idx="7">
                  <c:v>0.0708992</c:v>
                </c:pt>
                <c:pt idx="8" c:formatCode="General">
                  <c:v>0.04</c:v>
                </c:pt>
                <c:pt idx="9" c:formatCode="General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Sheet1!$BT$204</c:f>
              <c:strCache>
                <c:ptCount val="1"/>
                <c:pt idx="0">
                  <c:v>η0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Sheet1!$BU$201:$CC$201</c:f>
              <c:numCache>
                <c:formatCode>0.00_ 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 c:formatCode="General">
                  <c:v>0.75</c:v>
                </c:pt>
              </c:numCache>
            </c:numRef>
          </c:xVal>
          <c:yVal>
            <c:numRef>
              <c:f>Sheet1!$BU$204:$CC$204</c:f>
              <c:numCache>
                <c:formatCode>0.00_ </c:formatCode>
                <c:ptCount val="9"/>
                <c:pt idx="0">
                  <c:v>0</c:v>
                </c:pt>
                <c:pt idx="1">
                  <c:v>0.1651896</c:v>
                </c:pt>
                <c:pt idx="2">
                  <c:v>0.3051328</c:v>
                </c:pt>
                <c:pt idx="3">
                  <c:v>0.430548</c:v>
                </c:pt>
                <c:pt idx="4">
                  <c:v>0.5404564</c:v>
                </c:pt>
                <c:pt idx="5">
                  <c:v>0.623376</c:v>
                </c:pt>
                <c:pt idx="6">
                  <c:v>0.6431268</c:v>
                </c:pt>
                <c:pt idx="7">
                  <c:v>0.4960528</c:v>
                </c:pt>
                <c:pt idx="8" c:formatCode="General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72873"/>
        <c:axId val="91723093"/>
      </c:scatterChart>
      <c:valAx>
        <c:axId val="6525728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J</a:t>
                </a:r>
                <a:endParaRPr lang="en-US" altLang="zh-CN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23093"/>
        <c:crosses val="autoZero"/>
        <c:crossBetween val="midCat"/>
      </c:valAx>
      <c:valAx>
        <c:axId val="9172309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257287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399991348732589"/>
          <c:y val="0.0080317144936893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2" Type="http://schemas.openxmlformats.org/officeDocument/2006/relationships/image" Target="../media/image1.png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40640</xdr:colOff>
      <xdr:row>12</xdr:row>
      <xdr:rowOff>29210</xdr:rowOff>
    </xdr:from>
    <xdr:to>
      <xdr:col>7</xdr:col>
      <xdr:colOff>1362075</xdr:colOff>
      <xdr:row>32</xdr:row>
      <xdr:rowOff>236220</xdr:rowOff>
    </xdr:to>
    <xdr:graphicFrame>
      <xdr:nvGraphicFramePr>
        <xdr:cNvPr id="9" name="不同工况下的有效功率曲线"/>
        <xdr:cNvGraphicFramePr/>
      </xdr:nvGraphicFramePr>
      <xdr:xfrm>
        <a:off x="4367530" y="2597150"/>
        <a:ext cx="5614035" cy="4481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353060</xdr:colOff>
      <xdr:row>92</xdr:row>
      <xdr:rowOff>61595</xdr:rowOff>
    </xdr:from>
    <xdr:to>
      <xdr:col>35</xdr:col>
      <xdr:colOff>208280</xdr:colOff>
      <xdr:row>107</xdr:row>
      <xdr:rowOff>61595</xdr:rowOff>
    </xdr:to>
    <xdr:graphicFrame>
      <xdr:nvGraphicFramePr>
        <xdr:cNvPr id="11" name="图表 10"/>
        <xdr:cNvGraphicFramePr/>
      </xdr:nvGraphicFramePr>
      <xdr:xfrm>
        <a:off x="26703655" y="20277455"/>
        <a:ext cx="4572000" cy="2720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268605</xdr:colOff>
      <xdr:row>77</xdr:row>
      <xdr:rowOff>150495</xdr:rowOff>
    </xdr:from>
    <xdr:to>
      <xdr:col>35</xdr:col>
      <xdr:colOff>208280</xdr:colOff>
      <xdr:row>92</xdr:row>
      <xdr:rowOff>82550</xdr:rowOff>
    </xdr:to>
    <xdr:graphicFrame>
      <xdr:nvGraphicFramePr>
        <xdr:cNvPr id="14" name="图表 13"/>
        <xdr:cNvGraphicFramePr/>
      </xdr:nvGraphicFramePr>
      <xdr:xfrm>
        <a:off x="26619200" y="17524095"/>
        <a:ext cx="4656455" cy="2774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293370</xdr:colOff>
      <xdr:row>66</xdr:row>
      <xdr:rowOff>137160</xdr:rowOff>
    </xdr:from>
    <xdr:to>
      <xdr:col>35</xdr:col>
      <xdr:colOff>200660</xdr:colOff>
      <xdr:row>77</xdr:row>
      <xdr:rowOff>165100</xdr:rowOff>
    </xdr:to>
    <xdr:graphicFrame>
      <xdr:nvGraphicFramePr>
        <xdr:cNvPr id="15" name="图表 14"/>
        <xdr:cNvGraphicFramePr/>
      </xdr:nvGraphicFramePr>
      <xdr:xfrm>
        <a:off x="26643965" y="14935200"/>
        <a:ext cx="4624070" cy="2603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356235</xdr:colOff>
      <xdr:row>57</xdr:row>
      <xdr:rowOff>226060</xdr:rowOff>
    </xdr:from>
    <xdr:to>
      <xdr:col>35</xdr:col>
      <xdr:colOff>197485</xdr:colOff>
      <xdr:row>66</xdr:row>
      <xdr:rowOff>113665</xdr:rowOff>
    </xdr:to>
    <xdr:graphicFrame>
      <xdr:nvGraphicFramePr>
        <xdr:cNvPr id="16" name="图表 15"/>
        <xdr:cNvGraphicFramePr/>
      </xdr:nvGraphicFramePr>
      <xdr:xfrm>
        <a:off x="26706830" y="12463780"/>
        <a:ext cx="4558030" cy="2447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350520</xdr:colOff>
      <xdr:row>50</xdr:row>
      <xdr:rowOff>226060</xdr:rowOff>
    </xdr:from>
    <xdr:to>
      <xdr:col>35</xdr:col>
      <xdr:colOff>198120</xdr:colOff>
      <xdr:row>57</xdr:row>
      <xdr:rowOff>226060</xdr:rowOff>
    </xdr:to>
    <xdr:graphicFrame>
      <xdr:nvGraphicFramePr>
        <xdr:cNvPr id="17" name="图表 16"/>
        <xdr:cNvGraphicFramePr/>
      </xdr:nvGraphicFramePr>
      <xdr:xfrm>
        <a:off x="26701115" y="10939780"/>
        <a:ext cx="4564380" cy="152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298450</xdr:colOff>
      <xdr:row>44</xdr:row>
      <xdr:rowOff>53340</xdr:rowOff>
    </xdr:from>
    <xdr:to>
      <xdr:col>35</xdr:col>
      <xdr:colOff>198755</xdr:colOff>
      <xdr:row>50</xdr:row>
      <xdr:rowOff>225425</xdr:rowOff>
    </xdr:to>
    <xdr:graphicFrame>
      <xdr:nvGraphicFramePr>
        <xdr:cNvPr id="27" name="图表 26"/>
        <xdr:cNvGraphicFramePr/>
      </xdr:nvGraphicFramePr>
      <xdr:xfrm>
        <a:off x="26649045" y="9441180"/>
        <a:ext cx="4617085" cy="149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36</xdr:col>
      <xdr:colOff>349250</xdr:colOff>
      <xdr:row>16</xdr:row>
      <xdr:rowOff>1270</xdr:rowOff>
    </xdr:from>
    <xdr:to>
      <xdr:col>44</xdr:col>
      <xdr:colOff>402590</xdr:colOff>
      <xdr:row>91</xdr:row>
      <xdr:rowOff>1905</xdr:rowOff>
    </xdr:to>
    <xdr:pic>
      <xdr:nvPicPr>
        <xdr:cNvPr id="28" name="图片 27" descr="空泡校核结果_画板 1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1759525" y="3544570"/>
          <a:ext cx="4503420" cy="16490315"/>
        </a:xfrm>
        <a:prstGeom prst="rect">
          <a:avLst/>
        </a:prstGeom>
      </xdr:spPr>
    </xdr:pic>
    <xdr:clientData/>
  </xdr:twoCellAnchor>
  <xdr:twoCellAnchor>
    <xdr:from>
      <xdr:col>49</xdr:col>
      <xdr:colOff>10795</xdr:colOff>
      <xdr:row>119</xdr:row>
      <xdr:rowOff>173355</xdr:rowOff>
    </xdr:from>
    <xdr:to>
      <xdr:col>58</xdr:col>
      <xdr:colOff>250190</xdr:colOff>
      <xdr:row>133</xdr:row>
      <xdr:rowOff>61595</xdr:rowOff>
    </xdr:to>
    <xdr:graphicFrame>
      <xdr:nvGraphicFramePr>
        <xdr:cNvPr id="5" name="图表 4"/>
        <xdr:cNvGraphicFramePr/>
      </xdr:nvGraphicFramePr>
      <xdr:xfrm>
        <a:off x="41182290" y="25525095"/>
        <a:ext cx="7041515" cy="2837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82</xdr:col>
      <xdr:colOff>25400</xdr:colOff>
      <xdr:row>185</xdr:row>
      <xdr:rowOff>53975</xdr:rowOff>
    </xdr:from>
    <xdr:to>
      <xdr:col>84</xdr:col>
      <xdr:colOff>1330325</xdr:colOff>
      <xdr:row>204</xdr:row>
      <xdr:rowOff>11430</xdr:rowOff>
    </xdr:to>
    <xdr:graphicFrame>
      <xdr:nvGraphicFramePr>
        <xdr:cNvPr id="7" name="图表 6"/>
        <xdr:cNvGraphicFramePr/>
      </xdr:nvGraphicFramePr>
      <xdr:xfrm>
        <a:off x="69936995" y="38489255"/>
        <a:ext cx="7172325" cy="3980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82</xdr:col>
      <xdr:colOff>662940</xdr:colOff>
      <xdr:row>187</xdr:row>
      <xdr:rowOff>227965</xdr:rowOff>
    </xdr:from>
    <xdr:to>
      <xdr:col>82</xdr:col>
      <xdr:colOff>2181225</xdr:colOff>
      <xdr:row>194</xdr:row>
      <xdr:rowOff>123190</xdr:rowOff>
    </xdr:to>
    <xdr:sp>
      <xdr:nvSpPr>
        <xdr:cNvPr id="8" name="文本框 7"/>
        <xdr:cNvSpPr txBox="1"/>
      </xdr:nvSpPr>
      <xdr:spPr>
        <a:xfrm>
          <a:off x="70574535" y="39074725"/>
          <a:ext cx="1518285" cy="14039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400" b="1">
              <a:solidFill>
                <a:schemeClr val="dk1">
                  <a:alpha val="56000"/>
                </a:schemeClr>
              </a:solidFill>
            </a:rPr>
            <a:t>MAU</a:t>
          </a:r>
          <a:endParaRPr lang="en-US" altLang="zh-CN" sz="1100">
            <a:solidFill>
              <a:schemeClr val="dk1">
                <a:alpha val="56000"/>
              </a:schemeClr>
            </a:solidFill>
          </a:endParaRPr>
        </a:p>
        <a:p>
          <a:pPr algn="l"/>
          <a:r>
            <a:rPr lang="en-US" altLang="zh-CN" sz="1100">
              <a:solidFill>
                <a:schemeClr val="dk1">
                  <a:alpha val="56000"/>
                </a:schemeClr>
              </a:solidFill>
            </a:rPr>
            <a:t>Z=4</a:t>
          </a:r>
          <a:endParaRPr lang="en-US" altLang="zh-CN" sz="1100">
            <a:solidFill>
              <a:schemeClr val="dk1">
                <a:alpha val="56000"/>
              </a:schemeClr>
            </a:solidFill>
          </a:endParaRPr>
        </a:p>
        <a:p>
          <a:pPr algn="l"/>
          <a:r>
            <a:rPr lang="en-US" altLang="zh-CN" sz="1100">
              <a:solidFill>
                <a:schemeClr val="dk1">
                  <a:alpha val="56000"/>
                </a:schemeClr>
              </a:solidFill>
            </a:rPr>
            <a:t>D=10.1</a:t>
          </a:r>
          <a:endParaRPr lang="en-US" altLang="zh-CN" sz="1100">
            <a:solidFill>
              <a:schemeClr val="dk1">
                <a:alpha val="56000"/>
              </a:schemeClr>
            </a:solidFill>
          </a:endParaRPr>
        </a:p>
        <a:p>
          <a:pPr algn="l"/>
          <a:r>
            <a:rPr lang="zh-CN" altLang="en-US" sz="1100">
              <a:solidFill>
                <a:schemeClr val="dk1">
                  <a:alpha val="56000"/>
                </a:schemeClr>
              </a:solidFill>
            </a:rPr>
            <a:t>盘面比</a:t>
          </a:r>
          <a:r>
            <a:rPr lang="en-US" altLang="zh-CN" sz="1100">
              <a:solidFill>
                <a:schemeClr val="dk1">
                  <a:alpha val="56000"/>
                </a:schemeClr>
              </a:solidFill>
            </a:rPr>
            <a:t>=0.43</a:t>
          </a:r>
          <a:endParaRPr lang="en-US" altLang="zh-CN" sz="1100">
            <a:solidFill>
              <a:schemeClr val="dk1">
                <a:alpha val="56000"/>
              </a:schemeClr>
            </a:solidFill>
          </a:endParaRPr>
        </a:p>
        <a:p>
          <a:pPr algn="l"/>
          <a:r>
            <a:rPr lang="zh-CN" altLang="en-US" sz="1100">
              <a:solidFill>
                <a:schemeClr val="dk1">
                  <a:alpha val="56000"/>
                </a:schemeClr>
              </a:solidFill>
            </a:rPr>
            <a:t>螺距比</a:t>
          </a:r>
          <a:r>
            <a:rPr lang="en-US" altLang="zh-CN" sz="1100">
              <a:solidFill>
                <a:schemeClr val="dk1">
                  <a:alpha val="56000"/>
                </a:schemeClr>
              </a:solidFill>
            </a:rPr>
            <a:t>=0.666</a:t>
          </a:r>
          <a:endParaRPr lang="en-US" altLang="zh-CN" sz="1100">
            <a:solidFill>
              <a:schemeClr val="dk1">
                <a:alpha val="56000"/>
              </a:schemeClr>
            </a:solidFill>
          </a:endParaRPr>
        </a:p>
      </xdr:txBody>
    </xdr:sp>
    <xdr:clientData/>
  </xdr:twoCellAnchor>
  <xdr:twoCellAnchor>
    <xdr:from>
      <xdr:col>99</xdr:col>
      <xdr:colOff>53975</xdr:colOff>
      <xdr:row>222</xdr:row>
      <xdr:rowOff>52070</xdr:rowOff>
    </xdr:from>
    <xdr:to>
      <xdr:col>105</xdr:col>
      <xdr:colOff>434975</xdr:colOff>
      <xdr:row>237</xdr:row>
      <xdr:rowOff>97790</xdr:rowOff>
    </xdr:to>
    <xdr:graphicFrame>
      <xdr:nvGraphicFramePr>
        <xdr:cNvPr id="12" name="图表 11"/>
        <xdr:cNvGraphicFramePr/>
      </xdr:nvGraphicFramePr>
      <xdr:xfrm>
        <a:off x="89053670" y="46526450"/>
        <a:ext cx="3817620" cy="272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99</xdr:col>
      <xdr:colOff>52070</xdr:colOff>
      <xdr:row>237</xdr:row>
      <xdr:rowOff>139700</xdr:rowOff>
    </xdr:from>
    <xdr:to>
      <xdr:col>105</xdr:col>
      <xdr:colOff>440055</xdr:colOff>
      <xdr:row>252</xdr:row>
      <xdr:rowOff>99695</xdr:rowOff>
    </xdr:to>
    <xdr:graphicFrame>
      <xdr:nvGraphicFramePr>
        <xdr:cNvPr id="19" name="图表 18"/>
        <xdr:cNvGraphicFramePr/>
      </xdr:nvGraphicFramePr>
      <xdr:xfrm>
        <a:off x="89051765" y="49296320"/>
        <a:ext cx="3824605" cy="2703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0.0245125348189415</cdr:x>
      <cdr:y>0.0255269320843091</cdr:y>
    </cdr:from>
    <cdr:to>
      <cdr:x>0.177158774373259</cdr:x>
      <cdr:y>0.174707259953162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11760" y="69215"/>
          <a:ext cx="695960" cy="40449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6052\Desktop\junior_first\ShipResistanceandPropulsion\&#34746;&#26059;&#26728;&#35774;&#35745;&#20219;&#21153;&#20070;-&#26356;&#2603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压载（千瓦）</v>
          </cell>
          <cell r="C1" t="str">
            <v>满载（千瓦）</v>
          </cell>
          <cell r="D1" t="str">
            <v>超满载（千瓦）</v>
          </cell>
        </row>
        <row r="2">
          <cell r="A2">
            <v>10</v>
          </cell>
          <cell r="B2">
            <v>2938</v>
          </cell>
          <cell r="C2">
            <v>3860</v>
          </cell>
          <cell r="D2">
            <v>4654</v>
          </cell>
        </row>
        <row r="3">
          <cell r="A3">
            <v>11</v>
          </cell>
          <cell r="B3">
            <v>3814</v>
          </cell>
          <cell r="C3">
            <v>4780</v>
          </cell>
          <cell r="D3">
            <v>5787</v>
          </cell>
        </row>
        <row r="4">
          <cell r="A4">
            <v>12</v>
          </cell>
          <cell r="B4">
            <v>5101</v>
          </cell>
          <cell r="C4">
            <v>6301</v>
          </cell>
          <cell r="D4">
            <v>7454</v>
          </cell>
        </row>
        <row r="5">
          <cell r="A5">
            <v>13</v>
          </cell>
          <cell r="B5">
            <v>6384</v>
          </cell>
          <cell r="C5">
            <v>7918</v>
          </cell>
          <cell r="D5">
            <v>9114</v>
          </cell>
        </row>
        <row r="6">
          <cell r="A6">
            <v>14</v>
          </cell>
          <cell r="B6">
            <v>8077</v>
          </cell>
          <cell r="C6">
            <v>9801</v>
          </cell>
          <cell r="D6">
            <v>11305</v>
          </cell>
        </row>
        <row r="7">
          <cell r="A7">
            <v>15</v>
          </cell>
          <cell r="B7">
            <v>10039</v>
          </cell>
          <cell r="C7">
            <v>12054</v>
          </cell>
          <cell r="D7">
            <v>13843</v>
          </cell>
        </row>
        <row r="8">
          <cell r="A8">
            <v>16</v>
          </cell>
          <cell r="B8">
            <v>12292</v>
          </cell>
          <cell r="C8">
            <v>14787</v>
          </cell>
          <cell r="D8">
            <v>16759</v>
          </cell>
        </row>
        <row r="9">
          <cell r="A9">
            <v>17</v>
          </cell>
          <cell r="B9">
            <v>14854</v>
          </cell>
          <cell r="C9">
            <v>17921</v>
          </cell>
          <cell r="D9">
            <v>20074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N284"/>
  <sheetViews>
    <sheetView showGridLines="0" tabSelected="1" zoomScale="175" zoomScaleNormal="175" topLeftCell="DF245" workbookViewId="0">
      <selection activeCell="DE246" sqref="DE246"/>
    </sheetView>
  </sheetViews>
  <sheetFormatPr defaultColWidth="10" defaultRowHeight="14.4"/>
  <cols>
    <col min="1" max="1" width="11.7314814814815" style="1" customWidth="1"/>
    <col min="2" max="2" width="26.3981481481481" style="1" customWidth="1"/>
    <col min="3" max="3" width="24.962962962963" style="1" customWidth="1"/>
    <col min="4" max="4" width="0.907407407407407" style="1" customWidth="1"/>
    <col min="5" max="5" width="15.2222222222222" style="1" customWidth="1"/>
    <col min="6" max="6" width="19.5092592592593" style="1" customWidth="1"/>
    <col min="7" max="7" width="26.9537037037037" style="1" customWidth="1"/>
    <col min="8" max="8" width="19.9907407407407" style="1" customWidth="1"/>
    <col min="9" max="9" width="20.6666666666667" style="1" customWidth="1"/>
    <col min="10" max="10" width="10.7777777777778" style="1" customWidth="1"/>
    <col min="11" max="11" width="20.4444444444444" style="1" customWidth="1"/>
    <col min="12" max="15" width="7.77777777777778" style="1" customWidth="1"/>
    <col min="16" max="16" width="16.4444444444444" style="1" customWidth="1"/>
    <col min="17" max="17" width="9.11111111111111" style="1" customWidth="1"/>
    <col min="18" max="20" width="7.22222222222222" style="1" customWidth="1"/>
    <col min="21" max="21" width="15.6666666666667" style="1" customWidth="1"/>
    <col min="22" max="22" width="34.1111111111111" style="1" customWidth="1"/>
    <col min="23" max="25" width="10" style="1" customWidth="1"/>
    <col min="26" max="26" width="7" style="1" customWidth="1"/>
    <col min="27" max="29" width="10.7777777777778" style="1" customWidth="1"/>
    <col min="30" max="30" width="4.22222222222222" style="1" customWidth="1"/>
    <col min="31" max="31" width="7.11111111111111" style="1" customWidth="1"/>
    <col min="32" max="33" width="16.4444444444444" style="1"/>
    <col min="34" max="34" width="8.77777777777778" style="1" customWidth="1"/>
    <col min="35" max="36" width="5" style="1" customWidth="1"/>
    <col min="37" max="37" width="14.1111111111111" style="1" customWidth="1"/>
    <col min="38" max="38" width="8.33333333333333" style="1" customWidth="1"/>
    <col min="39" max="39" width="8.22222222222222" style="1" customWidth="1"/>
    <col min="40" max="40" width="6.44444444444444" style="1" customWidth="1"/>
    <col min="41" max="41" width="6.11111111111111" style="1" customWidth="1"/>
    <col min="42" max="45" width="7.22222222222222" style="1" customWidth="1"/>
    <col min="46" max="46" width="9.22222222222222" style="1" customWidth="1"/>
    <col min="47" max="47" width="39.8888888888889" style="1" customWidth="1"/>
    <col min="48" max="49" width="10.5555555555556" style="1" customWidth="1"/>
    <col min="50" max="50" width="10.3333333333333" style="1"/>
    <col min="51" max="51" width="5" style="1" customWidth="1"/>
    <col min="52" max="52" width="15.4444444444444" style="1" customWidth="1"/>
    <col min="53" max="53" width="10" style="1" customWidth="1"/>
    <col min="54" max="54" width="6.11111111111111" style="1" customWidth="1"/>
    <col min="55" max="55" width="13.8888888888889" style="1" customWidth="1"/>
    <col min="56" max="56" width="14.6296296296296" style="1" customWidth="1"/>
    <col min="57" max="57" width="13.1111111111111" style="1" customWidth="1"/>
    <col min="58" max="58" width="10.6666666666667" style="1" customWidth="1"/>
    <col min="59" max="59" width="9.66666666666667" style="1" customWidth="1"/>
    <col min="60" max="60" width="39.5555555555556" style="1" customWidth="1"/>
    <col min="61" max="61" width="15.5555555555556" style="1" customWidth="1"/>
    <col min="62" max="62" width="16.4444444444444" style="1" customWidth="1"/>
    <col min="63" max="63" width="5" style="1" customWidth="1"/>
    <col min="64" max="64" width="11.5555555555556" style="1" customWidth="1"/>
    <col min="65" max="65" width="21.4444444444444" style="1" customWidth="1"/>
    <col min="66" max="66" width="22.4444444444444" style="1" customWidth="1"/>
    <col min="67" max="67" width="12.5555555555556" style="1" customWidth="1"/>
    <col min="68" max="69" width="14.3333333333333" style="1" customWidth="1"/>
    <col min="70" max="70" width="7.44444444444444" style="1" customWidth="1"/>
    <col min="71" max="71" width="10.4444444444444" style="1" customWidth="1"/>
    <col min="72" max="72" width="5.77777777777778" style="1" customWidth="1"/>
    <col min="73" max="73" width="13.1111111111111" style="1" customWidth="1"/>
    <col min="74" max="74" width="11.7777777777778" style="1" customWidth="1"/>
    <col min="75" max="78" width="13.1111111111111" style="1" customWidth="1"/>
    <col min="79" max="79" width="11.7777777777778" style="1" customWidth="1"/>
    <col min="80" max="80" width="13.1111111111111" style="1" customWidth="1"/>
    <col min="81" max="81" width="6.11111111111111" style="1" customWidth="1"/>
    <col min="82" max="82" width="5" style="1" customWidth="1"/>
    <col min="83" max="83" width="75.8888888888889" style="1" customWidth="1"/>
    <col min="84" max="84" width="9.66666666666667" style="1" customWidth="1"/>
    <col min="85" max="85" width="22.2222222222222" style="1" customWidth="1"/>
    <col min="86" max="86" width="9.66666666666667" style="1" customWidth="1"/>
    <col min="87" max="87" width="32.5555555555556" style="1" customWidth="1"/>
    <col min="88" max="88" width="15.6666666666667" style="1" customWidth="1"/>
    <col min="89" max="89" width="7.77777777777778" style="1" customWidth="1"/>
    <col min="90" max="90" width="9.66666666666667" style="1" customWidth="1"/>
    <col min="91" max="91" width="33" style="1" customWidth="1"/>
    <col min="92" max="103" width="7.77777777777778" style="1" customWidth="1"/>
    <col min="104" max="104" width="10" style="1"/>
    <col min="105" max="105" width="9" style="1" customWidth="1"/>
    <col min="106" max="106" width="7.44444444444444" style="1" customWidth="1"/>
    <col min="107" max="109" width="14.3333333333333" style="1" customWidth="1"/>
    <col min="110" max="110" width="16.4444444444444" style="1" customWidth="1"/>
    <col min="111" max="111" width="18.1111111111111" style="1" customWidth="1"/>
    <col min="112" max="112" width="9.77777777777778" style="1" customWidth="1"/>
    <col min="113" max="113" width="23.6666666666667" style="1" customWidth="1"/>
    <col min="114" max="114" width="14.3333333333333" style="1" customWidth="1"/>
    <col min="115" max="115" width="15.6666666666667" style="1"/>
    <col min="116" max="118" width="14.4444444444444" style="1"/>
    <col min="119" max="16368" width="10" style="1"/>
  </cols>
  <sheetData>
    <row r="1" s="1" customFormat="1" spans="1:1">
      <c r="A1" s="2" t="s">
        <v>0</v>
      </c>
    </row>
    <row r="2" s="1" customFormat="1" ht="15.6" spans="2:8">
      <c r="B2" s="3" t="s">
        <v>1</v>
      </c>
      <c r="C2" s="4"/>
      <c r="E2" s="5" t="s">
        <v>2</v>
      </c>
      <c r="F2" s="6"/>
      <c r="G2" s="6"/>
      <c r="H2" s="7"/>
    </row>
    <row r="3" s="1" customFormat="1" ht="19.2" spans="2:8">
      <c r="B3" s="8" t="s">
        <v>3</v>
      </c>
      <c r="C3" s="9">
        <v>325.5</v>
      </c>
      <c r="E3" s="10" t="s">
        <v>4</v>
      </c>
      <c r="F3" s="11" t="s">
        <v>5</v>
      </c>
      <c r="G3" s="6"/>
      <c r="H3" s="7"/>
    </row>
    <row r="4" s="1" customFormat="1" ht="19.2" spans="2:8">
      <c r="B4" s="8" t="s">
        <v>6</v>
      </c>
      <c r="C4" s="9">
        <v>320</v>
      </c>
      <c r="E4" s="12"/>
      <c r="F4" s="13" t="s">
        <v>7</v>
      </c>
      <c r="G4" s="12" t="s">
        <v>8</v>
      </c>
      <c r="H4" s="12" t="s">
        <v>9</v>
      </c>
    </row>
    <row r="5" s="1" customFormat="1" ht="15.6" spans="2:8">
      <c r="B5" s="8" t="s">
        <v>10</v>
      </c>
      <c r="C5" s="9">
        <v>58</v>
      </c>
      <c r="E5" s="14">
        <v>10</v>
      </c>
      <c r="F5" s="14">
        <v>2938</v>
      </c>
      <c r="G5" s="15">
        <v>3860</v>
      </c>
      <c r="H5" s="14">
        <v>4654</v>
      </c>
    </row>
    <row r="6" s="1" customFormat="1" ht="15.6" spans="2:8">
      <c r="B6" s="8" t="s">
        <v>11</v>
      </c>
      <c r="C6" s="9">
        <v>15.8</v>
      </c>
      <c r="E6" s="14">
        <v>11</v>
      </c>
      <c r="F6" s="14">
        <v>3814</v>
      </c>
      <c r="G6" s="15">
        <v>4780</v>
      </c>
      <c r="H6" s="14">
        <v>5787</v>
      </c>
    </row>
    <row r="7" s="1" customFormat="1" ht="17.4" spans="2:8">
      <c r="B7" s="8" t="s">
        <v>12</v>
      </c>
      <c r="C7" s="9">
        <v>312622</v>
      </c>
      <c r="E7" s="14">
        <v>12</v>
      </c>
      <c r="F7" s="14">
        <v>5101</v>
      </c>
      <c r="G7" s="15">
        <v>6301</v>
      </c>
      <c r="H7" s="14">
        <v>7454</v>
      </c>
    </row>
    <row r="8" s="1" customFormat="1" ht="19.2" spans="2:8">
      <c r="B8" s="8" t="s">
        <v>13</v>
      </c>
      <c r="C8" s="9">
        <v>0.8098</v>
      </c>
      <c r="E8" s="14">
        <v>13</v>
      </c>
      <c r="F8" s="14">
        <v>6384</v>
      </c>
      <c r="G8" s="15">
        <v>7918</v>
      </c>
      <c r="H8" s="14">
        <v>9114</v>
      </c>
    </row>
    <row r="9" s="1" customFormat="1" ht="15.6" spans="2:8">
      <c r="B9" s="3" t="s">
        <v>14</v>
      </c>
      <c r="C9" s="4"/>
      <c r="E9" s="14">
        <v>14</v>
      </c>
      <c r="F9" s="14">
        <v>8077</v>
      </c>
      <c r="G9" s="15">
        <v>9801</v>
      </c>
      <c r="H9" s="14">
        <v>11305</v>
      </c>
    </row>
    <row r="10" s="1" customFormat="1" ht="19.2" spans="2:8">
      <c r="B10" s="8" t="s">
        <v>15</v>
      </c>
      <c r="C10" s="9">
        <v>19125</v>
      </c>
      <c r="E10" s="14">
        <v>15</v>
      </c>
      <c r="F10" s="14">
        <v>10039</v>
      </c>
      <c r="G10" s="15">
        <v>12054</v>
      </c>
      <c r="H10" s="14">
        <v>13843</v>
      </c>
    </row>
    <row r="11" s="1" customFormat="1" ht="15.6" spans="2:8">
      <c r="B11" s="8" t="s">
        <v>16</v>
      </c>
      <c r="C11" s="9">
        <v>68</v>
      </c>
      <c r="E11" s="14">
        <v>16</v>
      </c>
      <c r="F11" s="14">
        <v>12292</v>
      </c>
      <c r="G11" s="15">
        <v>14787</v>
      </c>
      <c r="H11" s="14">
        <v>16759</v>
      </c>
    </row>
    <row r="12" s="1" customFormat="1" ht="15.6" spans="2:8">
      <c r="B12" s="3" t="s">
        <v>17</v>
      </c>
      <c r="C12" s="4"/>
      <c r="E12" s="14">
        <v>17</v>
      </c>
      <c r="F12" s="14">
        <v>14854</v>
      </c>
      <c r="G12" s="15">
        <v>17921</v>
      </c>
      <c r="H12" s="14">
        <v>20074</v>
      </c>
    </row>
    <row r="13" s="1" customFormat="1" ht="19.2" spans="2:6">
      <c r="B13" s="8" t="s">
        <v>18</v>
      </c>
      <c r="C13" s="16">
        <v>0.97</v>
      </c>
      <c r="E13" s="17"/>
      <c r="F13" s="17"/>
    </row>
    <row r="14" s="1" customFormat="1" ht="19.2" spans="2:6">
      <c r="B14" s="8" t="s">
        <v>19</v>
      </c>
      <c r="C14" s="18">
        <v>1</v>
      </c>
      <c r="E14" s="17"/>
      <c r="F14" s="17"/>
    </row>
    <row r="15" s="1" customFormat="1" ht="19.2" spans="2:6">
      <c r="B15" s="8" t="s">
        <v>20</v>
      </c>
      <c r="C15" s="18">
        <v>5.8</v>
      </c>
      <c r="E15" s="17"/>
      <c r="F15" s="17"/>
    </row>
    <row r="16" s="1" customFormat="1" ht="19.2" spans="2:6">
      <c r="B16" s="8" t="s">
        <v>21</v>
      </c>
      <c r="C16" s="9">
        <f>C6-C15</f>
        <v>10</v>
      </c>
      <c r="E16" s="17"/>
      <c r="F16" s="17"/>
    </row>
    <row r="17" s="1" customFormat="1" ht="15.6" spans="2:6">
      <c r="B17" s="19" t="s">
        <v>22</v>
      </c>
      <c r="C17" s="20"/>
      <c r="E17" s="17"/>
      <c r="F17" s="17"/>
    </row>
    <row r="18" s="1" customFormat="1" ht="15.6" spans="2:6">
      <c r="B18" s="8" t="s">
        <v>23</v>
      </c>
      <c r="C18" s="21" t="s">
        <v>24</v>
      </c>
      <c r="E18" s="17"/>
      <c r="F18" s="17"/>
    </row>
    <row r="19" s="1" customFormat="1" ht="15.6" spans="2:6">
      <c r="B19" s="8" t="s">
        <v>25</v>
      </c>
      <c r="C19" s="22" t="s">
        <v>26</v>
      </c>
      <c r="E19" s="17"/>
      <c r="F19" s="17"/>
    </row>
    <row r="20" s="1" customFormat="1" ht="18.6" spans="2:6">
      <c r="B20" s="8" t="s">
        <v>27</v>
      </c>
      <c r="C20" s="22" t="s">
        <v>28</v>
      </c>
      <c r="E20" s="17"/>
      <c r="F20" s="17"/>
    </row>
    <row r="21" s="1" customFormat="1" ht="15.6" spans="2:6">
      <c r="B21" s="8" t="s">
        <v>29</v>
      </c>
      <c r="C21" s="9">
        <v>1.38</v>
      </c>
      <c r="E21" s="17"/>
      <c r="F21" s="17"/>
    </row>
    <row r="22" s="1" customFormat="1" ht="17.4" spans="2:6">
      <c r="B22" s="8" t="s">
        <v>30</v>
      </c>
      <c r="C22" s="9">
        <v>7.6</v>
      </c>
      <c r="E22" s="17"/>
      <c r="F22" s="17"/>
    </row>
    <row r="23" s="1" customFormat="1" ht="15.6" spans="2:6">
      <c r="B23" s="8" t="s">
        <v>31</v>
      </c>
      <c r="C23" s="9">
        <v>4</v>
      </c>
      <c r="E23" s="17"/>
      <c r="F23" s="17"/>
    </row>
    <row r="24" s="1" customFormat="1" ht="15.6" spans="2:6">
      <c r="B24" s="8" t="s">
        <v>32</v>
      </c>
      <c r="C24" s="9" t="s">
        <v>33</v>
      </c>
      <c r="E24" s="17"/>
      <c r="F24" s="17"/>
    </row>
    <row r="25" s="1" customFormat="1" ht="15.6" spans="2:6">
      <c r="B25" s="8" t="s">
        <v>34</v>
      </c>
      <c r="C25" s="9">
        <v>68</v>
      </c>
      <c r="E25" s="17"/>
      <c r="F25" s="17"/>
    </row>
    <row r="26" s="1" customFormat="1" ht="19.2" spans="2:6">
      <c r="B26" s="8" t="s">
        <v>35</v>
      </c>
      <c r="C26" s="9">
        <v>1.8</v>
      </c>
      <c r="E26" s="17"/>
      <c r="F26" s="17"/>
    </row>
    <row r="27" s="1" customFormat="1" ht="15.6" spans="2:6">
      <c r="B27" s="8" t="s">
        <v>36</v>
      </c>
      <c r="C27" s="9">
        <v>0.18</v>
      </c>
      <c r="E27" s="17"/>
      <c r="F27" s="17"/>
    </row>
    <row r="28" s="1" customFormat="1" ht="15.6" spans="2:6">
      <c r="B28" s="8" t="s">
        <v>37</v>
      </c>
      <c r="C28" s="9" t="s">
        <v>38</v>
      </c>
      <c r="E28" s="17"/>
      <c r="F28" s="17"/>
    </row>
    <row r="29" s="1" customFormat="1" ht="17.4" spans="2:6">
      <c r="B29" s="8" t="s">
        <v>39</v>
      </c>
      <c r="C29" s="9">
        <v>10</v>
      </c>
      <c r="E29" s="17"/>
      <c r="F29" s="17"/>
    </row>
    <row r="30" s="1" customFormat="1" ht="15.6" spans="2:6">
      <c r="B30" s="3" t="s">
        <v>40</v>
      </c>
      <c r="C30" s="4"/>
      <c r="E30" s="17"/>
      <c r="F30" s="17"/>
    </row>
    <row r="31" s="1" customFormat="1" ht="15.6" spans="2:6">
      <c r="B31" s="8" t="s">
        <v>41</v>
      </c>
      <c r="C31" s="9">
        <v>0.36</v>
      </c>
      <c r="E31" s="17"/>
      <c r="F31" s="17"/>
    </row>
    <row r="32" s="1" customFormat="1" ht="15.6" spans="2:6">
      <c r="B32" s="8" t="s">
        <v>42</v>
      </c>
      <c r="C32" s="9">
        <v>0.21</v>
      </c>
      <c r="E32" s="17"/>
      <c r="F32" s="17"/>
    </row>
    <row r="33" s="1" customFormat="1" ht="19.2" spans="2:6">
      <c r="B33" s="8" t="s">
        <v>19</v>
      </c>
      <c r="C33" s="9">
        <v>1</v>
      </c>
      <c r="E33" s="17"/>
      <c r="F33" s="17"/>
    </row>
    <row r="34" s="1" customFormat="1" ht="15" spans="2:25">
      <c r="B34" s="23" t="s">
        <v>43</v>
      </c>
      <c r="C34" s="23"/>
      <c r="J34" s="26"/>
      <c r="K34" s="26"/>
      <c r="L34" s="26"/>
      <c r="M34" s="26"/>
      <c r="N34" s="26"/>
      <c r="O34" s="26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="1" customFormat="1" ht="15.6" spans="2:3">
      <c r="B35" s="8" t="s">
        <v>44</v>
      </c>
      <c r="C35" s="9">
        <v>15</v>
      </c>
    </row>
    <row r="36" s="1" customFormat="1" ht="18" spans="2:3">
      <c r="B36" s="8" t="s">
        <v>45</v>
      </c>
      <c r="C36" s="9">
        <v>101234</v>
      </c>
    </row>
    <row r="37" s="1" customFormat="1" ht="18" spans="2:3">
      <c r="B37" s="8" t="s">
        <v>46</v>
      </c>
      <c r="C37" s="9">
        <v>1705.2</v>
      </c>
    </row>
    <row r="38" s="1" customFormat="1" ht="15.6" spans="2:3">
      <c r="B38" s="8" t="s">
        <v>47</v>
      </c>
      <c r="C38" s="9">
        <v>1025</v>
      </c>
    </row>
    <row r="39" s="1" customFormat="1" ht="15.6" spans="2:3">
      <c r="B39" s="8" t="s">
        <v>48</v>
      </c>
      <c r="C39" s="9">
        <v>9.8</v>
      </c>
    </row>
    <row r="40" s="1" customFormat="1" ht="13.8"/>
    <row r="41" s="1" customFormat="1" ht="15.6" spans="9:9">
      <c r="I41" s="28" t="s">
        <v>49</v>
      </c>
    </row>
    <row r="42" s="1" customFormat="1" ht="15.6" spans="5:25">
      <c r="E42" s="17"/>
      <c r="F42" s="17"/>
      <c r="I42" s="26"/>
      <c r="J42" s="29" t="s">
        <v>50</v>
      </c>
      <c r="K42" s="30"/>
      <c r="L42" s="29" t="s">
        <v>51</v>
      </c>
      <c r="M42" s="31"/>
      <c r="N42" s="31"/>
      <c r="O42" s="31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s="1" customFormat="1" ht="19.2" spans="2:25">
      <c r="B43" s="24"/>
      <c r="C43" s="25"/>
      <c r="I43" s="26"/>
      <c r="J43" s="32" t="s">
        <v>52</v>
      </c>
      <c r="K43" s="33"/>
      <c r="L43" s="34">
        <f>ps*0.97</f>
        <v>18551.25</v>
      </c>
      <c r="M43" s="35"/>
      <c r="N43" s="35"/>
      <c r="O43" s="36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s="1" customFormat="1" ht="19.2" spans="3:25">
      <c r="C44"/>
      <c r="I44" s="26"/>
      <c r="J44" s="32" t="s">
        <v>53</v>
      </c>
      <c r="K44" s="33"/>
      <c r="L44" s="37">
        <f>(1-t)/(1-omiga)</f>
        <v>1.234375</v>
      </c>
      <c r="M44" s="38"/>
      <c r="N44" s="38"/>
      <c r="O44" s="39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s="1" customFormat="1" ht="15.6" spans="9:25">
      <c r="I45" s="26"/>
      <c r="J45" s="40" t="s">
        <v>54</v>
      </c>
      <c r="K45" s="41"/>
      <c r="L45" s="42">
        <v>13</v>
      </c>
      <c r="M45" s="42">
        <v>14</v>
      </c>
      <c r="N45" s="42">
        <v>15</v>
      </c>
      <c r="O45" s="42">
        <v>16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s="1" customFormat="1" ht="19.2" spans="9:25">
      <c r="I46" s="26"/>
      <c r="J46" s="40" t="s">
        <v>55</v>
      </c>
      <c r="K46" s="41"/>
      <c r="L46" s="43">
        <f>(1-omiga)*L45</f>
        <v>8.32</v>
      </c>
      <c r="M46" s="43">
        <f>(1-omiga)*M45</f>
        <v>8.96</v>
      </c>
      <c r="N46" s="43">
        <f>(1-omiga)*N45</f>
        <v>9.6</v>
      </c>
      <c r="O46" s="43">
        <f>(1-omiga)*O45</f>
        <v>10.24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s="1" customFormat="1" ht="19.2" spans="9:25">
      <c r="I47" s="26"/>
      <c r="J47" s="44" t="s">
        <v>56</v>
      </c>
      <c r="K47" s="41"/>
      <c r="L47" s="45">
        <f>POWER(1.166*n*SQRT(pd)/POWER(L46,2.5),0.5)</f>
        <v>7.35432584776712</v>
      </c>
      <c r="M47" s="45">
        <f>POWER(1.166*n*SQRT(pd)/POWER(M46,2.5),0.5)</f>
        <v>6.70366053440194</v>
      </c>
      <c r="N47" s="45">
        <f>POWER(1.166*n*SQRT(pd)/POWER(N46,2.5),0.5)</f>
        <v>6.14975741461537</v>
      </c>
      <c r="O47" s="45">
        <f>POWER(1.166*n*SQRT(pd)/POWER(O46,2.5),0.5)</f>
        <v>5.67312144035205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s="1" customFormat="1" ht="15.6" spans="9:25">
      <c r="I48" s="26"/>
      <c r="J48" s="46" t="s">
        <v>57</v>
      </c>
      <c r="K48" s="44" t="s">
        <v>58</v>
      </c>
      <c r="L48" s="42">
        <v>82</v>
      </c>
      <c r="M48" s="42">
        <v>77</v>
      </c>
      <c r="N48" s="42">
        <v>72</v>
      </c>
      <c r="O48" s="42">
        <v>67</v>
      </c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s="1" customFormat="1" ht="15.6" spans="9:25">
      <c r="I49" s="26"/>
      <c r="J49" s="46"/>
      <c r="K49" s="47" t="s">
        <v>59</v>
      </c>
      <c r="L49" s="43">
        <v>0.6</v>
      </c>
      <c r="M49" s="43">
        <v>0.62</v>
      </c>
      <c r="N49" s="43">
        <v>0.643</v>
      </c>
      <c r="O49" s="43">
        <v>0.67</v>
      </c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s="1" customFormat="1" ht="19.2" spans="9:25">
      <c r="I50" s="26"/>
      <c r="J50" s="46"/>
      <c r="K50" s="48" t="s">
        <v>60</v>
      </c>
      <c r="L50" s="45">
        <v>0.525</v>
      </c>
      <c r="M50" s="45">
        <v>0.55</v>
      </c>
      <c r="N50" s="43">
        <v>0.575</v>
      </c>
      <c r="O50" s="45">
        <v>0.595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s="1" customFormat="1" ht="19.2" spans="9:25">
      <c r="I51" s="26"/>
      <c r="J51" s="46"/>
      <c r="K51" s="44" t="s">
        <v>61</v>
      </c>
      <c r="L51" s="49">
        <f>pd*etah*L50</f>
        <v>12022.0795898437</v>
      </c>
      <c r="M51" s="49">
        <f>pd*etah*M50</f>
        <v>12594.5595703125</v>
      </c>
      <c r="N51" s="49">
        <f>pd*etah*N50</f>
        <v>13167.0395507812</v>
      </c>
      <c r="O51" s="49">
        <f>pd*etah*O50</f>
        <v>13625.0235351562</v>
      </c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s="1" customFormat="1" ht="15.6" spans="9:25">
      <c r="I52" s="26"/>
      <c r="J52" s="50" t="s">
        <v>62</v>
      </c>
      <c r="K52" s="44" t="s">
        <v>58</v>
      </c>
      <c r="L52" s="42">
        <v>81</v>
      </c>
      <c r="M52" s="42">
        <v>76</v>
      </c>
      <c r="N52" s="42">
        <v>71</v>
      </c>
      <c r="O52" s="42">
        <v>66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s="1" customFormat="1" ht="15.6" spans="9:25">
      <c r="I53" s="26"/>
      <c r="J53" s="50"/>
      <c r="K53" s="47" t="s">
        <v>59</v>
      </c>
      <c r="L53" s="43">
        <v>0.66</v>
      </c>
      <c r="M53" s="43">
        <v>0.68</v>
      </c>
      <c r="N53" s="43">
        <v>0.703</v>
      </c>
      <c r="O53" s="43">
        <v>0.73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s="1" customFormat="1" ht="19.2" spans="9:25">
      <c r="I54" s="26"/>
      <c r="J54" s="50"/>
      <c r="K54" s="48" t="s">
        <v>60</v>
      </c>
      <c r="L54" s="45">
        <v>0.508</v>
      </c>
      <c r="M54" s="45">
        <v>0.535</v>
      </c>
      <c r="N54" s="45">
        <v>0.555</v>
      </c>
      <c r="O54" s="45">
        <v>0.58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s="1" customFormat="1" ht="19.2" spans="9:25">
      <c r="I55" s="26"/>
      <c r="J55" s="50"/>
      <c r="K55" s="44" t="s">
        <v>61</v>
      </c>
      <c r="L55" s="42">
        <f>pd*etah*L54</f>
        <v>11632.793203125</v>
      </c>
      <c r="M55" s="42">
        <f>pd*etah*M54</f>
        <v>12251.0715820313</v>
      </c>
      <c r="N55" s="42">
        <f>pd*etah*N54</f>
        <v>12709.0555664063</v>
      </c>
      <c r="O55" s="42">
        <f>pd*etah*O54</f>
        <v>13281.535546875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s="1" customFormat="1" ht="15.6" spans="9:25">
      <c r="I56" s="26"/>
      <c r="J56" s="46" t="s">
        <v>63</v>
      </c>
      <c r="K56" s="44" t="s">
        <v>58</v>
      </c>
      <c r="L56" s="42">
        <v>79</v>
      </c>
      <c r="M56" s="42">
        <v>74</v>
      </c>
      <c r="N56" s="42">
        <v>69</v>
      </c>
      <c r="O56" s="42">
        <v>64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s="1" customFormat="1" ht="15.6" spans="9:25">
      <c r="I57" s="26"/>
      <c r="J57" s="30"/>
      <c r="K57" s="47" t="s">
        <v>59</v>
      </c>
      <c r="L57" s="43">
        <v>0.68</v>
      </c>
      <c r="M57" s="43">
        <v>0.7</v>
      </c>
      <c r="N57" s="43">
        <v>0.723</v>
      </c>
      <c r="O57" s="43">
        <v>0.75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s="1" customFormat="1" ht="19.2" spans="9:25">
      <c r="I58" s="26"/>
      <c r="J58" s="30"/>
      <c r="K58" s="48" t="s">
        <v>60</v>
      </c>
      <c r="L58" s="45">
        <v>0.495</v>
      </c>
      <c r="M58" s="45">
        <v>0.517</v>
      </c>
      <c r="N58" s="45">
        <v>0.54</v>
      </c>
      <c r="O58" s="45">
        <v>0.56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s="1" customFormat="1" ht="19.2" spans="9:25">
      <c r="I59" s="26"/>
      <c r="J59" s="30"/>
      <c r="K59" s="44" t="s">
        <v>61</v>
      </c>
      <c r="L59" s="42">
        <f>pd*etah*L58</f>
        <v>11335.1036132812</v>
      </c>
      <c r="M59" s="42">
        <f>pd*etah*M58</f>
        <v>11838.8859960937</v>
      </c>
      <c r="N59" s="42">
        <f>pd*etah*N58</f>
        <v>12365.567578125</v>
      </c>
      <c r="O59" s="42">
        <f>pd*etah*O58</f>
        <v>12823.5515625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s="1" customFormat="1" ht="62.4" spans="9:25">
      <c r="I60" s="27"/>
      <c r="J60" s="27"/>
      <c r="K60" s="27"/>
      <c r="L60" s="27"/>
      <c r="M60" s="27"/>
      <c r="N60" s="27"/>
      <c r="O60" s="27"/>
      <c r="P60" s="51" t="s">
        <v>64</v>
      </c>
      <c r="Q60" s="27"/>
      <c r="R60" s="27"/>
      <c r="S60" s="27"/>
      <c r="T60" s="27"/>
      <c r="U60" s="27"/>
      <c r="V60" s="27"/>
      <c r="W60" s="27"/>
      <c r="X60" s="27"/>
      <c r="Y60" s="27"/>
    </row>
    <row r="61" s="1" customFormat="1" ht="15.6" spans="9:25">
      <c r="I61" s="27"/>
      <c r="J61" s="27"/>
      <c r="K61" s="27"/>
      <c r="L61" s="27"/>
      <c r="M61" s="27"/>
      <c r="N61" s="27"/>
      <c r="O61" s="27"/>
      <c r="P61" s="27"/>
      <c r="Q61" s="52" t="s">
        <v>65</v>
      </c>
      <c r="R61" s="53">
        <v>0.4</v>
      </c>
      <c r="S61" s="53">
        <v>0.55</v>
      </c>
      <c r="T61" s="53">
        <v>0.7</v>
      </c>
      <c r="U61" s="54"/>
      <c r="V61" s="54"/>
      <c r="W61" s="27"/>
      <c r="X61" s="27"/>
      <c r="Y61" s="27"/>
    </row>
    <row r="62" s="1" customFormat="1" ht="19.2" spans="9:25">
      <c r="I62" s="27"/>
      <c r="J62" s="27"/>
      <c r="K62" s="27"/>
      <c r="L62" s="27"/>
      <c r="M62" s="27"/>
      <c r="N62" s="27"/>
      <c r="O62" s="27"/>
      <c r="P62" s="27"/>
      <c r="Q62" s="55" t="s">
        <v>66</v>
      </c>
      <c r="R62" s="56">
        <v>15.51</v>
      </c>
      <c r="S62" s="56">
        <v>15.33</v>
      </c>
      <c r="T62" s="56">
        <v>15.16</v>
      </c>
      <c r="U62" s="54"/>
      <c r="V62" s="54"/>
      <c r="W62" s="27"/>
      <c r="X62" s="27"/>
      <c r="Y62" s="27"/>
    </row>
    <row r="63" s="1" customFormat="1" ht="19.2" spans="9:25">
      <c r="I63" s="27"/>
      <c r="J63" s="27"/>
      <c r="K63" s="27"/>
      <c r="L63" s="27"/>
      <c r="M63" s="27"/>
      <c r="N63" s="27"/>
      <c r="O63" s="27"/>
      <c r="P63" s="27"/>
      <c r="Q63" s="55" t="s">
        <v>67</v>
      </c>
      <c r="R63" s="56">
        <v>13398</v>
      </c>
      <c r="S63" s="56">
        <v>12930</v>
      </c>
      <c r="T63" s="56">
        <v>12507</v>
      </c>
      <c r="U63" s="54"/>
      <c r="V63" s="54"/>
      <c r="W63" s="27"/>
      <c r="X63" s="27"/>
      <c r="Y63" s="27"/>
    </row>
    <row r="64" s="1" customFormat="1" ht="15.6" spans="9:25">
      <c r="I64" s="27"/>
      <c r="J64" s="27"/>
      <c r="K64" s="27"/>
      <c r="L64" s="27"/>
      <c r="M64" s="27"/>
      <c r="N64" s="27"/>
      <c r="O64" s="27"/>
      <c r="P64" s="27"/>
      <c r="Q64" s="55" t="s">
        <v>58</v>
      </c>
      <c r="R64" s="56">
        <v>69.35</v>
      </c>
      <c r="S64" s="56">
        <v>69.24</v>
      </c>
      <c r="T64" s="56">
        <v>68.24</v>
      </c>
      <c r="U64" s="54"/>
      <c r="V64" s="54"/>
      <c r="W64" s="27"/>
      <c r="X64" s="27"/>
      <c r="Y64" s="27"/>
    </row>
    <row r="65" s="1" customFormat="1" ht="15.6" spans="9:25">
      <c r="I65" s="27"/>
      <c r="J65" s="27"/>
      <c r="K65" s="27"/>
      <c r="L65" s="27"/>
      <c r="M65" s="27"/>
      <c r="N65" s="27"/>
      <c r="O65" s="27"/>
      <c r="P65" s="27"/>
      <c r="Q65" s="55" t="s">
        <v>68</v>
      </c>
      <c r="R65" s="57">
        <f>R64*R62*(1-omiga)/n</f>
        <v>10.1234682352941</v>
      </c>
      <c r="S65" s="57">
        <f>S64*S62*(1-omiga)/n</f>
        <v>9.99011011764706</v>
      </c>
      <c r="T65" s="57">
        <f>T64*T62*(1-omiga)/n</f>
        <v>9.73664376470588</v>
      </c>
      <c r="U65" s="27"/>
      <c r="V65" s="27"/>
      <c r="W65" s="27"/>
      <c r="X65" s="27"/>
      <c r="Y65" s="27"/>
    </row>
    <row r="66" s="1" customFormat="1" ht="15.6" spans="9:25">
      <c r="I66" s="27"/>
      <c r="J66" s="27"/>
      <c r="K66" s="27"/>
      <c r="L66" s="27"/>
      <c r="M66" s="27"/>
      <c r="N66" s="27"/>
      <c r="O66" s="27"/>
      <c r="P66" s="27"/>
      <c r="Q66" s="55" t="s">
        <v>59</v>
      </c>
      <c r="R66" s="56">
        <v>0.657</v>
      </c>
      <c r="S66" s="56">
        <v>0.711</v>
      </c>
      <c r="T66" s="56">
        <v>0.726</v>
      </c>
      <c r="U66" s="27"/>
      <c r="V66" s="27"/>
      <c r="W66" s="27"/>
      <c r="X66" s="54"/>
      <c r="Y66" s="27"/>
    </row>
    <row r="67" s="1" customFormat="1" ht="19.2" spans="9:25">
      <c r="I67" s="27"/>
      <c r="J67" s="27"/>
      <c r="K67" s="27"/>
      <c r="L67" s="27"/>
      <c r="M67" s="27"/>
      <c r="N67" s="27"/>
      <c r="O67" s="27"/>
      <c r="P67" s="27"/>
      <c r="Q67" s="55" t="s">
        <v>69</v>
      </c>
      <c r="R67" s="56">
        <v>0.564</v>
      </c>
      <c r="S67" s="56">
        <v>0.535</v>
      </c>
      <c r="T67" s="56">
        <v>0.509</v>
      </c>
      <c r="U67" s="27"/>
      <c r="V67" s="27"/>
      <c r="W67" s="27"/>
      <c r="X67" s="54"/>
      <c r="Y67" s="27"/>
    </row>
    <row r="68" s="1" customFormat="1" ht="15.6" spans="9:25"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58" t="s">
        <v>70</v>
      </c>
      <c r="V68" s="27"/>
      <c r="W68" s="27"/>
      <c r="X68" s="54"/>
      <c r="Y68" s="27"/>
    </row>
    <row r="69" s="1" customFormat="1" ht="15.6" spans="9:25"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59" t="s">
        <v>71</v>
      </c>
      <c r="W69" s="59" t="s">
        <v>72</v>
      </c>
      <c r="X69" s="59"/>
      <c r="Y69" s="59"/>
    </row>
    <row r="70" s="1" customFormat="1" ht="15.6" spans="9:25"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59" t="s">
        <v>65</v>
      </c>
      <c r="W70" s="31">
        <v>0.4</v>
      </c>
      <c r="X70" s="31">
        <v>0.55</v>
      </c>
      <c r="Y70" s="31">
        <v>0.7</v>
      </c>
    </row>
    <row r="71" s="1" customFormat="1" ht="19.2" spans="9:25"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60" t="s">
        <v>66</v>
      </c>
      <c r="W71" s="16">
        <v>15.51</v>
      </c>
      <c r="X71" s="16">
        <v>15.33</v>
      </c>
      <c r="Y71" s="16">
        <v>15.16</v>
      </c>
    </row>
    <row r="72" s="1" customFormat="1" ht="19.2" spans="9:28"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48" t="s">
        <v>73</v>
      </c>
      <c r="W72" s="61">
        <f t="shared" ref="W72:Y72" si="0">0.5144*W71*0.64</f>
        <v>5.10614016</v>
      </c>
      <c r="X72" s="61">
        <f t="shared" si="0"/>
        <v>5.04688128</v>
      </c>
      <c r="Y72" s="61">
        <f t="shared" si="0"/>
        <v>4.99091456</v>
      </c>
      <c r="Z72"/>
      <c r="AA72"/>
      <c r="AB72"/>
    </row>
    <row r="73" s="1" customFormat="1" ht="19.2" spans="9:28"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48" t="s">
        <v>74</v>
      </c>
      <c r="W73" s="62">
        <f>POWER(0.7*PI()*n/60*R65,2)+W72*W72</f>
        <v>662.677306363449</v>
      </c>
      <c r="X73" s="62">
        <f>POWER(0.7*PI()*n/60*S65,2)+X72*X72</f>
        <v>645.413925210663</v>
      </c>
      <c r="Y73" s="62">
        <f>POWER(0.7*PI()*n/60*T65,2)+Y72*Y72</f>
        <v>613.7931696295</v>
      </c>
      <c r="Z73"/>
      <c r="AA73" s="68" t="s">
        <v>75</v>
      </c>
      <c r="AB73" s="68"/>
    </row>
    <row r="74" s="1" customFormat="1" ht="19.2" spans="9:28">
      <c r="I74" s="54"/>
      <c r="J74" s="54"/>
      <c r="K74" s="54"/>
      <c r="L74" s="54"/>
      <c r="M74" s="27"/>
      <c r="N74" s="27"/>
      <c r="O74" s="27"/>
      <c r="P74" s="27"/>
      <c r="Q74" s="27"/>
      <c r="R74" s="27"/>
      <c r="S74" s="27"/>
      <c r="T74" s="27"/>
      <c r="U74" s="27"/>
      <c r="V74" s="48" t="s">
        <v>76</v>
      </c>
      <c r="W74" s="63">
        <f>(p0+rho*g*hs-pniu)/(0.5*rho*W73)</f>
        <v>0.588827371691158</v>
      </c>
      <c r="X74" s="63">
        <f>(p0+rho*g*hs-pniu)/(0.5*rho*X73)</f>
        <v>0.604577188907109</v>
      </c>
      <c r="Y74" s="63">
        <f>(p0+rho*g*hs-pniu)/(0.5*rho*Y73)</f>
        <v>0.635723165216878</v>
      </c>
      <c r="AA74" s="69">
        <v>0.5</v>
      </c>
      <c r="AB74" s="69">
        <v>0.6</v>
      </c>
    </row>
    <row r="75" s="1" customFormat="1" ht="19.2" spans="9:28">
      <c r="I75" s="54"/>
      <c r="J75" s="54"/>
      <c r="K75" s="54"/>
      <c r="L75" s="54"/>
      <c r="M75" s="27"/>
      <c r="N75" s="27"/>
      <c r="O75" s="27"/>
      <c r="P75" s="27"/>
      <c r="Q75" s="27"/>
      <c r="R75" s="27"/>
      <c r="S75" s="27"/>
      <c r="T75" s="27"/>
      <c r="U75" s="27"/>
      <c r="V75" s="64" t="s">
        <v>77</v>
      </c>
      <c r="W75" s="65">
        <f>(W74-$AA$74)/($AB$74-$AA$74)*$AB$75+(W74-$AB$74)/($AA$74-$AB$74)*$AA$75</f>
        <v>0.197542021772055</v>
      </c>
      <c r="X75" s="65">
        <f>(X74-$AA$74)/($AB$74-$AA$74)*$AB$75+(X74-$AB$74)/($AA$74-$AB$74)*$AA$75</f>
        <v>0.201006981559564</v>
      </c>
      <c r="Y75" s="65">
        <f>(Y74-$AA$74)/($AB$74-$AA$74)*$AB$75+(Y74-$AB$74)/($AA$74-$AB$74)*$AA$75</f>
        <v>0.207859096347713</v>
      </c>
      <c r="AA75" s="69">
        <v>0.178</v>
      </c>
      <c r="AB75" s="69">
        <v>0.2</v>
      </c>
    </row>
    <row r="76" s="1" customFormat="1" ht="21.6" spans="9:25">
      <c r="I76" s="54"/>
      <c r="J76" s="54"/>
      <c r="K76" s="54"/>
      <c r="L76" s="54"/>
      <c r="M76" s="27"/>
      <c r="N76" s="27"/>
      <c r="O76" s="27"/>
      <c r="P76" s="27"/>
      <c r="Q76" s="27"/>
      <c r="R76" s="27"/>
      <c r="S76" s="27"/>
      <c r="T76" s="27"/>
      <c r="U76" s="27"/>
      <c r="V76" s="48" t="s">
        <v>78</v>
      </c>
      <c r="W76" s="66">
        <f>R63/etah/W72*1000</f>
        <v>2125690.95427398</v>
      </c>
      <c r="X76" s="66">
        <f>S63/etah/X72*1000</f>
        <v>2075526.6723573</v>
      </c>
      <c r="Y76" s="66">
        <f>T63/etah/Y72*1000</f>
        <v>2030139.57517176</v>
      </c>
    </row>
    <row r="77" s="1" customFormat="1" ht="19.2" spans="9:25">
      <c r="I77" s="54"/>
      <c r="J77" s="54"/>
      <c r="K77" s="54"/>
      <c r="L77" s="54"/>
      <c r="M77" s="27"/>
      <c r="N77" s="27"/>
      <c r="O77" s="27"/>
      <c r="P77" s="27"/>
      <c r="Q77" s="27"/>
      <c r="R77" s="27"/>
      <c r="S77" s="27"/>
      <c r="T77" s="27"/>
      <c r="U77" s="27"/>
      <c r="V77" s="48" t="s">
        <v>79</v>
      </c>
      <c r="W77" s="67">
        <f>W76/0.5/rho/W73/W75</f>
        <v>31.6843397916202</v>
      </c>
      <c r="X77" s="67">
        <f>X76/0.5/rho/X73/X75</f>
        <v>31.2165551649963</v>
      </c>
      <c r="Y77" s="67">
        <f>Y76/0.5/rho/Y73/Y75</f>
        <v>31.0485227266656</v>
      </c>
    </row>
    <row r="78" s="1" customFormat="1" ht="19.2" spans="9:25">
      <c r="I78" s="54"/>
      <c r="J78" s="54"/>
      <c r="K78" s="54"/>
      <c r="L78" s="54"/>
      <c r="M78" s="27"/>
      <c r="N78" s="27"/>
      <c r="O78" s="27"/>
      <c r="P78" s="27"/>
      <c r="Q78" s="27"/>
      <c r="R78" s="27"/>
      <c r="S78" s="27"/>
      <c r="T78" s="27"/>
      <c r="U78" s="27"/>
      <c r="V78" s="48" t="s">
        <v>80</v>
      </c>
      <c r="W78" s="67">
        <f>W77/(1.067-0.229*R66)</f>
        <v>34.5692471762171</v>
      </c>
      <c r="X78" s="67">
        <f>X77/(1.067-0.229*S66)</f>
        <v>34.5246749986964</v>
      </c>
      <c r="Y78" s="67">
        <f>Y77/(1.067-0.229*T66)</f>
        <v>34.4697869617691</v>
      </c>
    </row>
    <row r="79" s="1" customFormat="1" ht="19.2" spans="9:25">
      <c r="I79" s="54"/>
      <c r="J79" s="54"/>
      <c r="K79" s="54"/>
      <c r="L79" s="54"/>
      <c r="M79" s="27"/>
      <c r="N79" s="27"/>
      <c r="O79" s="27"/>
      <c r="P79" s="27"/>
      <c r="Q79" s="27"/>
      <c r="R79" s="27"/>
      <c r="S79" s="27"/>
      <c r="T79" s="27"/>
      <c r="U79" s="27"/>
      <c r="V79" s="48" t="s">
        <v>81</v>
      </c>
      <c r="W79" s="67">
        <f>W78/(PI()*R65*R65/4)</f>
        <v>0.429478464310753</v>
      </c>
      <c r="X79" s="67">
        <f>X78/(PI()*S65*S65/4)</f>
        <v>0.440452588826128</v>
      </c>
      <c r="Y79" s="67">
        <f>Y78/(PI()*T65*T65/4)</f>
        <v>0.462945808602336</v>
      </c>
    </row>
    <row r="80" s="1" customFormat="1" spans="9:25">
      <c r="I80"/>
      <c r="J80"/>
      <c r="K80"/>
      <c r="L80"/>
      <c r="V80"/>
      <c r="W80"/>
      <c r="X80"/>
      <c r="Y80"/>
    </row>
    <row r="81" s="1" customFormat="1" spans="9:12">
      <c r="I81"/>
      <c r="J81"/>
      <c r="K81"/>
      <c r="L81"/>
    </row>
    <row r="82" s="1" customFormat="1" spans="9:12">
      <c r="I82"/>
      <c r="J82"/>
      <c r="K82"/>
      <c r="L82"/>
    </row>
    <row r="83" s="1" customFormat="1" spans="9:12">
      <c r="I83"/>
      <c r="J83"/>
      <c r="K83"/>
      <c r="L83"/>
    </row>
    <row r="84" s="1" customFormat="1" spans="9:12">
      <c r="I84"/>
      <c r="J84"/>
      <c r="K84"/>
      <c r="L84"/>
    </row>
    <row r="85" s="1" customFormat="1" spans="9:12">
      <c r="I85"/>
      <c r="J85"/>
      <c r="K85"/>
      <c r="L85"/>
    </row>
    <row r="86" s="1" customFormat="1" spans="9:12">
      <c r="I86"/>
      <c r="J86"/>
      <c r="K86"/>
      <c r="L86"/>
    </row>
    <row r="87" s="1" customFormat="1" ht="13.8"/>
    <row r="88" s="1" customFormat="1" ht="13.8"/>
    <row r="89" s="1" customFormat="1" ht="13.8"/>
    <row r="90" s="1" customFormat="1" spans="15:19">
      <c r="O90"/>
      <c r="P90"/>
      <c r="Q90"/>
      <c r="R90"/>
      <c r="S90"/>
    </row>
    <row r="91" s="1" customFormat="1" spans="15:19">
      <c r="O91"/>
      <c r="P91"/>
      <c r="Q91"/>
      <c r="R91"/>
      <c r="S91"/>
    </row>
    <row r="92" s="1" customFormat="1" spans="15:19">
      <c r="O92"/>
      <c r="P92"/>
      <c r="Q92"/>
      <c r="R92"/>
      <c r="S92"/>
    </row>
    <row r="93" s="1" customFormat="1" spans="15:19">
      <c r="O93"/>
      <c r="P93"/>
      <c r="Q93"/>
      <c r="R93"/>
      <c r="S93"/>
    </row>
    <row r="94" s="1" customFormat="1" spans="15:19">
      <c r="O94"/>
      <c r="P94"/>
      <c r="Q94"/>
      <c r="R94"/>
      <c r="S94"/>
    </row>
    <row r="95" s="1" customFormat="1" spans="15:19">
      <c r="O95"/>
      <c r="P95"/>
      <c r="Q95"/>
      <c r="R95"/>
      <c r="S95"/>
    </row>
    <row r="96" s="1" customFormat="1" spans="15:19">
      <c r="O96"/>
      <c r="P96"/>
      <c r="Q96"/>
      <c r="R96"/>
      <c r="S96"/>
    </row>
    <row r="97" s="1" customFormat="1" spans="15:19">
      <c r="O97"/>
      <c r="P97"/>
      <c r="Q97"/>
      <c r="R97"/>
      <c r="S97"/>
    </row>
    <row r="98" s="1" customFormat="1" spans="15:19">
      <c r="O98"/>
      <c r="P98"/>
      <c r="Q98"/>
      <c r="R98"/>
      <c r="S98"/>
    </row>
    <row r="99" s="1" customFormat="1" spans="15:19">
      <c r="O99"/>
      <c r="P99"/>
      <c r="Q99"/>
      <c r="R99"/>
      <c r="S99"/>
    </row>
    <row r="100" s="1" customFormat="1" spans="15:19">
      <c r="O100"/>
      <c r="P100"/>
      <c r="Q100"/>
      <c r="R100"/>
      <c r="S100"/>
    </row>
    <row r="101" s="1" customFormat="1" spans="15:19">
      <c r="O101"/>
      <c r="P101"/>
      <c r="Q101"/>
      <c r="R101"/>
      <c r="S101"/>
    </row>
    <row r="102" s="1" customFormat="1" spans="15:19">
      <c r="O102"/>
      <c r="P102"/>
      <c r="Q102"/>
      <c r="R102"/>
      <c r="S102"/>
    </row>
    <row r="103" s="1" customFormat="1" spans="15:21">
      <c r="O103"/>
      <c r="P103"/>
      <c r="Q103"/>
      <c r="R103"/>
      <c r="S103"/>
      <c r="U103" s="17"/>
    </row>
    <row r="104" s="1" customFormat="1" spans="15:19">
      <c r="O104"/>
      <c r="P104"/>
      <c r="Q104"/>
      <c r="R104"/>
      <c r="S104"/>
    </row>
    <row r="105" s="1" customFormat="1" ht="13.8"/>
    <row r="106" s="1" customFormat="1" ht="13.8"/>
    <row r="107" s="1" customFormat="1" ht="13.8"/>
    <row r="108" s="1" customFormat="1" ht="13.8"/>
    <row r="109" s="1" customFormat="1" spans="37:37">
      <c r="AK109" s="70" t="s">
        <v>82</v>
      </c>
    </row>
    <row r="110" s="1" customFormat="1" ht="19.2" spans="38:43">
      <c r="AL110" s="71" t="s">
        <v>83</v>
      </c>
      <c r="AM110" s="72" t="s">
        <v>67</v>
      </c>
      <c r="AN110" s="72" t="s">
        <v>68</v>
      </c>
      <c r="AO110" s="72" t="s">
        <v>59</v>
      </c>
      <c r="AP110" s="72" t="s">
        <v>69</v>
      </c>
      <c r="AQ110" s="72" t="s">
        <v>84</v>
      </c>
    </row>
    <row r="111" s="1" customFormat="1" ht="15.6" spans="38:43">
      <c r="AL111" s="73">
        <v>0.43</v>
      </c>
      <c r="AM111" s="56">
        <v>13300</v>
      </c>
      <c r="AN111" s="74">
        <v>10.1</v>
      </c>
      <c r="AO111" s="56">
        <v>0.67</v>
      </c>
      <c r="AP111" s="56">
        <v>0.558</v>
      </c>
      <c r="AQ111" s="56">
        <v>15.47</v>
      </c>
    </row>
    <row r="112" s="1" customFormat="1" spans="37:44">
      <c r="AK112"/>
      <c r="AL112"/>
      <c r="AR112" s="17"/>
    </row>
    <row r="113" s="1" customFormat="1" spans="25:38">
      <c r="Y113"/>
      <c r="Z113"/>
      <c r="AA113"/>
      <c r="AB113"/>
      <c r="AC113"/>
      <c r="AD113"/>
      <c r="AE113"/>
      <c r="AF113"/>
      <c r="AK113"/>
      <c r="AL113"/>
    </row>
    <row r="114" s="1" customFormat="1" spans="25:49">
      <c r="Y114"/>
      <c r="Z114"/>
      <c r="AA114"/>
      <c r="AB114"/>
      <c r="AC114"/>
      <c r="AD114"/>
      <c r="AE114"/>
      <c r="AF114"/>
      <c r="AK114"/>
      <c r="AL114"/>
      <c r="AT114" s="75" t="s">
        <v>85</v>
      </c>
      <c r="AU114" s="76"/>
      <c r="AV114" s="76"/>
      <c r="AW114" s="76"/>
    </row>
    <row r="115" s="1" customFormat="1" ht="15.6" spans="25:49">
      <c r="Y115"/>
      <c r="Z115"/>
      <c r="AA115"/>
      <c r="AB115"/>
      <c r="AC115"/>
      <c r="AD115"/>
      <c r="AE115"/>
      <c r="AF115"/>
      <c r="AT115" s="76"/>
      <c r="AU115" s="77" t="s">
        <v>86</v>
      </c>
      <c r="AV115" s="78" t="s">
        <v>87</v>
      </c>
      <c r="AW115" s="79"/>
    </row>
    <row r="116" s="1" customFormat="1" ht="15.6" spans="25:49">
      <c r="Y116"/>
      <c r="Z116"/>
      <c r="AA116"/>
      <c r="AB116"/>
      <c r="AC116"/>
      <c r="AD116"/>
      <c r="AE116"/>
      <c r="AF116"/>
      <c r="AT116" s="76"/>
      <c r="AU116" s="77" t="s">
        <v>88</v>
      </c>
      <c r="AV116" s="79" t="s">
        <v>89</v>
      </c>
      <c r="AW116" s="79" t="s">
        <v>90</v>
      </c>
    </row>
    <row r="117" s="1" customFormat="1" ht="18" spans="25:55">
      <c r="Y117"/>
      <c r="Z117"/>
      <c r="AA117"/>
      <c r="AB117"/>
      <c r="AC117"/>
      <c r="AD117"/>
      <c r="AE117"/>
      <c r="AF117"/>
      <c r="AP117" s="1" t="s">
        <v>91</v>
      </c>
      <c r="AT117" s="76"/>
      <c r="AU117" s="80" t="s">
        <v>92</v>
      </c>
      <c r="AV117" s="81">
        <f>0.0035*D*1000</f>
        <v>35.35</v>
      </c>
      <c r="AW117" s="86"/>
      <c r="BB117" s="87" t="s">
        <v>93</v>
      </c>
      <c r="BC117" s="88" t="s">
        <v>94</v>
      </c>
    </row>
    <row r="118" s="1" customFormat="1" ht="19.2" spans="25:55">
      <c r="Y118"/>
      <c r="Z118"/>
      <c r="AA118"/>
      <c r="AB118"/>
      <c r="AC118"/>
      <c r="AD118"/>
      <c r="AE118"/>
      <c r="AF118"/>
      <c r="AT118" s="76"/>
      <c r="AU118" s="80" t="s">
        <v>95</v>
      </c>
      <c r="AV118" s="82">
        <f>0.226*D*panmianbi/0.1/z</f>
        <v>2.453795</v>
      </c>
      <c r="AW118" s="89"/>
      <c r="BB118" s="90">
        <v>1</v>
      </c>
      <c r="BC118" s="90">
        <f>AV117</f>
        <v>35.35</v>
      </c>
    </row>
    <row r="119" s="1" customFormat="1" ht="15.6" spans="25:55">
      <c r="Y119"/>
      <c r="Z119"/>
      <c r="AA119"/>
      <c r="AB119"/>
      <c r="AC119"/>
      <c r="AD119"/>
      <c r="AE119"/>
      <c r="AF119"/>
      <c r="AT119" s="76"/>
      <c r="AU119" s="80" t="s">
        <v>96</v>
      </c>
      <c r="AV119" s="83">
        <f>0.7212*$AV$118</f>
        <v>1.769676954</v>
      </c>
      <c r="AW119" s="83">
        <f>0.9911*$AV$118</f>
        <v>2.4319562245</v>
      </c>
      <c r="BB119" s="90">
        <v>0.25</v>
      </c>
      <c r="BC119" s="90">
        <f>AV135</f>
        <v>407.03</v>
      </c>
    </row>
    <row r="120" s="1" customFormat="1" ht="15.6" spans="25:49">
      <c r="Y120"/>
      <c r="Z120"/>
      <c r="AA120"/>
      <c r="AB120"/>
      <c r="AC120"/>
      <c r="AD120"/>
      <c r="AE120"/>
      <c r="AF120"/>
      <c r="AT120" s="76"/>
      <c r="AU120" s="80" t="s">
        <v>97</v>
      </c>
      <c r="AV120" s="84">
        <v>634</v>
      </c>
      <c r="AW120" s="84">
        <v>207</v>
      </c>
    </row>
    <row r="121" s="1" customFormat="1" ht="15.6" spans="25:49">
      <c r="Y121"/>
      <c r="Z121"/>
      <c r="AA121"/>
      <c r="AB121"/>
      <c r="AC121"/>
      <c r="AD121"/>
      <c r="AE121"/>
      <c r="AF121"/>
      <c r="AT121" s="76"/>
      <c r="AU121" s="80" t="s">
        <v>98</v>
      </c>
      <c r="AV121" s="84">
        <v>250</v>
      </c>
      <c r="AW121" s="84">
        <v>151</v>
      </c>
    </row>
    <row r="122" s="1" customFormat="1" ht="15.6" spans="25:49">
      <c r="Y122"/>
      <c r="Z122"/>
      <c r="AA122"/>
      <c r="AB122"/>
      <c r="AC122"/>
      <c r="AD122"/>
      <c r="AE122"/>
      <c r="AF122"/>
      <c r="AT122" s="76"/>
      <c r="AU122" s="80" t="s">
        <v>99</v>
      </c>
      <c r="AV122" s="84">
        <v>1410</v>
      </c>
      <c r="AW122" s="84">
        <v>635</v>
      </c>
    </row>
    <row r="123" s="1" customFormat="1" ht="15.6" spans="25:49">
      <c r="Y123"/>
      <c r="Z123"/>
      <c r="AA123"/>
      <c r="AB123"/>
      <c r="AC123"/>
      <c r="AD123"/>
      <c r="AE123"/>
      <c r="AF123"/>
      <c r="AT123" s="76"/>
      <c r="AU123" s="80" t="s">
        <v>100</v>
      </c>
      <c r="AV123" s="84">
        <v>4</v>
      </c>
      <c r="AW123" s="84">
        <v>34</v>
      </c>
    </row>
    <row r="124" s="1" customFormat="1" ht="19.2" spans="25:49">
      <c r="Y124"/>
      <c r="Z124"/>
      <c r="AA124"/>
      <c r="AB124"/>
      <c r="AC124"/>
      <c r="AD124"/>
      <c r="AE124"/>
      <c r="AF124"/>
      <c r="AT124" s="76"/>
      <c r="AU124" s="85" t="s">
        <v>101</v>
      </c>
      <c r="AV124" s="84">
        <f>1/luojubi*(AV120-AV121/luojubi)+AV122/luojubi-AV123</f>
        <v>2489.82936065939</v>
      </c>
      <c r="AW124" s="84">
        <f>1/luojubi*(AW120-AW121/luojubi)+AW122/luojubi-AW123</f>
        <v>886.338605480062</v>
      </c>
    </row>
    <row r="125" s="1" customFormat="1" ht="19.2" spans="25:73">
      <c r="Y125"/>
      <c r="Z125"/>
      <c r="AA125"/>
      <c r="AB125"/>
      <c r="AC125"/>
      <c r="AD125"/>
      <c r="AE125"/>
      <c r="AF125"/>
      <c r="AT125" s="76"/>
      <c r="AU125" s="80" t="s">
        <v>102</v>
      </c>
      <c r="AV125" s="84">
        <f>1.36*AV124*pe/z/AV119/n</f>
        <v>93561.5125176397</v>
      </c>
      <c r="AW125" s="84">
        <f>1.36*AW124*pe/z/AW119/n</f>
        <v>24236.2574912475</v>
      </c>
      <c r="BI125"/>
      <c r="BJ125"/>
      <c r="BK125"/>
      <c r="BL125"/>
      <c r="BM125"/>
      <c r="BN125"/>
      <c r="BO125"/>
      <c r="BP125"/>
      <c r="BQ125"/>
      <c r="BR125"/>
      <c r="BS125"/>
      <c r="BT125"/>
      <c r="BU125"/>
    </row>
    <row r="126" s="1" customFormat="1" ht="15.6" spans="25:73">
      <c r="Y126"/>
      <c r="Z126"/>
      <c r="AA126"/>
      <c r="AB126"/>
      <c r="AC126"/>
      <c r="AD126"/>
      <c r="AE126"/>
      <c r="AF126"/>
      <c r="AT126" s="76"/>
      <c r="AU126" s="80" t="s">
        <v>103</v>
      </c>
      <c r="AV126" s="84">
        <v>82</v>
      </c>
      <c r="AW126" s="84">
        <v>23</v>
      </c>
      <c r="BI126"/>
      <c r="BJ126"/>
      <c r="BK126"/>
      <c r="BL126"/>
      <c r="BM126"/>
      <c r="BN126"/>
      <c r="BO126"/>
      <c r="BP126"/>
      <c r="BQ126"/>
      <c r="BR126"/>
      <c r="BS126"/>
      <c r="BT126"/>
      <c r="BU126"/>
    </row>
    <row r="127" s="1" customFormat="1" ht="15.6" spans="25:73">
      <c r="Y127"/>
      <c r="Z127"/>
      <c r="AA127"/>
      <c r="AB127"/>
      <c r="AC127"/>
      <c r="AD127"/>
      <c r="AE127"/>
      <c r="AF127"/>
      <c r="AT127" s="76"/>
      <c r="AU127" s="80" t="s">
        <v>104</v>
      </c>
      <c r="AV127" s="84">
        <v>34</v>
      </c>
      <c r="AW127" s="84">
        <v>12</v>
      </c>
      <c r="BI127"/>
      <c r="BJ127"/>
      <c r="BK127"/>
      <c r="BL127"/>
      <c r="BM127"/>
      <c r="BN127"/>
      <c r="BO127"/>
      <c r="BP127"/>
      <c r="BQ127"/>
      <c r="BR127"/>
      <c r="BS127"/>
      <c r="BT127"/>
      <c r="BU127"/>
    </row>
    <row r="128" s="1" customFormat="1" ht="15.6" spans="25:73"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T128" s="76"/>
      <c r="AU128" s="80" t="s">
        <v>105</v>
      </c>
      <c r="AV128" s="84">
        <v>41</v>
      </c>
      <c r="AW128" s="84">
        <v>65</v>
      </c>
      <c r="BI128"/>
      <c r="BJ128"/>
      <c r="BK128"/>
      <c r="BL128"/>
      <c r="BM128"/>
      <c r="BN128"/>
      <c r="BO128"/>
      <c r="BP128"/>
      <c r="BQ128"/>
      <c r="BR128"/>
      <c r="BS128"/>
      <c r="BT128"/>
      <c r="BU128"/>
    </row>
    <row r="129" s="1" customFormat="1" ht="15.6" spans="25:73">
      <c r="Y129"/>
      <c r="Z129"/>
      <c r="AA129"/>
      <c r="AB129"/>
      <c r="AC129"/>
      <c r="AD129"/>
      <c r="AE129"/>
      <c r="AF129"/>
      <c r="AG129"/>
      <c r="AH129"/>
      <c r="AI129"/>
      <c r="AJ129"/>
      <c r="AT129" s="76"/>
      <c r="AU129" s="80" t="s">
        <v>106</v>
      </c>
      <c r="AV129" s="84">
        <v>380</v>
      </c>
      <c r="AW129" s="84">
        <v>330</v>
      </c>
      <c r="BI129"/>
      <c r="BJ129"/>
      <c r="BK129"/>
      <c r="BL129"/>
      <c r="BM129"/>
      <c r="BN129"/>
      <c r="BO129"/>
      <c r="BP129"/>
      <c r="BQ129"/>
      <c r="BR129"/>
      <c r="BS129"/>
      <c r="BT129"/>
      <c r="BU129"/>
    </row>
    <row r="130" s="1" customFormat="1" ht="17.4" spans="31:73">
      <c r="AE130"/>
      <c r="AF130"/>
      <c r="AG130"/>
      <c r="AH130"/>
      <c r="AI130"/>
      <c r="AJ130"/>
      <c r="AT130" s="76"/>
      <c r="AU130" s="80" t="s">
        <v>107</v>
      </c>
      <c r="AV130" s="91">
        <f>1/luojubi*(AV126+AV127*epsilon)+AV128*epsilon+AV129</f>
        <v>1419.85074626866</v>
      </c>
      <c r="AW130" s="91">
        <f>1/luojubi*(AW126+AW127*epsilon)+AW128*epsilon+AW129</f>
        <v>1193.4328358209</v>
      </c>
      <c r="BI130"/>
      <c r="BJ130"/>
      <c r="BK130"/>
      <c r="BL130"/>
      <c r="BM130"/>
      <c r="BN130"/>
      <c r="BO130"/>
      <c r="BP130"/>
      <c r="BQ130"/>
      <c r="BR130"/>
      <c r="BS130"/>
      <c r="BT130"/>
      <c r="BU130"/>
    </row>
    <row r="131" s="1" customFormat="1" ht="19.2" spans="31:73">
      <c r="AE131"/>
      <c r="AF131"/>
      <c r="AG131"/>
      <c r="AH131"/>
      <c r="AI131"/>
      <c r="AJ131"/>
      <c r="AT131" s="76"/>
      <c r="AU131" s="85" t="s">
        <v>108</v>
      </c>
      <c r="AV131" s="92">
        <f>AV130*G_material*panmianbi*n*n*D*D*D/10000000000/z/AV119</f>
        <v>0.312286134584392</v>
      </c>
      <c r="AW131" s="92">
        <f>AW130*G_material*panmianbi*n*n*D*D*D/10000000000/z/AW119</f>
        <v>0.191005658237751</v>
      </c>
      <c r="BI131"/>
      <c r="BJ131"/>
      <c r="BK131"/>
      <c r="BL131"/>
      <c r="BM131"/>
      <c r="BN131"/>
      <c r="BO131"/>
      <c r="BP131"/>
      <c r="BQ131"/>
      <c r="BR131"/>
      <c r="BS131"/>
      <c r="BT131"/>
      <c r="BU131"/>
    </row>
    <row r="132" s="1" customFormat="1" ht="16.8" spans="31:73">
      <c r="AE132"/>
      <c r="AF132"/>
      <c r="AG132"/>
      <c r="AH132"/>
      <c r="AI132"/>
      <c r="AJ132"/>
      <c r="AT132" s="76"/>
      <c r="AU132" s="80" t="s">
        <v>109</v>
      </c>
      <c r="AV132" s="91">
        <f>POWER(AV125/(K-AV131),0.5)</f>
        <v>296.020082777566</v>
      </c>
      <c r="AW132" s="91">
        <f>POWER(AW125/(K-AW131),0.5)</f>
        <v>142.771947957098</v>
      </c>
      <c r="BI132"/>
      <c r="BJ132"/>
      <c r="BK132"/>
      <c r="BL132"/>
      <c r="BM132"/>
      <c r="BN132"/>
      <c r="BO132"/>
      <c r="BP132"/>
      <c r="BQ132"/>
      <c r="BR132"/>
      <c r="BS132"/>
      <c r="BT132"/>
      <c r="BU132"/>
    </row>
    <row r="133" s="1" customFormat="1" ht="15.6" spans="31:73">
      <c r="AE133"/>
      <c r="AF133"/>
      <c r="AG133"/>
      <c r="AH133"/>
      <c r="AI133"/>
      <c r="AJ133"/>
      <c r="AT133" s="76"/>
      <c r="AU133" s="93" t="s">
        <v>110</v>
      </c>
      <c r="AV133" s="84">
        <f>407.03</f>
        <v>407.03</v>
      </c>
      <c r="AW133" s="84">
        <f>220.18</f>
        <v>220.18</v>
      </c>
      <c r="BI133"/>
      <c r="BJ133"/>
      <c r="BK133"/>
      <c r="BL133"/>
      <c r="BM133"/>
      <c r="BN133"/>
      <c r="BO133"/>
      <c r="BP133"/>
      <c r="BQ133"/>
      <c r="BR133"/>
      <c r="BS133"/>
      <c r="BT133"/>
      <c r="BU133"/>
    </row>
    <row r="134" s="1" customFormat="1" ht="15.6" spans="31:73">
      <c r="AE134"/>
      <c r="AF134"/>
      <c r="AG134"/>
      <c r="AH134"/>
      <c r="AI134"/>
      <c r="AJ134"/>
      <c r="AT134" s="76"/>
      <c r="AU134" s="93" t="s">
        <v>111</v>
      </c>
      <c r="AV134" s="94" t="s">
        <v>112</v>
      </c>
      <c r="AW134" s="84" t="s">
        <v>113</v>
      </c>
      <c r="BI134"/>
      <c r="BJ134"/>
      <c r="BK134"/>
      <c r="BL134"/>
      <c r="BM134"/>
      <c r="BN134"/>
      <c r="BO134"/>
      <c r="BP134"/>
      <c r="BQ134"/>
      <c r="BR134"/>
      <c r="BS134"/>
      <c r="BT134"/>
      <c r="BU134"/>
    </row>
    <row r="135" s="1" customFormat="1" ht="15" customHeight="1" spans="31:73">
      <c r="AE135"/>
      <c r="AF135"/>
      <c r="AG135"/>
      <c r="AH135"/>
      <c r="AI135"/>
      <c r="AJ135"/>
      <c r="AU135" s="93" t="s">
        <v>114</v>
      </c>
      <c r="AV135" s="84">
        <f>AV133</f>
        <v>407.03</v>
      </c>
      <c r="AW135" s="95">
        <f>AW133</f>
        <v>220.18</v>
      </c>
      <c r="AY135" s="96"/>
      <c r="AZ135" s="96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</row>
    <row r="136" s="1" customFormat="1" spans="31:73">
      <c r="AE136"/>
      <c r="AF136"/>
      <c r="AG136"/>
      <c r="AH136"/>
      <c r="AI136"/>
      <c r="AJ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</row>
    <row r="137" s="1" customFormat="1" spans="31:73">
      <c r="AE137"/>
      <c r="AF137"/>
      <c r="AG137"/>
      <c r="AH137"/>
      <c r="AI137"/>
      <c r="AJ137"/>
      <c r="AY137" s="97" t="s">
        <v>93</v>
      </c>
      <c r="AZ137" s="98" t="s">
        <v>115</v>
      </c>
      <c r="BI137"/>
      <c r="BJ137"/>
      <c r="BK137"/>
      <c r="BL137"/>
      <c r="BM137"/>
      <c r="BN137"/>
      <c r="BO137"/>
      <c r="BP137"/>
      <c r="BQ137"/>
      <c r="BR137"/>
      <c r="BS137"/>
      <c r="BT137"/>
      <c r="BU137"/>
    </row>
    <row r="138" s="1" customFormat="1" spans="31:73">
      <c r="AE138"/>
      <c r="AF138"/>
      <c r="AG138"/>
      <c r="AH138"/>
      <c r="AI138"/>
      <c r="AJ138"/>
      <c r="AX138" s="17"/>
      <c r="AY138" s="99">
        <v>0.2</v>
      </c>
      <c r="AZ138" s="100">
        <f>-495.57*AY138+530.92</f>
        <v>431.806</v>
      </c>
      <c r="BI138"/>
      <c r="BJ138"/>
      <c r="BK138"/>
      <c r="BL138"/>
      <c r="BM138"/>
      <c r="BN138"/>
      <c r="BO138"/>
      <c r="BP138"/>
      <c r="BQ138"/>
      <c r="BR138"/>
      <c r="BS138"/>
      <c r="BT138"/>
      <c r="BU138"/>
    </row>
    <row r="139" s="1" customFormat="1" spans="50:73">
      <c r="AX139" s="17"/>
      <c r="AY139" s="99">
        <v>0.3</v>
      </c>
      <c r="AZ139" s="100">
        <f t="shared" ref="AZ139:AZ146" si="1">-495.57*AY139+530.92</f>
        <v>382.249</v>
      </c>
      <c r="BI139"/>
      <c r="BJ139"/>
      <c r="BK139"/>
      <c r="BL139"/>
      <c r="BM139"/>
      <c r="BN139"/>
      <c r="BO139"/>
      <c r="BP139"/>
      <c r="BQ139"/>
      <c r="BR139"/>
      <c r="BS139"/>
      <c r="BT139"/>
      <c r="BU139"/>
    </row>
    <row r="140" s="1" customFormat="1" spans="50:73">
      <c r="AX140" s="17"/>
      <c r="AY140" s="99">
        <v>0.4</v>
      </c>
      <c r="AZ140" s="100">
        <f t="shared" si="1"/>
        <v>332.692</v>
      </c>
      <c r="BI140"/>
      <c r="BJ140"/>
      <c r="BK140"/>
      <c r="BL140"/>
      <c r="BM140"/>
      <c r="BN140"/>
      <c r="BO140"/>
      <c r="BP140"/>
      <c r="BQ140"/>
      <c r="BR140"/>
      <c r="BS140"/>
      <c r="BT140"/>
      <c r="BU140"/>
    </row>
    <row r="141" s="1" customFormat="1" spans="50:73">
      <c r="AX141" s="17"/>
      <c r="AY141" s="99">
        <v>0.5</v>
      </c>
      <c r="AZ141" s="100">
        <f t="shared" si="1"/>
        <v>283.135</v>
      </c>
      <c r="BO141"/>
      <c r="BP141"/>
      <c r="BQ141"/>
      <c r="BR141"/>
      <c r="BS141"/>
      <c r="BT141"/>
      <c r="BU141"/>
    </row>
    <row r="142" s="1" customFormat="1" spans="50:73">
      <c r="AX142" s="17"/>
      <c r="AY142" s="99">
        <v>0.6</v>
      </c>
      <c r="AZ142" s="100">
        <f t="shared" si="1"/>
        <v>233.578</v>
      </c>
      <c r="BO142"/>
      <c r="BP142"/>
      <c r="BQ142"/>
      <c r="BR142"/>
      <c r="BS142"/>
      <c r="BT142"/>
      <c r="BU142"/>
    </row>
    <row r="143" s="1" customFormat="1" spans="50:73">
      <c r="AX143" s="17"/>
      <c r="AY143" s="99">
        <v>0.7</v>
      </c>
      <c r="AZ143" s="100">
        <f t="shared" si="1"/>
        <v>184.021</v>
      </c>
      <c r="BO143"/>
      <c r="BP143"/>
      <c r="BQ143"/>
      <c r="BR143"/>
      <c r="BS143"/>
      <c r="BT143"/>
      <c r="BU143"/>
    </row>
    <row r="144" s="1" customFormat="1" spans="50:52">
      <c r="AX144" s="17"/>
      <c r="AY144" s="99">
        <v>0.8</v>
      </c>
      <c r="AZ144" s="100">
        <f t="shared" si="1"/>
        <v>134.464</v>
      </c>
    </row>
    <row r="145" s="1" customFormat="1" spans="50:52">
      <c r="AX145" s="17"/>
      <c r="AY145" s="99">
        <v>0.9</v>
      </c>
      <c r="AZ145" s="100">
        <f t="shared" si="1"/>
        <v>84.907</v>
      </c>
    </row>
    <row r="146" s="1" customFormat="1" spans="50:61">
      <c r="AX146" s="17"/>
      <c r="AY146" s="99">
        <v>1</v>
      </c>
      <c r="AZ146" s="100">
        <f t="shared" si="1"/>
        <v>35.35</v>
      </c>
      <c r="BH146" s="101"/>
      <c r="BI146" s="101"/>
    </row>
    <row r="147" s="1" customFormat="1" spans="59:59">
      <c r="BG147" s="70" t="s">
        <v>116</v>
      </c>
    </row>
    <row r="148" s="1" customFormat="1" spans="60:61">
      <c r="BH148" s="102" t="s">
        <v>117</v>
      </c>
      <c r="BI148" s="102"/>
    </row>
    <row r="149" s="1" customFormat="1" spans="60:61">
      <c r="BH149" s="103" t="s">
        <v>118</v>
      </c>
      <c r="BI149" s="104">
        <f>0.1*(dh/D-0.18)</f>
        <v>-0.000178217821782176</v>
      </c>
    </row>
    <row r="150" s="1" customFormat="1" ht="17.4" spans="60:61">
      <c r="BH150" s="105" t="s">
        <v>119</v>
      </c>
      <c r="BI150" s="106">
        <f>luojubi+BI149</f>
        <v>0.669821782178218</v>
      </c>
    </row>
    <row r="151" s="1" customFormat="1" spans="60:61">
      <c r="BH151" s="102" t="s">
        <v>120</v>
      </c>
      <c r="BI151" s="102"/>
    </row>
    <row r="152" s="1" customFormat="1" spans="60:61">
      <c r="BH152" s="107" t="s">
        <v>121</v>
      </c>
      <c r="BI152" s="108">
        <f>30.866*(1-omiga)*V/n/(luojubi*D)</f>
        <v>0.664118457218856</v>
      </c>
    </row>
    <row r="153" s="1" customFormat="1" ht="18" spans="60:61">
      <c r="BH153" s="109" t="s">
        <v>122</v>
      </c>
      <c r="BI153" s="108">
        <f>AZ143*0.001/0.9964/AV118</f>
        <v>0.0752654028265865</v>
      </c>
    </row>
    <row r="154" s="1" customFormat="1" ht="18" spans="60:61">
      <c r="BH154" s="109" t="s">
        <v>123</v>
      </c>
      <c r="BI154" s="108">
        <f>0.0171*D/0.9964/0.294/D</f>
        <v>0.0583734095806127</v>
      </c>
    </row>
    <row r="155" s="1" customFormat="1" ht="31.8" spans="60:62">
      <c r="BH155" s="110" t="s">
        <v>124</v>
      </c>
      <c r="BI155" s="111">
        <f>0.75*(BI153-BI154*0.67/0.755)</f>
        <v>0.0175978755447639</v>
      </c>
      <c r="BJ155" s="24"/>
    </row>
    <row r="156" s="1" customFormat="1" ht="18" spans="54:61">
      <c r="BB156" s="101"/>
      <c r="BC156" s="101"/>
      <c r="BH156" s="109" t="s">
        <v>125</v>
      </c>
      <c r="BI156" s="111">
        <f>-2*BI150*BI152*BI155</f>
        <v>-0.0156565134128109</v>
      </c>
    </row>
    <row r="157" s="1" customFormat="1" ht="18" spans="54:61">
      <c r="BB157" s="101"/>
      <c r="BC157" s="101"/>
      <c r="BH157" s="105" t="s">
        <v>126</v>
      </c>
      <c r="BI157" s="112">
        <f>BI156+BI150</f>
        <v>0.654165268765407</v>
      </c>
    </row>
    <row r="158" s="1" customFormat="1" ht="13.8" spans="54:55">
      <c r="BB158" s="101"/>
      <c r="BC158" s="101"/>
    </row>
    <row r="159" s="1" customFormat="1" spans="62:62">
      <c r="BJ159" s="70" t="s">
        <v>127</v>
      </c>
    </row>
    <row r="160" s="1" customFormat="1" ht="13.8" spans="63:70">
      <c r="BK160" s="97" t="s">
        <v>128</v>
      </c>
      <c r="BL160" s="97" t="s">
        <v>129</v>
      </c>
      <c r="BM160" s="97" t="s">
        <v>130</v>
      </c>
      <c r="BN160" s="97" t="s">
        <v>131</v>
      </c>
      <c r="BO160" s="97" t="s">
        <v>132</v>
      </c>
      <c r="BP160" s="97" t="s">
        <v>133</v>
      </c>
      <c r="BQ160" s="97" t="s">
        <v>134</v>
      </c>
      <c r="BR160" s="97" t="s">
        <v>135</v>
      </c>
    </row>
    <row r="161" s="1" customFormat="1" ht="18" spans="63:70">
      <c r="BK161" s="97" t="s">
        <v>93</v>
      </c>
      <c r="BL161" s="113" t="s">
        <v>136</v>
      </c>
      <c r="BM161" s="113" t="s">
        <v>137</v>
      </c>
      <c r="BN161" s="113" t="s">
        <v>138</v>
      </c>
      <c r="BO161" s="113" t="s">
        <v>139</v>
      </c>
      <c r="BP161" s="97" t="s">
        <v>140</v>
      </c>
      <c r="BQ161" s="97" t="s">
        <v>141</v>
      </c>
      <c r="BR161" s="97" t="s">
        <v>142</v>
      </c>
    </row>
    <row r="162" s="1" customFormat="1" ht="13.8" spans="63:70">
      <c r="BK162" s="99">
        <v>0.2</v>
      </c>
      <c r="BL162" s="114">
        <v>0.674</v>
      </c>
      <c r="BM162" s="119">
        <f>AZ138/1000*AV118*0.6654</f>
        <v>0.705033488868558</v>
      </c>
      <c r="BN162" s="119">
        <f>BL162*BM162</f>
        <v>0.475192571497408</v>
      </c>
      <c r="BO162" s="114">
        <v>1</v>
      </c>
      <c r="BP162" s="119">
        <f t="shared" ref="BP162:BP170" si="2">BN162*BO162</f>
        <v>0.475192571497408</v>
      </c>
      <c r="BQ162" s="119">
        <f>BP162*BK162/2*D</f>
        <v>0.479944497212382</v>
      </c>
      <c r="BR162" s="114">
        <f>BP162*POWER(BK162*0.5*D,2)</f>
        <v>0.484743942184506</v>
      </c>
    </row>
    <row r="163" s="1" customFormat="1" ht="13.8" spans="63:70">
      <c r="BK163" s="99">
        <v>0.3</v>
      </c>
      <c r="BL163" s="114">
        <v>0.674</v>
      </c>
      <c r="BM163" s="119">
        <f>AZ139/1000*2.454*0.777</f>
        <v>0.728856338742</v>
      </c>
      <c r="BN163" s="119">
        <f t="shared" ref="BN162:BN170" si="3">BL163*BM163</f>
        <v>0.491249172312108</v>
      </c>
      <c r="BO163" s="114">
        <v>4</v>
      </c>
      <c r="BP163" s="119">
        <f t="shared" si="2"/>
        <v>1.96499668924843</v>
      </c>
      <c r="BQ163" s="119">
        <f>BP163*BK163/2*D</f>
        <v>2.97696998421137</v>
      </c>
      <c r="BR163" s="114">
        <f>BP163*POWER(BK163*0.5*D,2)</f>
        <v>4.51010952608023</v>
      </c>
    </row>
    <row r="164" s="1" customFormat="1" ht="13.8" spans="63:70">
      <c r="BK164" s="99">
        <v>0.4</v>
      </c>
      <c r="BL164" s="114">
        <v>0.674</v>
      </c>
      <c r="BM164" s="119">
        <f>AZ140/1000*2.454*0.8708</f>
        <v>0.7109439070944</v>
      </c>
      <c r="BN164" s="119">
        <f t="shared" si="3"/>
        <v>0.479176193381626</v>
      </c>
      <c r="BO164" s="114">
        <v>2</v>
      </c>
      <c r="BP164" s="119">
        <f t="shared" si="2"/>
        <v>0.958352386763251</v>
      </c>
      <c r="BQ164" s="119">
        <f>BP164*BK164/2*D</f>
        <v>1.93587182126177</v>
      </c>
      <c r="BR164" s="114">
        <f>BP164*POWER(BK164*0.5*D,2)</f>
        <v>3.91046107894877</v>
      </c>
    </row>
    <row r="165" s="1" customFormat="1" ht="13.8" spans="63:70">
      <c r="BK165" s="99">
        <v>0.5</v>
      </c>
      <c r="BL165" s="114">
        <v>0.6745</v>
      </c>
      <c r="BM165" s="119">
        <f>AZ141/1000*0.454*0.9434</f>
        <v>0.121267739786</v>
      </c>
      <c r="BN165" s="119">
        <f t="shared" si="3"/>
        <v>0.081795090485657</v>
      </c>
      <c r="BO165" s="114">
        <v>4</v>
      </c>
      <c r="BP165" s="119">
        <f t="shared" si="2"/>
        <v>0.327180361942628</v>
      </c>
      <c r="BQ165" s="119">
        <f>BP165*BK165/2*D</f>
        <v>0.826130413905136</v>
      </c>
      <c r="BR165" s="114">
        <f>BP165*POWER(BK165*0.5*D,2)</f>
        <v>2.08597929511047</v>
      </c>
    </row>
    <row r="166" s="1" customFormat="1" ht="13.8" spans="63:70">
      <c r="BK166" s="99">
        <v>0.6</v>
      </c>
      <c r="BL166" s="114">
        <v>0.6745</v>
      </c>
      <c r="BM166" s="119">
        <f>AZ142/1000*2.454*0.9911</f>
        <v>0.5680989283332</v>
      </c>
      <c r="BN166" s="119">
        <f t="shared" si="3"/>
        <v>0.383182727160743</v>
      </c>
      <c r="BO166" s="114">
        <v>2</v>
      </c>
      <c r="BP166" s="119">
        <f t="shared" si="2"/>
        <v>0.766365454321487</v>
      </c>
      <c r="BQ166" s="119">
        <f>BP166*BK166/2*D</f>
        <v>2.32208732659411</v>
      </c>
      <c r="BR166" s="114">
        <f>BP166*POWER(BK166*0.5*D,2)</f>
        <v>7.03592459958014</v>
      </c>
    </row>
    <row r="167" s="1" customFormat="1" ht="13.8" spans="63:70">
      <c r="BK167" s="99">
        <v>0.7</v>
      </c>
      <c r="BL167" s="114">
        <v>0.677</v>
      </c>
      <c r="BM167" s="119">
        <f>AZ143/1000*2.454*0.9964</f>
        <v>0.4499618188776</v>
      </c>
      <c r="BN167" s="119">
        <f t="shared" si="3"/>
        <v>0.304624151380135</v>
      </c>
      <c r="BO167" s="114">
        <v>4</v>
      </c>
      <c r="BP167" s="119">
        <f t="shared" si="2"/>
        <v>1.21849660552054</v>
      </c>
      <c r="BQ167" s="119">
        <f>BP167*BK167/2*D</f>
        <v>4.30738550051511</v>
      </c>
      <c r="BR167" s="114">
        <f>BP167*POWER(BK167*0.5*D,2)</f>
        <v>15.2266077443209</v>
      </c>
    </row>
    <row r="168" s="1" customFormat="1" ht="13.8" spans="63:70">
      <c r="BK168" s="99">
        <v>0.8</v>
      </c>
      <c r="BL168" s="114">
        <v>0.683</v>
      </c>
      <c r="BM168" s="119">
        <f>AZ144/1000*2.454*0.9292</f>
        <v>0.3066124503552</v>
      </c>
      <c r="BN168" s="119">
        <f t="shared" si="3"/>
        <v>0.209416303592602</v>
      </c>
      <c r="BO168" s="114">
        <v>2</v>
      </c>
      <c r="BP168" s="119">
        <f t="shared" si="2"/>
        <v>0.418832607185203</v>
      </c>
      <c r="BQ168" s="119">
        <f>BP168*BK168/2*D</f>
        <v>1.69208373302822</v>
      </c>
      <c r="BR168" s="114">
        <f>BP168*POWER(BK168*0.5*D,2)</f>
        <v>6.83601828143401</v>
      </c>
    </row>
    <row r="169" s="1" customFormat="1" ht="13.8" spans="63:70">
      <c r="BK169" s="99">
        <v>0.9</v>
      </c>
      <c r="BL169" s="114">
        <v>0.695</v>
      </c>
      <c r="BM169" s="119">
        <f>AZ145/1000*2.454*0.7362</f>
        <v>0.1533959409636</v>
      </c>
      <c r="BN169" s="119">
        <f t="shared" si="3"/>
        <v>0.106610178969702</v>
      </c>
      <c r="BO169" s="114">
        <v>4</v>
      </c>
      <c r="BP169" s="119">
        <f t="shared" si="2"/>
        <v>0.426440715878808</v>
      </c>
      <c r="BQ169" s="119">
        <f>BP169*BK169/2*D</f>
        <v>1.93817305366918</v>
      </c>
      <c r="BR169" s="114">
        <f>BP169*POWER(BK169*0.5*D,2)</f>
        <v>8.80899652892643</v>
      </c>
    </row>
    <row r="170" s="1" customFormat="1" ht="13.8" spans="63:70">
      <c r="BK170" s="99">
        <v>1</v>
      </c>
      <c r="BL170" s="114">
        <v>0.7</v>
      </c>
      <c r="BM170" s="119">
        <f>AZ146/1000*2.454*0.5562</f>
        <v>0.04824973818</v>
      </c>
      <c r="BN170" s="119">
        <f t="shared" si="3"/>
        <v>0.033774816726</v>
      </c>
      <c r="BO170" s="114">
        <v>1</v>
      </c>
      <c r="BP170" s="119">
        <f t="shared" si="2"/>
        <v>0.033774816726</v>
      </c>
      <c r="BQ170" s="119">
        <f>BP170*BK170/2*D</f>
        <v>0.1705628244663</v>
      </c>
      <c r="BR170" s="114">
        <f>BP170*POWER(BK170*0.5*D,2)</f>
        <v>0.861342263554814</v>
      </c>
    </row>
    <row r="171" s="1" customFormat="1" spans="63:70">
      <c r="BK171" s="105" t="s">
        <v>143</v>
      </c>
      <c r="BL171" s="105"/>
      <c r="BM171" s="105"/>
      <c r="BN171" s="105"/>
      <c r="BO171" s="105"/>
      <c r="BP171" s="106">
        <f>SUM(BP162:BP170)</f>
        <v>6.58963220908376</v>
      </c>
      <c r="BQ171" s="106">
        <f>SUM(BQ162:BQ170)</f>
        <v>16.6492091548636</v>
      </c>
      <c r="BR171" s="90">
        <f>SUM(BR162:BR170)</f>
        <v>49.7601832601403</v>
      </c>
    </row>
    <row r="172" s="1" customFormat="1" ht="18" spans="63:70">
      <c r="BK172" s="115" t="s">
        <v>144</v>
      </c>
      <c r="BL172" s="116"/>
      <c r="BM172" s="116"/>
      <c r="BN172" s="116"/>
      <c r="BO172" s="120"/>
      <c r="BP172" s="121">
        <f>0.045+0.12*POWER((pd/n),1/3)</f>
        <v>0.823280234669754</v>
      </c>
      <c r="BQ172" s="122"/>
      <c r="BR172" s="123"/>
    </row>
    <row r="173" s="1" customFormat="1" spans="63:70">
      <c r="BK173" s="117" t="s">
        <v>145</v>
      </c>
      <c r="BL173" s="116"/>
      <c r="BM173" s="116"/>
      <c r="BN173" s="116"/>
      <c r="BO173" s="120"/>
      <c r="BP173" s="124">
        <f>(D/2/30*BP171+0.166*0.02*0.5*D)*G_material*1000</f>
        <v>8557.75773948782</v>
      </c>
      <c r="BQ173" s="125"/>
      <c r="BR173" s="126"/>
    </row>
    <row r="174" s="1" customFormat="1" spans="63:79">
      <c r="BK174" s="117" t="s">
        <v>146</v>
      </c>
      <c r="BL174" s="116"/>
      <c r="BM174" s="116"/>
      <c r="BN174" s="116"/>
      <c r="BO174" s="120"/>
      <c r="BP174" s="127">
        <f>4*BP173</f>
        <v>34231.0309579513</v>
      </c>
      <c r="BQ174" s="128"/>
      <c r="BR174" s="129"/>
      <c r="BT174" s="130"/>
      <c r="BU174" s="130"/>
      <c r="BV174" s="130"/>
      <c r="BW174" s="130"/>
      <c r="BX174" s="130"/>
      <c r="BY174" s="130"/>
      <c r="BZ174" s="130"/>
      <c r="CA174" s="130"/>
    </row>
    <row r="175" s="1" customFormat="1" ht="18" spans="63:70">
      <c r="BK175" s="117" t="s">
        <v>147</v>
      </c>
      <c r="BL175" s="118"/>
      <c r="BM175" s="118"/>
      <c r="BN175" s="118"/>
      <c r="BO175" s="131"/>
      <c r="BP175" s="127">
        <f>(0.88-0.6*BP172/dh)*POWER(dh,3)*G_material*1000</f>
        <v>26840.9445008952</v>
      </c>
      <c r="BQ175" s="128"/>
      <c r="BR175" s="129"/>
    </row>
    <row r="176" s="1" customFormat="1" spans="63:70">
      <c r="BK176" s="117" t="s">
        <v>148</v>
      </c>
      <c r="BL176" s="116"/>
      <c r="BM176" s="116"/>
      <c r="BN176" s="116"/>
      <c r="BO176" s="120"/>
      <c r="BP176" s="127">
        <f>BP175+BP174</f>
        <v>61071.9754588465</v>
      </c>
      <c r="BQ176" s="128"/>
      <c r="BR176" s="129"/>
    </row>
    <row r="177" s="1" customFormat="1" ht="17.4" spans="63:71">
      <c r="BK177" s="117" t="s">
        <v>149</v>
      </c>
      <c r="BL177" s="116"/>
      <c r="BM177" s="116"/>
      <c r="BN177" s="116"/>
      <c r="BO177" s="120"/>
      <c r="BP177" s="127">
        <f>0.0948*G_material*z*2.454*(0.5*AZ138+AZ142)*POWER(D,3)</f>
        <v>3275155.60975492</v>
      </c>
      <c r="BQ177" s="128"/>
      <c r="BR177" s="129"/>
      <c r="BS177" s="132"/>
    </row>
    <row r="178" s="1" customFormat="1" spans="68:79">
      <c r="BP178" s="17"/>
      <c r="BQ178" s="17"/>
      <c r="BR178" s="17"/>
      <c r="BT178"/>
      <c r="BU178"/>
      <c r="BV178"/>
      <c r="BW178"/>
      <c r="BX178"/>
      <c r="BY178"/>
      <c r="BZ178"/>
      <c r="CA178"/>
    </row>
    <row r="179" s="1" customFormat="1" ht="13.8" spans="68:70">
      <c r="BP179" s="17"/>
      <c r="BQ179" s="17"/>
      <c r="BR179" s="17"/>
    </row>
    <row r="180" s="1" customFormat="1" spans="68:80">
      <c r="BP180" s="17"/>
      <c r="BQ180" s="17"/>
      <c r="BR180" s="17"/>
      <c r="BS180"/>
      <c r="BT180"/>
      <c r="BU180"/>
      <c r="BV180"/>
      <c r="BW180"/>
      <c r="BX180"/>
      <c r="BY180"/>
      <c r="BZ180"/>
      <c r="CA180"/>
      <c r="CB180"/>
    </row>
    <row r="181" s="1" customFormat="1" spans="68:82">
      <c r="BP181" s="17"/>
      <c r="BQ181" s="17"/>
      <c r="BR181" s="17"/>
      <c r="BS181"/>
      <c r="BT181"/>
      <c r="BU181"/>
      <c r="BV181"/>
      <c r="BW181"/>
      <c r="BX181"/>
      <c r="BY181"/>
      <c r="BZ181"/>
      <c r="CA181"/>
      <c r="CB181"/>
      <c r="CC181" s="17"/>
      <c r="CD181" s="17"/>
    </row>
    <row r="182" s="1" customFormat="1" spans="68:80">
      <c r="BP182" s="17"/>
      <c r="BQ182" s="17"/>
      <c r="BR182" s="17"/>
      <c r="BS182"/>
      <c r="BT182"/>
      <c r="BU182"/>
      <c r="BV182"/>
      <c r="BW182"/>
      <c r="BX182"/>
      <c r="BY182"/>
      <c r="BZ182"/>
      <c r="CA182"/>
      <c r="CB182"/>
    </row>
    <row r="183" s="1" customFormat="1" spans="68:80">
      <c r="BP183" s="17"/>
      <c r="BQ183" s="17"/>
      <c r="BR183" s="17"/>
      <c r="BS183"/>
      <c r="BT183"/>
      <c r="BU183"/>
      <c r="BV183"/>
      <c r="BW183"/>
      <c r="BX183"/>
      <c r="BZ183"/>
      <c r="CA183"/>
      <c r="CB183"/>
    </row>
    <row r="184" s="1" customFormat="1" spans="68:80">
      <c r="BP184" s="17"/>
      <c r="BQ184" s="17"/>
      <c r="BR184" s="17"/>
      <c r="BS184" s="133" t="s">
        <v>150</v>
      </c>
      <c r="BT184"/>
      <c r="BU184"/>
      <c r="BV184"/>
      <c r="BW184"/>
      <c r="BX184"/>
      <c r="BY184"/>
      <c r="BZ184"/>
      <c r="CA184"/>
      <c r="CB184"/>
    </row>
    <row r="185" s="1" customFormat="1" ht="20.4" spans="71:90">
      <c r="BS185"/>
      <c r="BT185" s="134" t="s">
        <v>151</v>
      </c>
      <c r="BU185" s="134"/>
      <c r="BV185" s="134"/>
      <c r="BW185" s="134"/>
      <c r="BX185" s="134"/>
      <c r="BY185" s="134"/>
      <c r="BZ185" s="134"/>
      <c r="CA185" s="134"/>
      <c r="CB185" s="134"/>
      <c r="CD185" s="137" t="s">
        <v>152</v>
      </c>
      <c r="CE185" s="137"/>
      <c r="CF185" s="138"/>
      <c r="CG185" s="138"/>
      <c r="CH185"/>
      <c r="CI185"/>
      <c r="CJ185"/>
      <c r="CK185"/>
      <c r="CL185"/>
    </row>
    <row r="186" s="1" customFormat="1" spans="71:80">
      <c r="BS186"/>
      <c r="BT186" s="134" t="s">
        <v>153</v>
      </c>
      <c r="BU186" s="135">
        <v>0</v>
      </c>
      <c r="BV186" s="135">
        <v>0.1</v>
      </c>
      <c r="BW186" s="135">
        <v>0.2</v>
      </c>
      <c r="BX186" s="135">
        <v>0.3</v>
      </c>
      <c r="BY186" s="135">
        <v>0.4</v>
      </c>
      <c r="BZ186" s="135">
        <v>0.5</v>
      </c>
      <c r="CA186" s="135">
        <v>0.6</v>
      </c>
      <c r="CB186" s="135">
        <v>0.7</v>
      </c>
    </row>
    <row r="187" s="1" customFormat="1" ht="18" spans="68:80">
      <c r="BP187" s="17"/>
      <c r="BQ187" s="17"/>
      <c r="BS187"/>
      <c r="BT187" s="134" t="s">
        <v>154</v>
      </c>
      <c r="BU187" s="136">
        <v>0.27245</v>
      </c>
      <c r="BV187" s="136">
        <v>0.24444</v>
      </c>
      <c r="BW187" s="136">
        <v>0.2253</v>
      </c>
      <c r="BX187" s="136">
        <v>0.1939</v>
      </c>
      <c r="BY187" s="136">
        <v>0.15977</v>
      </c>
      <c r="BZ187" s="136">
        <v>0.11882</v>
      </c>
      <c r="CA187" s="136">
        <v>0.07447</v>
      </c>
      <c r="CB187" s="136">
        <v>0.03081</v>
      </c>
    </row>
    <row r="188" s="1" customFormat="1" ht="18" spans="68:80">
      <c r="BP188" s="17"/>
      <c r="BQ188" s="17"/>
      <c r="BS188"/>
      <c r="BT188" s="134" t="s">
        <v>155</v>
      </c>
      <c r="BU188" s="136">
        <v>0.27422</v>
      </c>
      <c r="BV188" s="136">
        <v>0.25908</v>
      </c>
      <c r="BW188" s="136">
        <v>0.23647</v>
      </c>
      <c r="BX188" s="136">
        <v>0.21658</v>
      </c>
      <c r="BY188" s="136">
        <v>0.18921</v>
      </c>
      <c r="BZ188" s="136">
        <v>0.15774</v>
      </c>
      <c r="CA188" s="136">
        <v>0.1188</v>
      </c>
      <c r="CB188" s="136">
        <v>0.07374</v>
      </c>
    </row>
    <row r="189" s="1" customFormat="1" ht="18" spans="68:80">
      <c r="BP189" s="17"/>
      <c r="BQ189" s="17"/>
      <c r="BS189"/>
      <c r="BT189" s="134" t="s">
        <v>156</v>
      </c>
      <c r="BU189" s="136">
        <v>0</v>
      </c>
      <c r="BV189" s="136">
        <v>0.16744</v>
      </c>
      <c r="BW189" s="136">
        <v>0.31076</v>
      </c>
      <c r="BX189" s="136">
        <v>0.43373</v>
      </c>
      <c r="BY189" s="136">
        <v>0.54218</v>
      </c>
      <c r="BZ189" s="136">
        <v>0.62677</v>
      </c>
      <c r="CA189" s="136">
        <v>0.65025</v>
      </c>
      <c r="CB189" s="136">
        <v>0.50515</v>
      </c>
    </row>
    <row r="190" s="1" customFormat="1" spans="48:80">
      <c r="AV190" s="17"/>
      <c r="BP190" s="17"/>
      <c r="BQ190" s="17"/>
      <c r="BS190"/>
      <c r="BT190" s="134" t="s">
        <v>157</v>
      </c>
      <c r="BU190" s="134"/>
      <c r="BV190" s="134"/>
      <c r="BW190" s="134"/>
      <c r="BX190" s="134"/>
      <c r="BY190" s="134"/>
      <c r="BZ190" s="134"/>
      <c r="CA190" s="134"/>
      <c r="CB190" s="134"/>
    </row>
    <row r="191" s="1" customFormat="1" spans="68:80">
      <c r="BP191" s="17"/>
      <c r="BQ191" s="17"/>
      <c r="BS191"/>
      <c r="BT191" s="134" t="s">
        <v>153</v>
      </c>
      <c r="BU191" s="135">
        <v>0</v>
      </c>
      <c r="BV191" s="135">
        <v>0.1</v>
      </c>
      <c r="BW191" s="135">
        <v>0.2</v>
      </c>
      <c r="BX191" s="135">
        <v>0.3</v>
      </c>
      <c r="BY191" s="135">
        <v>0.4</v>
      </c>
      <c r="BZ191" s="135">
        <v>0.5</v>
      </c>
      <c r="CA191" s="135">
        <v>0.6</v>
      </c>
      <c r="CB191" s="135">
        <v>0.7</v>
      </c>
    </row>
    <row r="192" s="1" customFormat="1" ht="18" spans="68:80">
      <c r="BP192" s="17"/>
      <c r="BQ192" s="17"/>
      <c r="BS192"/>
      <c r="BT192" s="134" t="s">
        <v>154</v>
      </c>
      <c r="BU192" s="136">
        <v>0.29018</v>
      </c>
      <c r="BV192" s="136">
        <v>0.26237</v>
      </c>
      <c r="BW192" s="136">
        <v>0.23167</v>
      </c>
      <c r="BX192" s="136">
        <v>0.19411</v>
      </c>
      <c r="BY192" s="136">
        <v>0.15545</v>
      </c>
      <c r="BZ192" s="136">
        <v>0.1087</v>
      </c>
      <c r="CA192" s="136">
        <v>0.06771</v>
      </c>
      <c r="CB192" s="136">
        <v>0.01237</v>
      </c>
    </row>
    <row r="193" s="1" customFormat="1" ht="18" spans="68:80">
      <c r="BP193" s="17"/>
      <c r="BQ193" s="17"/>
      <c r="BS193"/>
      <c r="BT193" s="134" t="s">
        <v>155</v>
      </c>
      <c r="BU193" s="136">
        <v>0.29992</v>
      </c>
      <c r="BV193" s="136">
        <v>0.27781</v>
      </c>
      <c r="BW193" s="136">
        <v>0.25226</v>
      </c>
      <c r="BX193" s="136">
        <v>0.22276</v>
      </c>
      <c r="BY193" s="136">
        <v>0.18805</v>
      </c>
      <c r="BZ193" s="136">
        <v>0.15047</v>
      </c>
      <c r="CA193" s="136">
        <v>0.10832</v>
      </c>
      <c r="CB193" s="136">
        <v>0.06046</v>
      </c>
    </row>
    <row r="194" s="1" customFormat="1" ht="18" spans="68:80">
      <c r="BP194" s="17"/>
      <c r="BQ194" s="17"/>
      <c r="BS194"/>
      <c r="BT194" s="134" t="s">
        <v>156</v>
      </c>
      <c r="BU194" s="136">
        <v>0</v>
      </c>
      <c r="BV194" s="136">
        <v>0.15852</v>
      </c>
      <c r="BW194" s="136">
        <v>0.28996</v>
      </c>
      <c r="BX194" s="136">
        <v>0.41816</v>
      </c>
      <c r="BY194" s="136">
        <v>0.53043</v>
      </c>
      <c r="BZ194" s="136">
        <v>0.60592</v>
      </c>
      <c r="CA194" s="136">
        <v>0.60919</v>
      </c>
      <c r="CB194" s="136">
        <v>0.43484</v>
      </c>
    </row>
    <row r="195" s="1" customFormat="1" spans="71:80">
      <c r="BS195"/>
      <c r="BT195" s="134" t="s">
        <v>158</v>
      </c>
      <c r="BU195" s="134"/>
      <c r="BV195" s="134"/>
      <c r="BW195" s="134"/>
      <c r="BX195" s="134"/>
      <c r="BY195" s="134"/>
      <c r="BZ195" s="134"/>
      <c r="CA195" s="134"/>
      <c r="CB195" s="134"/>
    </row>
    <row r="196" s="1" customFormat="1" spans="71:80">
      <c r="BS196"/>
      <c r="BT196" s="134" t="s">
        <v>153</v>
      </c>
      <c r="BU196" s="140">
        <v>0</v>
      </c>
      <c r="BV196" s="140">
        <v>0.1</v>
      </c>
      <c r="BW196" s="140">
        <v>0.2</v>
      </c>
      <c r="BX196" s="140">
        <v>0.3</v>
      </c>
      <c r="BY196" s="140">
        <v>0.4</v>
      </c>
      <c r="BZ196" s="140">
        <v>0.5</v>
      </c>
      <c r="CA196" s="140">
        <v>0.6</v>
      </c>
      <c r="CB196" s="140">
        <v>0.7</v>
      </c>
    </row>
    <row r="197" s="1" customFormat="1" ht="18" spans="71:80">
      <c r="BS197"/>
      <c r="BT197" s="134" t="s">
        <v>154</v>
      </c>
      <c r="BU197" s="136">
        <v>0.28867</v>
      </c>
      <c r="BV197" s="136">
        <v>0.25781</v>
      </c>
      <c r="BW197" s="136">
        <v>0.22898</v>
      </c>
      <c r="BX197" s="136">
        <v>0.18799</v>
      </c>
      <c r="BY197" s="136">
        <v>0.15105</v>
      </c>
      <c r="BZ197" s="136">
        <v>0.11008</v>
      </c>
      <c r="CA197" s="136">
        <v>0.05895</v>
      </c>
      <c r="CB197" s="136">
        <v>0.00443</v>
      </c>
    </row>
    <row r="198" s="1" customFormat="1" ht="18" spans="71:80">
      <c r="BS198"/>
      <c r="BT198" s="134" t="s">
        <v>155</v>
      </c>
      <c r="BU198" s="136">
        <v>0.30296</v>
      </c>
      <c r="BV198" s="136">
        <v>0.27421</v>
      </c>
      <c r="BW198" s="136">
        <v>0.25223</v>
      </c>
      <c r="BX198" s="136">
        <v>0.22489</v>
      </c>
      <c r="BY198" s="136">
        <v>0.19213</v>
      </c>
      <c r="BZ198" s="136">
        <v>0.14929</v>
      </c>
      <c r="CA198" s="136">
        <v>0.10445</v>
      </c>
      <c r="CB198" s="136">
        <v>0.04949</v>
      </c>
    </row>
    <row r="199" s="1" customFormat="1" ht="18" spans="71:80">
      <c r="BS199"/>
      <c r="BT199" s="134" t="s">
        <v>156</v>
      </c>
      <c r="BU199" s="140">
        <v>0</v>
      </c>
      <c r="BV199" s="136">
        <v>0.15543</v>
      </c>
      <c r="BW199" s="136">
        <v>0.2875</v>
      </c>
      <c r="BX199" s="136">
        <v>0.40344</v>
      </c>
      <c r="BY199" s="136">
        <v>0.51085</v>
      </c>
      <c r="BZ199" s="136">
        <v>0.57537</v>
      </c>
      <c r="CA199" s="136">
        <v>0.55452</v>
      </c>
      <c r="CB199" s="136">
        <v>0.30247</v>
      </c>
    </row>
    <row r="200" s="1" customFormat="1" spans="71:82">
      <c r="BS200"/>
      <c r="BT200" s="139" t="s">
        <v>159</v>
      </c>
      <c r="BU200" s="139"/>
      <c r="BV200" s="139"/>
      <c r="BW200" s="139"/>
      <c r="BX200" s="139"/>
      <c r="BY200" s="139"/>
      <c r="BZ200" s="139"/>
      <c r="CA200" s="139"/>
      <c r="CB200" s="139"/>
      <c r="CC200" s="141" t="s">
        <v>160</v>
      </c>
      <c r="CD200" s="142"/>
    </row>
    <row r="201" s="1" customFormat="1" spans="71:82">
      <c r="BS201"/>
      <c r="BT201" s="134" t="s">
        <v>153</v>
      </c>
      <c r="BU201" s="140">
        <v>0</v>
      </c>
      <c r="BV201" s="140">
        <v>0.1</v>
      </c>
      <c r="BW201" s="140">
        <v>0.2</v>
      </c>
      <c r="BX201" s="140">
        <v>0.3</v>
      </c>
      <c r="BY201" s="140">
        <v>0.4</v>
      </c>
      <c r="BZ201" s="140">
        <v>0.5</v>
      </c>
      <c r="CA201" s="140">
        <v>0.6</v>
      </c>
      <c r="CB201" s="140">
        <v>0.7</v>
      </c>
      <c r="CC201" s="143">
        <v>0.75</v>
      </c>
      <c r="CD201" s="144">
        <v>0.81</v>
      </c>
    </row>
    <row r="202" s="1" customFormat="1" ht="18" spans="71:82">
      <c r="BS202"/>
      <c r="BT202" s="134" t="s">
        <v>154</v>
      </c>
      <c r="BU202" s="140">
        <f>3*(-12)*BU197/30/15+(-12)*(-27)*BU187/(-15)/(-30)+(-27)*3*BU192/(-15)/15</f>
        <v>0.2775352</v>
      </c>
      <c r="BV202" s="140">
        <f t="shared" ref="BV202:CB202" si="4">3*(-12)*BV197/30/15+(-12)*(-27)*BV187/(-15)/(-30)+(-27)*3*BV192/(-15)/15</f>
        <v>0.2498252</v>
      </c>
      <c r="BW202" s="140">
        <f t="shared" si="4"/>
        <v>0.2272988</v>
      </c>
      <c r="BX202" s="140">
        <f t="shared" si="4"/>
        <v>0.1944484</v>
      </c>
      <c r="BY202" s="140">
        <f t="shared" si="4"/>
        <v>0.1589124</v>
      </c>
      <c r="BZ202" s="140">
        <f t="shared" si="4"/>
        <v>0.115876</v>
      </c>
      <c r="CA202" s="140">
        <f t="shared" si="4"/>
        <v>0.073278</v>
      </c>
      <c r="CB202" s="140">
        <f t="shared" si="4"/>
        <v>0.026282</v>
      </c>
      <c r="CC202" s="143">
        <v>0</v>
      </c>
      <c r="CD202" s="144"/>
    </row>
    <row r="203" s="1" customFormat="1" ht="18" spans="71:82">
      <c r="BS203"/>
      <c r="BT203" s="134" t="s">
        <v>155</v>
      </c>
      <c r="BU203" s="140">
        <f>3*(-12)*BU198/30/15+(-12)*(-27)*BU188/(-15)/(-30)+(-27)*3*BU193/(-15)/15</f>
        <v>0.2811728</v>
      </c>
      <c r="BV203" s="140">
        <f t="shared" ref="BV203:CB203" si="5">3*(-12)*BV198/30/15+(-12)*(-27)*BV188/(-15)/(-30)+(-27)*3*BV193/(-15)/15</f>
        <v>0.2646124</v>
      </c>
      <c r="BW203" s="140">
        <f t="shared" si="5"/>
        <v>0.2408936</v>
      </c>
      <c r="BX203" s="140">
        <f t="shared" si="5"/>
        <v>0.21814</v>
      </c>
      <c r="BY203" s="140">
        <f t="shared" si="5"/>
        <v>0.1885588</v>
      </c>
      <c r="BZ203" s="140">
        <f t="shared" si="5"/>
        <v>0.1557988</v>
      </c>
      <c r="CA203" s="140">
        <f t="shared" si="5"/>
        <v>0.1161752</v>
      </c>
      <c r="CB203" s="140">
        <f t="shared" si="5"/>
        <v>0.0708992</v>
      </c>
      <c r="CC203" s="143">
        <v>0.04</v>
      </c>
      <c r="CD203" s="144">
        <v>0</v>
      </c>
    </row>
    <row r="204" s="1" customFormat="1" ht="18" spans="71:82">
      <c r="BS204"/>
      <c r="BT204" s="134" t="s">
        <v>156</v>
      </c>
      <c r="BU204" s="140">
        <f>3*(-12)*BU199/30/15+(-12)*(-27)*BU189/(-15)/(-30)+(-27)*3*BU194/(-15)/15</f>
        <v>0</v>
      </c>
      <c r="BV204" s="140">
        <f t="shared" ref="BV204:CB204" si="6">3*(-12)*BV199/30/15+(-12)*(-27)*BV189/(-15)/(-30)+(-27)*3*BV194/(-15)/15</f>
        <v>0.1651896</v>
      </c>
      <c r="BW204" s="140">
        <f t="shared" si="6"/>
        <v>0.3051328</v>
      </c>
      <c r="BX204" s="140">
        <f t="shared" si="6"/>
        <v>0.430548</v>
      </c>
      <c r="BY204" s="140">
        <f t="shared" si="6"/>
        <v>0.5404564</v>
      </c>
      <c r="BZ204" s="140">
        <f t="shared" si="6"/>
        <v>0.623376</v>
      </c>
      <c r="CA204" s="140">
        <f t="shared" si="6"/>
        <v>0.6431268</v>
      </c>
      <c r="CB204" s="140">
        <f t="shared" si="6"/>
        <v>0.4960528</v>
      </c>
      <c r="CC204" s="143">
        <v>0</v>
      </c>
      <c r="CD204" s="144"/>
    </row>
    <row r="205" s="1" customFormat="1" spans="71:89">
      <c r="BS205"/>
      <c r="BT205"/>
      <c r="BU205"/>
      <c r="BV205"/>
      <c r="CG205" s="17"/>
      <c r="CH205" s="17"/>
      <c r="CI205" s="17"/>
      <c r="CJ205" s="17"/>
      <c r="CK205" s="17"/>
    </row>
    <row r="206" s="1" customFormat="1" spans="72:89">
      <c r="BT206"/>
      <c r="BU206"/>
      <c r="BV206"/>
      <c r="CH206" s="145" t="s">
        <v>161</v>
      </c>
      <c r="CI206" s="17"/>
      <c r="CJ206" s="17"/>
      <c r="CK206" s="17"/>
    </row>
    <row r="207" s="1" customFormat="1" ht="15.6" spans="72:89">
      <c r="BT207"/>
      <c r="BU207"/>
      <c r="BV207"/>
      <c r="CH207"/>
      <c r="CI207" s="146" t="s">
        <v>50</v>
      </c>
      <c r="CJ207" s="146" t="s">
        <v>87</v>
      </c>
      <c r="CK207" s="152"/>
    </row>
    <row r="208" s="1" customFormat="1" ht="19.2" spans="72:89">
      <c r="BT208"/>
      <c r="BU208"/>
      <c r="BV208"/>
      <c r="CH208"/>
      <c r="CI208" s="147" t="s">
        <v>162</v>
      </c>
      <c r="CJ208" s="148">
        <f>BU202*CJ209/D/BU203*10</f>
        <v>2546.00376022669</v>
      </c>
      <c r="CK208" s="152"/>
    </row>
    <row r="209" s="1" customFormat="1" ht="19.2" spans="72:89">
      <c r="BT209" s="17"/>
      <c r="BU209" s="17"/>
      <c r="BV209" s="17"/>
      <c r="CH209"/>
      <c r="CI209" s="147" t="s">
        <v>163</v>
      </c>
      <c r="CJ209" s="148">
        <f>pd/2/PI()/n*60</f>
        <v>2605.16747473546</v>
      </c>
      <c r="CK209" s="152"/>
    </row>
    <row r="210" s="1" customFormat="1" ht="19.2" spans="72:89">
      <c r="BT210" s="17"/>
      <c r="BU210" s="17"/>
      <c r="BV210" s="17"/>
      <c r="CH210"/>
      <c r="CI210" s="147" t="s">
        <v>164</v>
      </c>
      <c r="CJ210" s="149">
        <f>POWER(CJ208/rho*1000/POWER(D,4)/BU202,0.5)*60</f>
        <v>55.6438349906114</v>
      </c>
      <c r="CK210" s="152"/>
    </row>
    <row r="211" s="1" customFormat="1" ht="19.2" spans="72:89">
      <c r="BT211" s="17"/>
      <c r="BU211" s="17"/>
      <c r="BV211" s="17"/>
      <c r="CH211"/>
      <c r="CI211" s="147" t="s">
        <v>165</v>
      </c>
      <c r="CJ211" s="150">
        <v>0.04</v>
      </c>
      <c r="CK211" s="152"/>
    </row>
    <row r="212" s="1" customFormat="1" ht="19.2" spans="72:90">
      <c r="BT212" s="17"/>
      <c r="BU212" s="17"/>
      <c r="BV212" s="17"/>
      <c r="CH212"/>
      <c r="CI212" s="147" t="s">
        <v>166</v>
      </c>
      <c r="CJ212" s="148">
        <f>CJ208*(1-CJ211)</f>
        <v>2444.16360981762</v>
      </c>
      <c r="CK212" s="152"/>
      <c r="CL212" s="133" t="s">
        <v>167</v>
      </c>
    </row>
    <row r="213" s="1" customFormat="1" ht="15.6" spans="72:103">
      <c r="BT213" s="17"/>
      <c r="BU213" s="17"/>
      <c r="BV213" s="17"/>
      <c r="CI213" s="17"/>
      <c r="CJ213" s="17"/>
      <c r="CK213" s="17"/>
      <c r="CM213" s="153" t="s">
        <v>168</v>
      </c>
      <c r="CN213" s="154" t="s">
        <v>169</v>
      </c>
      <c r="CO213" s="155"/>
      <c r="CP213" s="155"/>
      <c r="CQ213" s="155"/>
      <c r="CR213" s="155"/>
      <c r="CS213" s="155"/>
      <c r="CT213" s="155"/>
      <c r="CU213" s="155"/>
      <c r="CV213" s="155"/>
      <c r="CW213" s="155"/>
      <c r="CX213" s="155"/>
      <c r="CY213" s="166"/>
    </row>
    <row r="214" s="1" customFormat="1" ht="15.6" spans="72:110">
      <c r="BT214" s="17"/>
      <c r="BU214" s="17"/>
      <c r="BV214" s="17"/>
      <c r="CH214" s="151"/>
      <c r="CL214" s="156"/>
      <c r="CM214" s="157"/>
      <c r="CN214" s="158" t="s">
        <v>170</v>
      </c>
      <c r="CO214" s="159"/>
      <c r="CP214" s="159"/>
      <c r="CQ214" s="160"/>
      <c r="CR214" s="97" t="s">
        <v>171</v>
      </c>
      <c r="CS214" s="97"/>
      <c r="CT214" s="97"/>
      <c r="CU214" s="97"/>
      <c r="CV214" s="97" t="s">
        <v>172</v>
      </c>
      <c r="CW214" s="97"/>
      <c r="CX214" s="97"/>
      <c r="CY214" s="97"/>
      <c r="DA214" s="167" t="s">
        <v>173</v>
      </c>
      <c r="DB214" s="12"/>
      <c r="DC214" s="14">
        <v>14</v>
      </c>
      <c r="DD214" s="14">
        <v>15</v>
      </c>
      <c r="DE214" s="14">
        <v>16</v>
      </c>
      <c r="DF214" s="14">
        <v>17</v>
      </c>
    </row>
    <row r="215" s="1" customFormat="1" ht="15.6" spans="72:110">
      <c r="BT215" s="17"/>
      <c r="BU215" s="17"/>
      <c r="BV215" s="17"/>
      <c r="CL215" s="161"/>
      <c r="CM215" s="162" t="s">
        <v>84</v>
      </c>
      <c r="CN215" s="42">
        <v>14</v>
      </c>
      <c r="CO215" s="42">
        <v>15</v>
      </c>
      <c r="CP215" s="42">
        <v>16</v>
      </c>
      <c r="CQ215" s="42">
        <v>17</v>
      </c>
      <c r="CR215" s="42">
        <v>14</v>
      </c>
      <c r="CS215" s="42">
        <v>15</v>
      </c>
      <c r="CT215" s="42">
        <v>16</v>
      </c>
      <c r="CU215" s="42">
        <v>17</v>
      </c>
      <c r="CV215" s="42">
        <v>14</v>
      </c>
      <c r="CW215" s="42">
        <v>15</v>
      </c>
      <c r="CX215" s="42">
        <v>16</v>
      </c>
      <c r="CY215" s="42">
        <v>17</v>
      </c>
      <c r="DA215" s="168" t="s">
        <v>174</v>
      </c>
      <c r="DB215" s="12" t="s">
        <v>7</v>
      </c>
      <c r="DC215" s="169">
        <v>-8077</v>
      </c>
      <c r="DD215" s="169">
        <v>-10039</v>
      </c>
      <c r="DE215" s="169">
        <v>-12292</v>
      </c>
      <c r="DF215" s="169">
        <v>-14854</v>
      </c>
    </row>
    <row r="216" s="1" customFormat="1" ht="19.2" spans="85:110">
      <c r="CG216" s="17"/>
      <c r="CH216" s="17"/>
      <c r="CI216" s="17"/>
      <c r="CL216" s="156"/>
      <c r="CM216" s="163" t="s">
        <v>175</v>
      </c>
      <c r="CN216" s="43">
        <f>0.5144*(1-omiga)*CN215</f>
        <v>4.609024</v>
      </c>
      <c r="CO216" s="43">
        <f>0.5144*(1-omiga)*CO215</f>
        <v>4.93824</v>
      </c>
      <c r="CP216" s="43">
        <f>0.5144*(1-omiga)*CP215</f>
        <v>5.267456</v>
      </c>
      <c r="CQ216" s="43">
        <f>0.5144*(1-omiga)*CQ215</f>
        <v>5.596672</v>
      </c>
      <c r="CR216" s="43">
        <f>0.5144*(1-omiga)*CR215</f>
        <v>4.609024</v>
      </c>
      <c r="CS216" s="43">
        <f>0.5144*(1-omiga)*CS215</f>
        <v>4.93824</v>
      </c>
      <c r="CT216" s="43">
        <f>0.5144*(1-omiga)*CT215</f>
        <v>5.267456</v>
      </c>
      <c r="CU216" s="43">
        <f>0.5144*(1-omiga)*CU215</f>
        <v>5.596672</v>
      </c>
      <c r="CV216" s="43">
        <f>0.5144*(1-omiga)*CV215</f>
        <v>4.609024</v>
      </c>
      <c r="CW216" s="43">
        <f>0.5144*(1-omiga)*CW215</f>
        <v>4.93824</v>
      </c>
      <c r="CX216" s="43">
        <f>0.5144*(1-omiga)*CX215</f>
        <v>5.267456</v>
      </c>
      <c r="CY216" s="43">
        <f>0.5144*(1-omiga)*CY215</f>
        <v>5.596672</v>
      </c>
      <c r="DA216" s="170"/>
      <c r="DB216" s="171" t="s">
        <v>176</v>
      </c>
      <c r="DC216" s="172">
        <v>-9801</v>
      </c>
      <c r="DD216" s="172">
        <v>-12054</v>
      </c>
      <c r="DE216" s="172">
        <v>-14787</v>
      </c>
      <c r="DF216" s="172">
        <v>-17921</v>
      </c>
    </row>
    <row r="217" s="1" customFormat="1" ht="19.2" spans="85:110">
      <c r="CG217" s="17"/>
      <c r="CH217" s="17"/>
      <c r="CI217" s="17"/>
      <c r="CL217" s="156"/>
      <c r="CM217" s="163" t="s">
        <v>177</v>
      </c>
      <c r="CN217" s="45">
        <f>CN216/68/D*60</f>
        <v>0.402652067559697</v>
      </c>
      <c r="CO217" s="45">
        <f>CO216/68/D*60</f>
        <v>0.431412929528247</v>
      </c>
      <c r="CP217" s="45">
        <f>CP216/68/D*60</f>
        <v>0.460173791496797</v>
      </c>
      <c r="CQ217" s="45">
        <f>CQ216/68/D*60</f>
        <v>0.488934653465347</v>
      </c>
      <c r="CR217" s="45">
        <f>CR216/63/D*60</f>
        <v>0.434608580858086</v>
      </c>
      <c r="CS217" s="45">
        <f>CS216/63/D*60</f>
        <v>0.465652050919378</v>
      </c>
      <c r="CT217" s="45">
        <f>CT216/63/D*60</f>
        <v>0.496695520980669</v>
      </c>
      <c r="CU217" s="45">
        <f>CU216/63/D*60</f>
        <v>0.527738991041961</v>
      </c>
      <c r="CV217" s="45">
        <f>CV216/58/D*60</f>
        <v>0.47207483782861</v>
      </c>
      <c r="CW217" s="45">
        <f>CW216/58/D*60</f>
        <v>0.505794469102083</v>
      </c>
      <c r="CX217" s="45">
        <f>CX216/58/D*60</f>
        <v>0.539514100375555</v>
      </c>
      <c r="CY217" s="45">
        <f>CY216/58/D*60</f>
        <v>0.573233731649027</v>
      </c>
      <c r="DA217" s="173"/>
      <c r="DB217" s="12" t="s">
        <v>9</v>
      </c>
      <c r="DC217" s="169">
        <v>-11305</v>
      </c>
      <c r="DD217" s="169">
        <v>-13843</v>
      </c>
      <c r="DE217" s="169">
        <v>-16759</v>
      </c>
      <c r="DF217" s="169">
        <v>-20074</v>
      </c>
    </row>
    <row r="218" s="1" customFormat="1" ht="19.2" spans="85:110">
      <c r="CG218" s="17"/>
      <c r="CH218" s="17"/>
      <c r="CI218" s="17"/>
      <c r="CL218" s="156"/>
      <c r="CM218" s="163" t="s">
        <v>178</v>
      </c>
      <c r="CN218" s="164">
        <f>-0.2059*CN217*CN217-0.2143*CN217+0.2765</f>
        <v>0.156829365163628</v>
      </c>
      <c r="CO218" s="164">
        <f t="shared" ref="CO218:CY218" si="7">-0.2059*CO217*CO217-0.2143*CO217+0.2765</f>
        <v>0.145726695066259</v>
      </c>
      <c r="CP218" s="164">
        <f t="shared" si="7"/>
        <v>0.134283389287684</v>
      </c>
      <c r="CQ218" s="164">
        <f t="shared" si="7"/>
        <v>0.122499447827901</v>
      </c>
      <c r="CR218" s="164">
        <f t="shared" si="7"/>
        <v>0.144472038161539</v>
      </c>
      <c r="CS218" s="164">
        <f t="shared" si="7"/>
        <v>0.132065091170993</v>
      </c>
      <c r="CT218" s="164">
        <f t="shared" si="7"/>
        <v>0.119261293742074</v>
      </c>
      <c r="CU218" s="164">
        <f t="shared" si="7"/>
        <v>0.106060645874781</v>
      </c>
      <c r="CV218" s="164">
        <f t="shared" si="7"/>
        <v>0.129448589301333</v>
      </c>
      <c r="CW218" s="164">
        <f t="shared" si="7"/>
        <v>0.115433250811224</v>
      </c>
      <c r="CX218" s="164">
        <f t="shared" si="7"/>
        <v>0.100949690148136</v>
      </c>
      <c r="CY218" s="164">
        <f t="shared" si="7"/>
        <v>0.0859979073120683</v>
      </c>
      <c r="DA218" s="168" t="s">
        <v>179</v>
      </c>
      <c r="DB218" s="12" t="s">
        <v>7</v>
      </c>
      <c r="DC218" s="174">
        <f>DC215/etas</f>
        <v>-8326.80412371134</v>
      </c>
      <c r="DD218" s="174">
        <f>DD215/etas</f>
        <v>-10349.4845360825</v>
      </c>
      <c r="DE218" s="174">
        <f>DE215/etas</f>
        <v>-12672.1649484536</v>
      </c>
      <c r="DF218" s="174">
        <f>DF215/etas</f>
        <v>-15313.4020618557</v>
      </c>
    </row>
    <row r="219" s="1" customFormat="1" ht="19.2" spans="90:110">
      <c r="CL219" s="156"/>
      <c r="CM219" s="163" t="s">
        <v>180</v>
      </c>
      <c r="CN219" s="165">
        <f>0.1*(-0.2621*CN217*CN217*CN217+0.0358*CN217*CN217-0.2035*CN217+0.2825)</f>
        <v>0.0189254242895329</v>
      </c>
      <c r="CO219" s="165">
        <f t="shared" ref="CO219:CY219" si="8">0.1*(-0.2621*CO217*CO217*CO217+0.0358*CO217*CO217-0.2035*CO217+0.2825)</f>
        <v>0.0180325579753788</v>
      </c>
      <c r="CP219" s="165">
        <f t="shared" si="8"/>
        <v>0.0170894946365578</v>
      </c>
      <c r="CQ219" s="165">
        <f t="shared" si="8"/>
        <v>0.0160924929607441</v>
      </c>
      <c r="CR219" s="165">
        <f t="shared" si="8"/>
        <v>0.0179303204535789</v>
      </c>
      <c r="CS219" s="165">
        <f t="shared" si="8"/>
        <v>0.0169038625293306</v>
      </c>
      <c r="CT219" s="165">
        <f t="shared" si="8"/>
        <v>0.0158137346439778</v>
      </c>
      <c r="CU219" s="165">
        <f t="shared" si="8"/>
        <v>0.0146552321287296</v>
      </c>
      <c r="CV219" s="165">
        <f t="shared" si="8"/>
        <v>0.0166836979281193</v>
      </c>
      <c r="CW219" s="165">
        <f t="shared" si="8"/>
        <v>0.0154814670437221</v>
      </c>
      <c r="CX219" s="165">
        <f t="shared" si="8"/>
        <v>0.0141969377119278</v>
      </c>
      <c r="CY219" s="165">
        <f t="shared" si="8"/>
        <v>0.0128240806351169</v>
      </c>
      <c r="DA219" s="170"/>
      <c r="DB219" s="171" t="s">
        <v>176</v>
      </c>
      <c r="DC219" s="174">
        <f>DC216/etas</f>
        <v>-10104.1237113402</v>
      </c>
      <c r="DD219" s="174">
        <f>DD216/etas</f>
        <v>-12426.8041237113</v>
      </c>
      <c r="DE219" s="174">
        <f>DE216/etas</f>
        <v>-15244.3298969072</v>
      </c>
      <c r="DF219" s="174">
        <f>DF216/etas</f>
        <v>-18475.2577319588</v>
      </c>
    </row>
    <row r="220" s="1" customFormat="1" ht="19.2" spans="90:110">
      <c r="CL220" s="156"/>
      <c r="CM220" s="163" t="s">
        <v>181</v>
      </c>
      <c r="CN220" s="42">
        <v>13223.8540676484</v>
      </c>
      <c r="CO220" s="42">
        <v>13169.7907540108</v>
      </c>
      <c r="CP220" s="42">
        <v>12961.7580375552</v>
      </c>
      <c r="CQ220" s="42">
        <v>12594.0665489293</v>
      </c>
      <c r="CR220" s="42">
        <v>10665.5783421387</v>
      </c>
      <c r="CS220" s="42">
        <v>10466.6278472984</v>
      </c>
      <c r="CT220" s="42">
        <v>10118.7541895323</v>
      </c>
      <c r="CU220" s="42">
        <v>9616.26799948789</v>
      </c>
      <c r="CV220" s="42">
        <v>8340.34133685319</v>
      </c>
      <c r="CW220" s="42">
        <v>8013.14928368339</v>
      </c>
      <c r="CX220" s="42">
        <v>7542.08030747985</v>
      </c>
      <c r="CY220" s="42">
        <v>6921.44503889019</v>
      </c>
      <c r="DA220" s="173"/>
      <c r="DB220" s="12" t="s">
        <v>9</v>
      </c>
      <c r="DC220" s="174">
        <f>DC217/etas</f>
        <v>-11654.6391752577</v>
      </c>
      <c r="DD220" s="174">
        <f>DD217/etas</f>
        <v>-14271.1340206186</v>
      </c>
      <c r="DE220" s="174">
        <f>DE217/etas</f>
        <v>-17277.3195876289</v>
      </c>
      <c r="DF220" s="174">
        <f>DF217/etas</f>
        <v>-20694.8453608247</v>
      </c>
    </row>
    <row r="221" s="1" customFormat="1" ht="19.2" spans="90:118">
      <c r="CL221" s="156"/>
      <c r="CM221" s="163" t="s">
        <v>182</v>
      </c>
      <c r="CN221" s="42">
        <f>CN219*2*PI()*rho*POWER(68/60,3)*POWER(D,5)/etas/etar/1000</f>
        <v>19224.607426142</v>
      </c>
      <c r="CO221" s="42">
        <f>CO219*2*PI()*rho*POWER(68/60,3)*POWER(D,5)/etas/etar/1000</f>
        <v>18317.6262081235</v>
      </c>
      <c r="CP221" s="42">
        <f>CP219*2*PI()*rho*POWER(68/60,3)*POWER(D,5)/etas/etar/1000</f>
        <v>17359.6544242703</v>
      </c>
      <c r="CQ221" s="42">
        <f>CQ219*2*PI()*rho*POWER(68/60,3)*POWER(D,5)/etas/etar/1000</f>
        <v>16346.891617609</v>
      </c>
      <c r="CR221" s="42">
        <f>CR219*2*PI()*rho*POWER(63/60,3)*POWER(D,5)/etas/etar/1000</f>
        <v>14484.2101397292</v>
      </c>
      <c r="CS221" s="42">
        <f>CS219*2*PI()*rho*POWER(63/60,3)*POWER(D,5)/etas/etar/1000</f>
        <v>13655.0318596816</v>
      </c>
      <c r="CT221" s="42">
        <f>CT219*2*PI()*rho*POWER(63/60,3)*POWER(D,5)/etas/etar/1000</f>
        <v>12774.4206396252</v>
      </c>
      <c r="CU221" s="42">
        <f>CU219*2*PI()*rho*POWER(63/60,3)*POWER(D,5)/etas/etar/1000</f>
        <v>11838.5760225865</v>
      </c>
      <c r="CV221" s="42">
        <f>CV219*2*PI()*rho*POWER(58/60,3)*POWER(D,5)/etas/etar/1000</f>
        <v>10516.2624463462</v>
      </c>
      <c r="CW221" s="42">
        <f>CW219*2*PI()*rho*POWER(58/60,3)*POWER(D,5)/etas/etar/1000</f>
        <v>9758.45829789568</v>
      </c>
      <c r="CX221" s="42">
        <f>CX219*2*PI()*rho*POWER(58/60,3)*POWER(D,5)/etas/etar/1000</f>
        <v>8948.77883526226</v>
      </c>
      <c r="CY221" s="42">
        <f>CY219*2*PI()*rho*POWER(58/60,3)*POWER(D,5)/etas/etar/1000</f>
        <v>8083.42360147237</v>
      </c>
      <c r="DC221" s="175">
        <v>-20224.607426142</v>
      </c>
      <c r="DD221" s="175">
        <v>-19317.6262081235</v>
      </c>
      <c r="DE221" s="175">
        <v>-18359.6544242703</v>
      </c>
      <c r="DF221" s="175">
        <v>-17346.891617609</v>
      </c>
      <c r="DG221" s="175">
        <v>-14484.2101397292</v>
      </c>
      <c r="DH221" s="175">
        <v>-13655.0318596816</v>
      </c>
      <c r="DI221" s="175">
        <v>-12774.4206396252</v>
      </c>
      <c r="DJ221" s="175">
        <v>-11838.5760225865</v>
      </c>
      <c r="DK221" s="175">
        <v>-10516.2624463462</v>
      </c>
      <c r="DL221" s="175">
        <v>-9758.45829789568</v>
      </c>
      <c r="DM221" s="175">
        <v>-8948.77883526226</v>
      </c>
      <c r="DN221" s="175">
        <v>-8083.42360147237</v>
      </c>
    </row>
    <row r="222" s="1" customFormat="1" ht="13.8" spans="92:92">
      <c r="CN222" s="17"/>
    </row>
    <row r="223" s="1" customFormat="1" ht="13.8"/>
    <row r="224" s="1" customFormat="1" ht="13.8"/>
    <row r="225" s="1" customFormat="1" ht="13.8"/>
    <row r="226" s="1" customFormat="1" ht="13.8"/>
    <row r="227" s="1" customFormat="1" ht="13.8"/>
    <row r="228" s="1" customFormat="1" ht="13.8"/>
    <row r="229" s="1" customFormat="1" ht="13.8"/>
    <row r="230" s="1" customFormat="1" ht="13.8"/>
    <row r="232" spans="107:109">
      <c r="DC232" s="105" t="s">
        <v>183</v>
      </c>
      <c r="DD232" s="176" t="s">
        <v>84</v>
      </c>
      <c r="DE232" s="176" t="s">
        <v>179</v>
      </c>
    </row>
    <row r="233" spans="107:109">
      <c r="DC233" s="105" t="s">
        <v>184</v>
      </c>
      <c r="DD233" s="177">
        <f>V</f>
        <v>15.47</v>
      </c>
      <c r="DE233" s="177">
        <f>ps</f>
        <v>19125</v>
      </c>
    </row>
    <row r="234" spans="107:109">
      <c r="DC234" s="105" t="s">
        <v>185</v>
      </c>
      <c r="DD234" s="69">
        <v>16.25</v>
      </c>
      <c r="DE234" s="178">
        <f>-959.11*DD234+32678</f>
        <v>17092.4625</v>
      </c>
    </row>
    <row r="235" spans="107:109">
      <c r="DC235" s="105" t="s">
        <v>176</v>
      </c>
      <c r="DD235" s="179">
        <v>15.44</v>
      </c>
      <c r="DE235" s="178">
        <v>18950</v>
      </c>
    </row>
    <row r="236" spans="107:109">
      <c r="DC236" s="105" t="s">
        <v>186</v>
      </c>
      <c r="DD236" s="69">
        <v>14.77</v>
      </c>
      <c r="DE236" s="178">
        <v>19326</v>
      </c>
    </row>
    <row r="237" spans="108:109">
      <c r="DD237" s="17"/>
      <c r="DE237" s="17"/>
    </row>
    <row r="238" spans="108:109">
      <c r="DD238" s="17"/>
      <c r="DE238" s="17"/>
    </row>
    <row r="239" spans="108:109">
      <c r="DD239" s="17"/>
      <c r="DE239" s="17"/>
    </row>
    <row r="240" spans="108:109">
      <c r="DD240" s="17"/>
      <c r="DE240" s="17"/>
    </row>
    <row r="241" spans="108:109">
      <c r="DD241" s="17"/>
      <c r="DE241" s="17"/>
    </row>
    <row r="242" spans="108:109">
      <c r="DD242" s="17"/>
      <c r="DE242" s="17"/>
    </row>
    <row r="243" spans="108:109">
      <c r="DD243" s="17"/>
      <c r="DE243" s="17"/>
    </row>
    <row r="250" spans="109:115">
      <c r="DE250" s="180"/>
      <c r="DF250" s="180"/>
      <c r="DG250" s="180"/>
      <c r="DH250" s="180"/>
      <c r="DI250" s="180"/>
      <c r="DJ250" s="180"/>
      <c r="DK250" s="180"/>
    </row>
    <row r="251" spans="109:115">
      <c r="DE251" s="180"/>
      <c r="DF251" s="180"/>
      <c r="DG251" s="180"/>
      <c r="DH251" s="180"/>
      <c r="DI251" s="180"/>
      <c r="DJ251" s="180"/>
      <c r="DK251" s="180"/>
    </row>
    <row r="252" spans="109:115">
      <c r="DE252" s="180"/>
      <c r="DF252" s="181" t="s">
        <v>187</v>
      </c>
      <c r="DG252" s="180"/>
      <c r="DH252" s="180"/>
      <c r="DI252" s="180"/>
      <c r="DJ252" s="180"/>
      <c r="DK252" s="180"/>
    </row>
    <row r="253" ht="19.2" spans="109:115">
      <c r="DE253" s="180"/>
      <c r="DF253" s="180"/>
      <c r="DG253" s="182" t="s">
        <v>188</v>
      </c>
      <c r="DH253" s="183">
        <f>D</f>
        <v>10.1</v>
      </c>
      <c r="DI253" s="182" t="s">
        <v>189</v>
      </c>
      <c r="DJ253" s="183">
        <f>V</f>
        <v>15.47</v>
      </c>
      <c r="DK253" s="180"/>
    </row>
    <row r="254" ht="19.2" spans="109:115">
      <c r="DE254" s="180"/>
      <c r="DF254" s="180"/>
      <c r="DG254" s="182" t="s">
        <v>190</v>
      </c>
      <c r="DH254" s="183">
        <v>0.6663</v>
      </c>
      <c r="DI254" s="182" t="s">
        <v>191</v>
      </c>
      <c r="DJ254" s="184">
        <f>dh/D</f>
        <v>0.178217821782178</v>
      </c>
      <c r="DK254" s="180"/>
    </row>
    <row r="255" ht="15.6" spans="109:115">
      <c r="DE255" s="180"/>
      <c r="DF255" s="180"/>
      <c r="DG255" s="182" t="s">
        <v>192</v>
      </c>
      <c r="DH255" s="183" t="s">
        <v>193</v>
      </c>
      <c r="DI255" s="182" t="s">
        <v>32</v>
      </c>
      <c r="DJ255" s="183" t="s">
        <v>194</v>
      </c>
      <c r="DK255" s="180"/>
    </row>
    <row r="256" ht="19.2" spans="109:115">
      <c r="DE256" s="180"/>
      <c r="DF256" s="180"/>
      <c r="DG256" s="182" t="s">
        <v>195</v>
      </c>
      <c r="DH256" s="183">
        <f>panmianbi</f>
        <v>0.43</v>
      </c>
      <c r="DI256" s="182" t="s">
        <v>27</v>
      </c>
      <c r="DJ256" s="183" t="s">
        <v>196</v>
      </c>
      <c r="DK256" s="180"/>
    </row>
    <row r="257" ht="15.6" spans="109:115">
      <c r="DE257" s="180"/>
      <c r="DF257" s="180"/>
      <c r="DG257" s="182" t="s">
        <v>197</v>
      </c>
      <c r="DH257" s="183">
        <f>epsilon</f>
        <v>10</v>
      </c>
      <c r="DI257" s="182" t="s">
        <v>198</v>
      </c>
      <c r="DJ257" s="185">
        <f>m</f>
        <v>61071.9754588465</v>
      </c>
      <c r="DK257" s="180"/>
    </row>
    <row r="258" ht="19.2" spans="109:115">
      <c r="DE258" s="180"/>
      <c r="DF258" s="180"/>
      <c r="DG258" s="182" t="s">
        <v>199</v>
      </c>
      <c r="DH258" s="183">
        <f>eta0</f>
        <v>0.558</v>
      </c>
      <c r="DI258" s="182" t="s">
        <v>200</v>
      </c>
      <c r="DJ258" s="186">
        <f>I</f>
        <v>3275155.60975492</v>
      </c>
      <c r="DK258" s="180"/>
    </row>
    <row r="259" spans="109:115">
      <c r="DE259" s="180"/>
      <c r="DF259" s="180"/>
      <c r="DG259" s="180"/>
      <c r="DH259" s="180"/>
      <c r="DI259" s="180"/>
      <c r="DJ259" s="180"/>
      <c r="DK259" s="180"/>
    </row>
    <row r="260" spans="109:115">
      <c r="DE260" s="180"/>
      <c r="DF260" s="180"/>
      <c r="DG260" s="180"/>
      <c r="DH260" s="180"/>
      <c r="DI260" s="180"/>
      <c r="DJ260" s="180"/>
      <c r="DK260" s="180"/>
    </row>
    <row r="284" spans="116:116">
      <c r="DL284" s="180"/>
    </row>
  </sheetData>
  <sheetProtection password="C4BF" sheet="1" objects="1"/>
  <mergeCells count="55">
    <mergeCell ref="B2:C2"/>
    <mergeCell ref="E2:H2"/>
    <mergeCell ref="F3:H3"/>
    <mergeCell ref="B9:C9"/>
    <mergeCell ref="B12:C12"/>
    <mergeCell ref="B17:C17"/>
    <mergeCell ref="B30:C30"/>
    <mergeCell ref="B34:C34"/>
    <mergeCell ref="J42:K42"/>
    <mergeCell ref="L42:O42"/>
    <mergeCell ref="J43:K43"/>
    <mergeCell ref="L43:O43"/>
    <mergeCell ref="J44:K44"/>
    <mergeCell ref="L44:O44"/>
    <mergeCell ref="J45:K45"/>
    <mergeCell ref="J46:K46"/>
    <mergeCell ref="J47:K47"/>
    <mergeCell ref="W69:Y69"/>
    <mergeCell ref="AA73:AB73"/>
    <mergeCell ref="AV115:AW115"/>
    <mergeCell ref="AV117:AW117"/>
    <mergeCell ref="AV118:AW118"/>
    <mergeCell ref="BH148:BI148"/>
    <mergeCell ref="BH151:BI151"/>
    <mergeCell ref="BK171:BO171"/>
    <mergeCell ref="BK172:BO172"/>
    <mergeCell ref="BP172:BR172"/>
    <mergeCell ref="BK173:BO173"/>
    <mergeCell ref="BP173:BR173"/>
    <mergeCell ref="BK174:BO174"/>
    <mergeCell ref="BP174:BR174"/>
    <mergeCell ref="BK175:BO175"/>
    <mergeCell ref="BP175:BR175"/>
    <mergeCell ref="BK176:BO176"/>
    <mergeCell ref="BP176:BR176"/>
    <mergeCell ref="BK177:BO177"/>
    <mergeCell ref="BP177:BR177"/>
    <mergeCell ref="BT185:CB185"/>
    <mergeCell ref="CD185:CE185"/>
    <mergeCell ref="BT190:CB190"/>
    <mergeCell ref="BT195:CB195"/>
    <mergeCell ref="BT200:CB200"/>
    <mergeCell ref="CC200:CD200"/>
    <mergeCell ref="CN213:CY213"/>
    <mergeCell ref="CN214:CQ214"/>
    <mergeCell ref="CR214:CU214"/>
    <mergeCell ref="CV214:CY214"/>
    <mergeCell ref="DA214:DB214"/>
    <mergeCell ref="E3:E4"/>
    <mergeCell ref="J48:J51"/>
    <mergeCell ref="J52:J55"/>
    <mergeCell ref="J56:J59"/>
    <mergeCell ref="CM213:CM214"/>
    <mergeCell ref="DA215:DA217"/>
    <mergeCell ref="DA218:DA220"/>
  </mergeCells>
  <pageMargins left="0.75" right="0.75" top="1" bottom="1" header="0.5" footer="0.5"/>
  <headerFooter/>
  <ignoredErrors>
    <ignoredError sqref="BK160:BR16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16052</dc:creator>
  <cp:lastModifiedBy>吕德淞</cp:lastModifiedBy>
  <dcterms:created xsi:type="dcterms:W3CDTF">2022-12-16T18:00:00Z</dcterms:created>
  <dcterms:modified xsi:type="dcterms:W3CDTF">2022-12-31T15:05:08Z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BB89E59E2ABE491E9809B7BECAF0EFAF</vt:lpwstr>
  </property>
  <property fmtid="{D5CDD505-2E9C-101B-9397-08002B2CF9AE}" pid="3" name="KSOProductBuildVer">
    <vt:lpwstr>2052-11.1.0.12980</vt:lpwstr>
  </property>
</Properties>
</file>