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castorp/Colloid-model/data/"/>
    </mc:Choice>
  </mc:AlternateContent>
  <xr:revisionPtr revIDLastSave="0" documentId="13_ncr:1_{902648AE-93B8-7B41-A653-D27B365D8CE1}" xr6:coauthVersionLast="47" xr6:coauthVersionMax="47" xr10:uidLastSave="{00000000-0000-0000-0000-000000000000}"/>
  <bookViews>
    <workbookView xWindow="4460" yWindow="500" windowWidth="22380" windowHeight="15960" activeTab="1" xr2:uid="{F1969B3A-D447-2245-9C7E-19D3CC58A2E2}"/>
  </bookViews>
  <sheets>
    <sheet name="nanoparticle" sheetId="1" r:id="rId1"/>
    <sheet name="basefluid" sheetId="2" r:id="rId2"/>
    <sheet name="Lumped Cell Properties" sheetId="11" r:id="rId3"/>
    <sheet name="cell" sheetId="10" r:id="rId4"/>
    <sheet name="parameter ranges fixed fluid" sheetId="7" r:id="rId5"/>
    <sheet name="parameter ranges" sheetId="3" r:id="rId6"/>
    <sheet name="problem" sheetId="4" r:id="rId7"/>
    <sheet name="Basefluid Lubrizol" sheetId="6" r:id="rId8"/>
    <sheet name="power prod" sheetId="9" r:id="rId9"/>
    <sheet name="nanoparticle old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" i="1" l="1"/>
  <c r="K3" i="11" l="1"/>
  <c r="K5" i="11"/>
  <c r="I15" i="11" s="1"/>
  <c r="K6" i="11"/>
  <c r="I14" i="11"/>
  <c r="J3" i="11"/>
  <c r="C46" i="11"/>
  <c r="C45" i="11" a="1"/>
  <c r="C45" i="11" s="1"/>
  <c r="C44" i="11"/>
  <c r="C43" i="11"/>
  <c r="I13" i="11" l="1"/>
  <c r="I16" i="11"/>
  <c r="C28" i="1"/>
  <c r="C29" i="1"/>
  <c r="C27" i="1"/>
  <c r="C18" i="1"/>
  <c r="C19" i="1"/>
  <c r="C20" i="1"/>
  <c r="C21" i="1"/>
  <c r="C22" i="1"/>
  <c r="C23" i="1"/>
  <c r="C24" i="1"/>
  <c r="C25" i="1"/>
  <c r="C26" i="1"/>
  <c r="C16" i="1"/>
  <c r="C17" i="1"/>
  <c r="C12" i="1"/>
  <c r="F4" i="6"/>
  <c r="D7" i="9"/>
  <c r="D8" i="9"/>
  <c r="D6" i="9"/>
  <c r="B2" i="9"/>
  <c r="B3" i="9"/>
  <c r="B4" i="9"/>
  <c r="C3" i="9"/>
  <c r="C4" i="9"/>
  <c r="C2" i="9"/>
  <c r="G4" i="9"/>
  <c r="G5" i="9"/>
  <c r="G3" i="9"/>
  <c r="H4" i="9"/>
  <c r="H5" i="9"/>
  <c r="H3" i="9"/>
  <c r="E3" i="6"/>
  <c r="E17" i="6"/>
  <c r="E4" i="6"/>
  <c r="C13" i="1"/>
  <c r="C4" i="1"/>
  <c r="C5" i="1"/>
  <c r="C6" i="1"/>
  <c r="C7" i="1"/>
  <c r="C8" i="1"/>
  <c r="C9" i="1"/>
  <c r="C10" i="1"/>
  <c r="C11" i="1"/>
  <c r="C14" i="1"/>
  <c r="C15" i="1"/>
  <c r="C3" i="1"/>
  <c r="E5" i="8"/>
  <c r="E3" i="8"/>
  <c r="D5" i="7"/>
  <c r="C5" i="7"/>
  <c r="C12" i="3"/>
  <c r="D12" i="3"/>
  <c r="D25" i="6"/>
  <c r="C25" i="6"/>
  <c r="B25" i="6"/>
  <c r="D3" i="6"/>
  <c r="C3" i="6"/>
  <c r="B3" i="6"/>
  <c r="D7" i="3"/>
  <c r="C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<sst xmlns="http://schemas.openxmlformats.org/spreadsheetml/2006/main" count="395" uniqueCount="274">
  <si>
    <t>id</t>
  </si>
  <si>
    <t>Isoparaffin Mixtures</t>
  </si>
  <si>
    <t>Low Viscosity Ester Alcohols</t>
  </si>
  <si>
    <t>Silicone Oil</t>
  </si>
  <si>
    <t>Water</t>
  </si>
  <si>
    <t>k_f</t>
  </si>
  <si>
    <t>W/mK</t>
  </si>
  <si>
    <t>cv_f</t>
  </si>
  <si>
    <t>J/gK</t>
  </si>
  <si>
    <t>rho_f</t>
  </si>
  <si>
    <t xml:space="preserve"> g/cm3</t>
  </si>
  <si>
    <t>temp</t>
  </si>
  <si>
    <t>K</t>
  </si>
  <si>
    <t>visc_T_type</t>
  </si>
  <si>
    <t>unit</t>
  </si>
  <si>
    <t>Graphene</t>
  </si>
  <si>
    <t>Graphene Oxide</t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</si>
  <si>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</si>
  <si>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r>
      <t>Si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</si>
  <si>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</si>
  <si>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AlN</t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</si>
  <si>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</si>
  <si>
    <t>Hex-BN</t>
  </si>
  <si>
    <r>
      <t>TiO</t>
    </r>
    <r>
      <rPr>
        <vertAlign val="subscript"/>
        <sz val="11"/>
        <color theme="1"/>
        <rFont val="Calibri"/>
        <family val="2"/>
        <scheme val="minor"/>
      </rPr>
      <t>2</t>
    </r>
  </si>
  <si>
    <t>ZNO</t>
  </si>
  <si>
    <t>Au</t>
  </si>
  <si>
    <t>Mn-Z</t>
  </si>
  <si>
    <t>Si-C</t>
  </si>
  <si>
    <t>CNT</t>
  </si>
  <si>
    <t>Cu</t>
  </si>
  <si>
    <r>
      <t>TiO</t>
    </r>
    <r>
      <rPr>
        <vertAlign val="subscript"/>
        <sz val="11"/>
        <color rgb="FF000000"/>
        <rFont val="Calibri"/>
        <family val="2"/>
        <scheme val="minor"/>
      </rPr>
      <t>2</t>
    </r>
  </si>
  <si>
    <t>CuO</t>
  </si>
  <si>
    <t>Bucky Ball</t>
  </si>
  <si>
    <t>k_p</t>
  </si>
  <si>
    <t>a_33</t>
  </si>
  <si>
    <t>nm</t>
  </si>
  <si>
    <t>a_11</t>
  </si>
  <si>
    <t>R_bd</t>
  </si>
  <si>
    <t>m^2K/W</t>
  </si>
  <si>
    <t>cv_p</t>
  </si>
  <si>
    <t>rho_p</t>
  </si>
  <si>
    <t xml:space="preserve"> g/cm3.</t>
  </si>
  <si>
    <t>﻿19.32</t>
  </si>
  <si>
    <t>Source</t>
  </si>
  <si>
    <t>min</t>
  </si>
  <si>
    <t>max</t>
  </si>
  <si>
    <t>https://en.wikipedia.org/wiki/List_of_thermal_conductivities</t>
  </si>
  <si>
    <t>phi</t>
  </si>
  <si>
    <t>fraction</t>
  </si>
  <si>
    <t>https://en.wikipedia.org/wiki/Table_of_specific_heat_capacities</t>
  </si>
  <si>
    <t>https://en.wikipedia.org/wiki/List_of_viscosities</t>
  </si>
  <si>
    <t>x</t>
  </si>
  <si>
    <t>cm</t>
  </si>
  <si>
    <t>V</t>
  </si>
  <si>
    <t>D</t>
  </si>
  <si>
    <t>water or ethanol like temperature depence</t>
  </si>
  <si>
    <t>Parameter</t>
  </si>
  <si>
    <t>Heat transfer rate (basic geometry)</t>
  </si>
  <si>
    <t>Heat transfer rate relative to water?</t>
  </si>
  <si>
    <t>Flash point</t>
  </si>
  <si>
    <t>Dielectric Strengthen (0.1" in kV)</t>
  </si>
  <si>
    <t>Dielectric Constant @ 1 kHz</t>
  </si>
  <si>
    <t>Volume Resistivity (Ohm-cm)</t>
  </si>
  <si>
    <t>Flash Point (℃)</t>
  </si>
  <si>
    <t>Auto Ignition (℃)</t>
  </si>
  <si>
    <t>Boiling (℃)</t>
  </si>
  <si>
    <t>Thermal expansion coeff. (℃-1)</t>
  </si>
  <si>
    <t>Vapor Pressure (kPa)</t>
  </si>
  <si>
    <t>Fire Point</t>
  </si>
  <si>
    <t>Pour Point °C</t>
  </si>
  <si>
    <t>Manufacturability</t>
  </si>
  <si>
    <t>Flocculation Temperature</t>
  </si>
  <si>
    <t>Sedimentation Rate</t>
  </si>
  <si>
    <t>Predicted cost</t>
  </si>
  <si>
    <t>Predicted system cost</t>
  </si>
  <si>
    <t>Toxicity</t>
  </si>
  <si>
    <t>Corrosion</t>
  </si>
  <si>
    <t>at 25°C unless noted</t>
  </si>
  <si>
    <t>Isoparrafin 5cSt</t>
  </si>
  <si>
    <t>LZ Ester Diisooctyl adipate</t>
  </si>
  <si>
    <t>Silicone 5cSt</t>
  </si>
  <si>
    <t>Density (kg/m^3 25°C)</t>
  </si>
  <si>
    <t>Density (g/cm^3 25°C)</t>
  </si>
  <si>
    <t>Viscosity at 25°C (cP)</t>
  </si>
  <si>
    <t>Heat Capacity (J/g°K)</t>
  </si>
  <si>
    <t>Thermal Conductivity (W/m°K)</t>
  </si>
  <si>
    <t>0.15*</t>
  </si>
  <si>
    <t>1.8x10^14*</t>
  </si>
  <si>
    <t>10^10</t>
  </si>
  <si>
    <t>4x10^14</t>
  </si>
  <si>
    <t>&gt;200</t>
  </si>
  <si>
    <t>&lt;0.001</t>
  </si>
  <si>
    <t>0.35 @ 200°C</t>
  </si>
  <si>
    <t>Elastomer Compatability</t>
  </si>
  <si>
    <t>Excellent</t>
  </si>
  <si>
    <t>Acceptable</t>
  </si>
  <si>
    <t>Poor with silicone-based seals</t>
  </si>
  <si>
    <t>Global Warming Potential GWP</t>
  </si>
  <si>
    <t>Viscosity at -20°C (cP)</t>
  </si>
  <si>
    <t>5*</t>
  </si>
  <si>
    <t>TBD</t>
  </si>
  <si>
    <t>KV-40 (cSt) at 40°C</t>
  </si>
  <si>
    <t>KV-100 (cSt) at 100°C</t>
  </si>
  <si>
    <t xml:space="preserve">Temperature Operating </t>
  </si>
  <si>
    <t xml:space="preserve">Temperature Storage </t>
  </si>
  <si>
    <t xml:space="preserve">Shock &amp; Vibration </t>
  </si>
  <si>
    <t xml:space="preserve">ISO 16750-3 </t>
  </si>
  <si>
    <t>samples</t>
  </si>
  <si>
    <t>water</t>
  </si>
  <si>
    <t>single</t>
  </si>
  <si>
    <t>Pa·s</t>
  </si>
  <si>
    <t>mu_f</t>
  </si>
  <si>
    <t>C</t>
  </si>
  <si>
    <t>at temp</t>
  </si>
  <si>
    <t>J/kgK</t>
  </si>
  <si>
    <t xml:space="preserve"> kg/m^3</t>
  </si>
  <si>
    <t>https://aip.scitation.org/doi/10.1063/1.3245330</t>
  </si>
  <si>
    <t>https://janaf.nist.gov/tables/Cu-001.html</t>
  </si>
  <si>
    <t>https://janaf.nist.gov/tables/Cu-015.html</t>
  </si>
  <si>
    <t>http://www.matweb.com/search/DataSheet.aspx?MatGUID=9aebe83845c04c1db5126fada6f76f7e</t>
  </si>
  <si>
    <t>http://www.matweb.com/search/DataSheet.aspx?MatGUID=5db351c27977411d930c27de7624012b</t>
  </si>
  <si>
    <t>source k_p</t>
  </si>
  <si>
    <t>source_rho_p</t>
  </si>
  <si>
    <t>http://www.matweb.com/search/datasheet.aspx?MatGUID=0d5f1ae353934c2cb76c802139363e98</t>
  </si>
  <si>
    <t>Abrasion</t>
  </si>
  <si>
    <t>ZnO</t>
  </si>
  <si>
    <t>note</t>
  </si>
  <si>
    <t>In one axis 2000, almost 0 in the other</t>
  </si>
  <si>
    <t>Graphite</t>
  </si>
  <si>
    <t>http://poplab.stanford.edu/pdfs/PopVarshneyRoy-GrapheneThermal-MRSbull12.pdf</t>
  </si>
  <si>
    <t>https://webbook.nist.gov/cgi/cbook.cgi?ID=C14808607&amp;Type=JANAFS&amp;Table=on</t>
  </si>
  <si>
    <t>http://www.ioffe.ru/SVA/NSM/Semicond/SiC/thermal.html</t>
  </si>
  <si>
    <t>https://arxiv.org/pdf/1512.04586.pdf</t>
  </si>
  <si>
    <t>https://accuratus.com/silicar.html</t>
  </si>
  <si>
    <t>https://www.korth.de/index.php/162/items/34.html</t>
  </si>
  <si>
    <t>https://www.accuratus.com/alumni.html</t>
  </si>
  <si>
    <t>http://dprl2.me.gatech.edu/sites/default/files/PDFpub/aplpaper.pdf</t>
  </si>
  <si>
    <t>http://www.matweb.com/search/datasheet.aspx?matguid=173a8f1e7cec4ce7af5dc3b90d10f756</t>
  </si>
  <si>
    <t>https://arxiv.org/pdf/1903.08862.pdf</t>
  </si>
  <si>
    <t>https://www.accuratus.com/silinit.html</t>
  </si>
  <si>
    <t>https://www.azom.com/properties.aspx?ArticleID=53</t>
  </si>
  <si>
    <t>BN</t>
  </si>
  <si>
    <t>BC</t>
  </si>
  <si>
    <t>Novec 7000</t>
  </si>
  <si>
    <t>Charge C</t>
  </si>
  <si>
    <t>Temp</t>
  </si>
  <si>
    <t>Heat Gen</t>
  </si>
  <si>
    <t>Novec 7200</t>
  </si>
  <si>
    <t>.3C</t>
  </si>
  <si>
    <t>Capacity</t>
  </si>
  <si>
    <t>Ah</t>
  </si>
  <si>
    <t>g/cm3</t>
  </si>
  <si>
    <t>Density</t>
  </si>
  <si>
    <t>Mass</t>
  </si>
  <si>
    <t>Nominal Voltage</t>
  </si>
  <si>
    <t>g</t>
  </si>
  <si>
    <t>cm3</t>
  </si>
  <si>
    <t>Volume</t>
  </si>
  <si>
    <t>W/cm3</t>
  </si>
  <si>
    <t>25-35</t>
  </si>
  <si>
    <t>C (capacity/1hr)</t>
  </si>
  <si>
    <t>https://www.azom.com/properties.aspx?ArticleID=75</t>
  </si>
  <si>
    <t>SiC</t>
  </si>
  <si>
    <t>Pb</t>
  </si>
  <si>
    <t>Bi</t>
  </si>
  <si>
    <t>Ni</t>
  </si>
  <si>
    <t>Al</t>
  </si>
  <si>
    <t>Zn</t>
  </si>
  <si>
    <t>https://www.azom.com/article.aspx?ArticleID=6360</t>
  </si>
  <si>
    <t>Brass (65% Cu)</t>
  </si>
  <si>
    <t>Si</t>
  </si>
  <si>
    <t>http://www.matweb.com/search/DataSheet.aspx?MatGUID=0cd1edf33ac145ee93a0aa6fc666c0e0</t>
  </si>
  <si>
    <t>http://www.matweb.com/search/DataSheet.aspx?MatGUID=e6eb83327e534850a062dbca3bc758dc</t>
  </si>
  <si>
    <t>W</t>
  </si>
  <si>
    <t>https://reader.elsevier.com/reader/sd/pii/S0022311519303447?token=0DFBDA600CF4CD5A724FDFE03D54B6CD207B130E963065C7743B08D022E8342CF4C2F2E5DE07900F4027F13F5001576C</t>
  </si>
  <si>
    <t>UN</t>
  </si>
  <si>
    <t>ThN</t>
  </si>
  <si>
    <t>number code</t>
  </si>
  <si>
    <t>code</t>
  </si>
  <si>
    <t>256292N</t>
  </si>
  <si>
    <t>Lumped Cell model for 18650 Cell: See ﻿(1) Saw, L. H.; Ye, Y.; Tay, A. A. O. Electrochemical-Thermal Analysis of 18650 Lithium Iron Phosphate Cell. Energy Convers. Manag. 2013, 75, 162–174. https://doi.org/10.1016/j.enconman.2013.05.040.</t>
  </si>
  <si>
    <t>Value</t>
  </si>
  <si>
    <t>Nominal voltage, V</t>
  </si>
  <si>
    <t>Cu current collector thickness, l m</t>
  </si>
  <si>
    <t>Nominal capacity, Ah</t>
  </si>
  <si>
    <t>Al current collector thickness, l m</t>
  </si>
  <si>
    <t>Cell weight, g</t>
  </si>
  <si>
    <t>Separator thickness, l m</t>
  </si>
  <si>
    <t>Can thickness, mm</t>
  </si>
  <si>
    <t>Positive electrode height, cm</t>
  </si>
  <si>
    <t>Heat shrink wrap material</t>
  </si>
  <si>
    <t>PVC</t>
  </si>
  <si>
    <t>Negative electrode height, cm</t>
  </si>
  <si>
    <t>Heat shrink wrap thickness, lm</t>
  </si>
  <si>
    <t>Positive electrode length, cm</t>
  </si>
  <si>
    <t>Mandrel diameter, mm</t>
  </si>
  <si>
    <t>Negative electrode length, cm</t>
  </si>
  <si>
    <t>Positive electrode mass, g</t>
  </si>
  <si>
    <t>Negative electrode mass, g</t>
  </si>
  <si>
    <t>Positive electrode thermal conductivity, W m-1 K-1</t>
  </si>
  <si>
    <t>Positive electrode thickness (2sided), l m</t>
  </si>
  <si>
    <t>Negative electrode thermal conductivity, W m-1 K-1 [30]</t>
  </si>
  <si>
    <t>Negative electrode thickness (2sided), l m</t>
  </si>
  <si>
    <t>Positive current collector thermal conductivity, W m-1 K-1 [30]</t>
  </si>
  <si>
    <t>Heat capacity positive electrode, J kg-1 K-1 [31]</t>
  </si>
  <si>
    <t>Negative current collector thermal conductivity, W m-1 K-1 [30]</t>
  </si>
  <si>
    <t>Heat capacity negative electrode, J kg-1 K-1 [30]</t>
  </si>
  <si>
    <t>Positive current collector density, kg m-3 [30]</t>
  </si>
  <si>
    <t>Heat capacity positive current collector, J kg-1 K-1 [30]</t>
  </si>
  <si>
    <t>Negative current collector density, kg m-3 [30]</t>
  </si>
  <si>
    <t>Heat capacity negative current collector, J kg-1 K-1 [30]</t>
  </si>
  <si>
    <t>Positive electrode density, kg m-3 [32]</t>
  </si>
  <si>
    <t>Separator heat capacity, J kg-1 K-1 [30]</t>
  </si>
  <si>
    <t>Negative electrode density,
kg m-3 [30]</t>
  </si>
  <si>
    <t>Separator density, kg m-3 [30]</t>
  </si>
  <si>
    <t>Separator thermal conductivity, W m-1 K-1 [30]</t>
  </si>
  <si>
    <t>Electrolyte thermal conductivity, W m-1 K-1 [30]</t>
  </si>
  <si>
    <t>Electrolyte density, kg m-3 [30]</t>
  </si>
  <si>
    <t>Electrolyte heat capacity, J kg-1 K-1 [30]</t>
  </si>
  <si>
    <t>Thickness (microns)</t>
  </si>
  <si>
    <t>Specific heat (J kg-1 K-1)</t>
  </si>
  <si>
    <t>Conductivity  (W m-1 K-1)</t>
  </si>
  <si>
    <t>Density ( kg m-3 )</t>
  </si>
  <si>
    <t>18650 Cell Surrogate Design 1</t>
  </si>
  <si>
    <t>Component</t>
  </si>
  <si>
    <t xml:space="preserve">Specific Part </t>
  </si>
  <si>
    <t>Tube</t>
  </si>
  <si>
    <t>Heater</t>
  </si>
  <si>
    <t>Average Density</t>
  </si>
  <si>
    <t>Total Heat Capacity</t>
  </si>
  <si>
    <t>Total Conducivity</t>
  </si>
  <si>
    <t>Total Conducivity Angular</t>
  </si>
  <si>
    <t>Total Conducivity Radial</t>
  </si>
  <si>
    <t>Unit</t>
  </si>
  <si>
    <t>Recommended Charge Rate</t>
  </si>
  <si>
    <t>Recommended Charge Current</t>
  </si>
  <si>
    <t>A</t>
  </si>
  <si>
    <t>Average power density at 10C</t>
  </si>
  <si>
    <t>Average power flux at 10C</t>
  </si>
  <si>
    <t>kW/m2</t>
  </si>
  <si>
    <t>Tdegrade</t>
  </si>
  <si>
    <t>°C</t>
  </si>
  <si>
    <t>Toperating</t>
  </si>
  <si>
    <t>Tvariation</t>
  </si>
  <si>
    <t>Trunaway</t>
  </si>
  <si>
    <t>radius</t>
  </si>
  <si>
    <t>Potting Inner</t>
  </si>
  <si>
    <t>Potting Outer</t>
  </si>
  <si>
    <t>m</t>
  </si>
  <si>
    <t>height</t>
  </si>
  <si>
    <t>Total Volume (cm3)</t>
  </si>
  <si>
    <t>Silicone Rubber https://www.azom.com/properties.aspx?ArticleID=920</t>
  </si>
  <si>
    <t>Other name</t>
  </si>
  <si>
    <t>CTE</t>
  </si>
  <si>
    <t>A (K)</t>
  </si>
  <si>
    <t>T_0 (K)</t>
  </si>
  <si>
    <t>η_0 Pa s</t>
  </si>
  <si>
    <t>kg/m^3</t>
  </si>
  <si>
    <t>1/K</t>
  </si>
  <si>
    <t>SOLTROL 220</t>
  </si>
  <si>
    <t>GDIIOAD_23</t>
  </si>
  <si>
    <t>Silicone Oil 5 cSt</t>
  </si>
  <si>
    <t>Thermal expansion coeff. (C-1)</t>
  </si>
  <si>
    <t>Pour Point (C)</t>
  </si>
  <si>
    <t>Flash Point (C)</t>
  </si>
  <si>
    <t>Auto Ignition (C)</t>
  </si>
  <si>
    <t>Boiling (C)</t>
  </si>
  <si>
    <t>source cv_p</t>
  </si>
  <si>
    <t>Dielectric Strength</t>
  </si>
  <si>
    <t>Vogel Fletcher Tammann Par</t>
  </si>
  <si>
    <t>bf_id_s</t>
  </si>
  <si>
    <t>np_id_s</t>
  </si>
  <si>
    <t>MgO</t>
  </si>
  <si>
    <t>https://www.azom.com/properties.aspx?ArticleID=54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</si>
</sst>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00"/>
    <numFmt numFmtId="166" formatCode="0.000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wrapText="1"/>
    </xf>
    <xf numFmtId="0" fontId="7" fillId="0" borderId="0" xfId="1" applyAlignment="1">
      <alignment wrapText="1"/>
    </xf>
    <xf numFmtId="0" fontId="8" fillId="0" borderId="0" xfId="0" applyFont="1" applyAlignment="1">
      <alignment horizontal="left" vertical="center" wrapText="1" readingOrder="1"/>
    </xf>
    <xf numFmtId="0" fontId="7" fillId="0" borderId="0" xfId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Alignment="1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Font="1"/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Fon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166" fontId="0" fillId="0" borderId="0" xfId="0" applyNumberFormat="1"/>
    <xf numFmtId="0" fontId="5" fillId="0" borderId="0" xfId="0" applyFont="1"/>
    <xf numFmtId="11" fontId="0" fillId="0" borderId="0" xfId="0" applyNumberFormat="1"/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Heat Gen at 298K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'power prod'!$C$1</c:f>
              <c:strCache>
                <c:ptCount val="1"/>
                <c:pt idx="0">
                  <c:v>Heat Gen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'power prod'!$A$2:$A$8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'power prod'!$C$2:$C$8</c:f>
              <c:numCache>
                <c:formatCode>General</c:formatCode>
                <c:ptCount val="7"/>
                <c:pt idx="0">
                  <c:v>1</c:v>
                </c:pt>
                <c:pt idx="1">
                  <c:v>7.2588235294117647</c:v>
                </c:pt>
                <c:pt idx="2">
                  <c:v>28.298039215686273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8-C648-956C-4A4A6C057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90703"/>
        <c:axId val="140469935"/>
      </c:scatterChart>
      <c:valAx>
        <c:axId val="14129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Rate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69935"/>
        <c:crosses val="autoZero"/>
        <c:crossBetween val="midCat"/>
      </c:valAx>
      <c:valAx>
        <c:axId val="14046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Heat 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9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'power prod'!$H$1</c:f>
              <c:strCache>
                <c:ptCount val="1"/>
                <c:pt idx="0">
                  <c:v>Heat Gen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'power prod'!$G$2:$G$8</c:f>
              <c:numCache>
                <c:formatCode>General</c:formatCode>
                <c:ptCount val="7"/>
                <c:pt idx="1">
                  <c:v>278</c:v>
                </c:pt>
                <c:pt idx="2">
                  <c:v>298</c:v>
                </c:pt>
                <c:pt idx="3">
                  <c:v>318</c:v>
                </c:pt>
              </c:numCache>
            </c:numRef>
          </c:xVal>
          <c:yVal>
            <c:numRef>
              <c:f>'power prod'!$H$2:$H$8</c:f>
              <c:numCache>
                <c:formatCode>General</c:formatCode>
                <c:ptCount val="7"/>
                <c:pt idx="1">
                  <c:v>1.9240246406570845</c:v>
                </c:pt>
                <c:pt idx="2">
                  <c:v>1</c:v>
                </c:pt>
                <c:pt idx="3">
                  <c:v>0.49691991786447637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F-7F47-BB0F-A7ECE3CB1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01647"/>
        <c:axId val="198625119"/>
      </c:scatterChart>
      <c:valAx>
        <c:axId val="136401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 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5119"/>
        <c:crosses val="autoZero"/>
        <c:crossBetween val="midCat"/>
      </c:valAx>
      <c:valAx>
        <c:axId val="19862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Heat 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0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12</xdr:row>
      <xdr:rowOff>118534</xdr:rowOff>
    </xdr:from>
    <xdr:to>
      <xdr:col>7</xdr:col>
      <xdr:colOff>423334</xdr:colOff>
      <xdr:row>26</xdr:row>
      <xdr:rowOff>16934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9CEBB0-EE60-CB45-AD94-F62EE08E5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626533</xdr:colOff>
      <xdr:row>12</xdr:row>
      <xdr:rowOff>67733</xdr:rowOff>
    </xdr:from>
    <xdr:to>
      <xdr:col>13</xdr:col>
      <xdr:colOff>220133</xdr:colOff>
      <xdr:row>25</xdr:row>
      <xdr:rowOff>169333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824068E-7639-744C-BF9D-5060A17E1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oplab.stanford.edu/pdfs/PopVarshneyRoy-GrapheneThermal-MRSbull12.pdf" TargetMode="External"/><Relationship Id="rId13" Type="http://schemas.openxmlformats.org/officeDocument/2006/relationships/hyperlink" Target="https://www.azom.com/article.aspx?ArticleID=6360" TargetMode="External"/><Relationship Id="rId3" Type="http://schemas.openxmlformats.org/officeDocument/2006/relationships/hyperlink" Target="https://janaf.nist.gov/tables/Cu-001.html" TargetMode="External"/><Relationship Id="rId7" Type="http://schemas.openxmlformats.org/officeDocument/2006/relationships/hyperlink" Target="http://poplab.stanford.edu/pdfs/PopVarshneyRoy-GrapheneThermal-MRSbull12.pdf" TargetMode="External"/><Relationship Id="rId12" Type="http://schemas.openxmlformats.org/officeDocument/2006/relationships/hyperlink" Target="https://www.azom.com/properties.aspx?ArticleID=75" TargetMode="External"/><Relationship Id="rId17" Type="http://schemas.openxmlformats.org/officeDocument/2006/relationships/hyperlink" Target="https://reader.elsevier.com/reader/sd/pii/S0022311519303447?token=0DFBDA600CF4CD5A724FDFE03D54B6CD207B130E963065C7743B08D022E8342CF4C2F2E5DE07900F4027F13F5001576C" TargetMode="External"/><Relationship Id="rId2" Type="http://schemas.openxmlformats.org/officeDocument/2006/relationships/hyperlink" Target="https://aip.scitation.org/doi/10.1063/1.3245330" TargetMode="External"/><Relationship Id="rId16" Type="http://schemas.openxmlformats.org/officeDocument/2006/relationships/hyperlink" Target="https://reader.elsevier.com/reader/sd/pii/S0022311519303447?token=0DFBDA600CF4CD5A724FDFE03D54B6CD207B130E963065C7743B08D022E8342CF4C2F2E5DE07900F4027F13F5001576C" TargetMode="External"/><Relationship Id="rId1" Type="http://schemas.openxmlformats.org/officeDocument/2006/relationships/hyperlink" Target="https://aip.scitation.org/doi/10.1063/1.3245330" TargetMode="External"/><Relationship Id="rId6" Type="http://schemas.openxmlformats.org/officeDocument/2006/relationships/hyperlink" Target="http://www.matweb.com/search/DataSheet.aspx?MatGUID=5db351c27977411d930c27de7624012b" TargetMode="External"/><Relationship Id="rId11" Type="http://schemas.openxmlformats.org/officeDocument/2006/relationships/hyperlink" Target="http://www.matweb.com/search/datasheet.aspx?MatGUID=0d5f1ae353934c2cb76c802139363e98" TargetMode="External"/><Relationship Id="rId5" Type="http://schemas.openxmlformats.org/officeDocument/2006/relationships/hyperlink" Target="http://www.matweb.com/search/DataSheet.aspx?MatGUID=9aebe83845c04c1db5126fada6f76f7e" TargetMode="External"/><Relationship Id="rId15" Type="http://schemas.openxmlformats.org/officeDocument/2006/relationships/hyperlink" Target="http://www.matweb.com/search/DataSheet.aspx?MatGUID=e6eb83327e534850a062dbca3bc758dc" TargetMode="External"/><Relationship Id="rId10" Type="http://schemas.openxmlformats.org/officeDocument/2006/relationships/hyperlink" Target="https://www.accuratus.com/alumni.html" TargetMode="External"/><Relationship Id="rId4" Type="http://schemas.openxmlformats.org/officeDocument/2006/relationships/hyperlink" Target="https://janaf.nist.gov/tables/Cu-015.html" TargetMode="External"/><Relationship Id="rId9" Type="http://schemas.openxmlformats.org/officeDocument/2006/relationships/hyperlink" Target="https://www.accuratus.com/silinit.html" TargetMode="External"/><Relationship Id="rId14" Type="http://schemas.openxmlformats.org/officeDocument/2006/relationships/hyperlink" Target="http://www.matweb.com/search/DataSheet.aspx?MatGUID=0cd1edf33ac145ee93a0aa6fc666c0e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thermal_conductivities" TargetMode="External"/><Relationship Id="rId2" Type="http://schemas.openxmlformats.org/officeDocument/2006/relationships/hyperlink" Target="https://en.wikipedia.org/wiki/Table_of_specific_heat_capacities" TargetMode="External"/><Relationship Id="rId1" Type="http://schemas.openxmlformats.org/officeDocument/2006/relationships/hyperlink" Target="https://en.wikipedia.org/wiki/List_of_viscositie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C50A-A313-F546-AE86-448D291CD1A2}">
  <dimension ref="A1:U30"/>
  <sheetViews>
    <sheetView workbookViewId="0">
      <selection activeCell="G32" sqref="G32"/>
    </sheetView>
  </sheetViews>
  <sheetFormatPr baseColWidth="10" defaultRowHeight="16" x14ac:dyDescent="0.2"/>
  <cols>
    <col min="1" max="1" width="16" customWidth="1"/>
    <col min="2" max="2" width="11" bestFit="1" customWidth="1"/>
    <col min="3" max="3" width="12.6640625" bestFit="1" customWidth="1"/>
    <col min="4" max="4" width="14.33203125" style="12" customWidth="1"/>
    <col min="5" max="6" width="11" bestFit="1" customWidth="1"/>
    <col min="7" max="7" width="76.1640625" customWidth="1"/>
    <col min="9" max="9" width="25.83203125" customWidth="1"/>
    <col min="10" max="10" width="44.83203125" customWidth="1"/>
  </cols>
  <sheetData>
    <row r="1" spans="1:21" x14ac:dyDescent="0.2">
      <c r="A1" t="s">
        <v>271</v>
      </c>
      <c r="B1" t="s">
        <v>33</v>
      </c>
      <c r="C1" t="s">
        <v>37</v>
      </c>
      <c r="D1" s="1" t="s">
        <v>39</v>
      </c>
      <c r="E1" t="s">
        <v>40</v>
      </c>
      <c r="F1" t="s">
        <v>113</v>
      </c>
      <c r="G1" t="s">
        <v>121</v>
      </c>
      <c r="H1" s="5" t="s">
        <v>267</v>
      </c>
      <c r="I1" s="5" t="s">
        <v>122</v>
      </c>
      <c r="J1" t="s">
        <v>126</v>
      </c>
      <c r="K1" s="5"/>
      <c r="L1" s="5"/>
      <c r="M1" s="5"/>
      <c r="N1" s="5"/>
      <c r="O1" s="5"/>
      <c r="P1" s="5"/>
      <c r="Q1" s="5"/>
      <c r="R1" s="5"/>
      <c r="S1" s="5"/>
      <c r="T1" s="6"/>
      <c r="U1" s="5"/>
    </row>
    <row r="2" spans="1:21" x14ac:dyDescent="0.2">
      <c r="A2" t="s">
        <v>14</v>
      </c>
      <c r="B2" s="7" t="s">
        <v>6</v>
      </c>
      <c r="C2" t="s">
        <v>38</v>
      </c>
      <c r="D2" s="1" t="s">
        <v>114</v>
      </c>
      <c r="E2" s="1" t="s">
        <v>115</v>
      </c>
      <c r="F2">
        <v>298</v>
      </c>
      <c r="G2" s="11"/>
    </row>
    <row r="3" spans="1:21" x14ac:dyDescent="0.2">
      <c r="A3" s="5" t="s">
        <v>15</v>
      </c>
      <c r="B3" s="15">
        <v>2000</v>
      </c>
      <c r="C3" s="18">
        <f t="shared" ref="C3:C30" si="0">10^-8</f>
        <v>1E-8</v>
      </c>
      <c r="D3" s="21">
        <v>700</v>
      </c>
      <c r="E3" s="21">
        <v>3000</v>
      </c>
      <c r="F3" s="15">
        <v>298</v>
      </c>
      <c r="G3" s="11" t="s">
        <v>129</v>
      </c>
      <c r="J3" t="s">
        <v>127</v>
      </c>
    </row>
    <row r="4" spans="1:21" x14ac:dyDescent="0.2">
      <c r="A4" s="5" t="s">
        <v>128</v>
      </c>
      <c r="B4" s="15">
        <v>2000</v>
      </c>
      <c r="C4" s="18">
        <f t="shared" si="0"/>
        <v>1E-8</v>
      </c>
      <c r="D4" s="21">
        <v>700</v>
      </c>
      <c r="E4" s="21">
        <v>2200</v>
      </c>
      <c r="F4" s="15">
        <v>298</v>
      </c>
      <c r="G4" s="11" t="s">
        <v>129</v>
      </c>
    </row>
    <row r="5" spans="1:21" ht="17" x14ac:dyDescent="0.2">
      <c r="A5" s="5" t="s">
        <v>17</v>
      </c>
      <c r="B5" s="15">
        <v>1.38</v>
      </c>
      <c r="C5" s="18">
        <f t="shared" si="0"/>
        <v>1E-8</v>
      </c>
      <c r="D5" s="21">
        <v>680</v>
      </c>
      <c r="E5" s="21">
        <v>2200</v>
      </c>
      <c r="F5" s="15">
        <v>298</v>
      </c>
      <c r="G5" t="s">
        <v>130</v>
      </c>
    </row>
    <row r="6" spans="1:21" ht="17" x14ac:dyDescent="0.2">
      <c r="A6" s="5" t="s">
        <v>19</v>
      </c>
      <c r="B6" s="15">
        <v>35</v>
      </c>
      <c r="C6" s="18">
        <f t="shared" si="0"/>
        <v>1E-8</v>
      </c>
      <c r="D6" s="21">
        <v>755</v>
      </c>
      <c r="E6" s="21">
        <v>3040</v>
      </c>
      <c r="F6" s="15">
        <v>298</v>
      </c>
      <c r="G6" s="11" t="s">
        <v>116</v>
      </c>
    </row>
    <row r="7" spans="1:21" x14ac:dyDescent="0.2">
      <c r="A7" s="5" t="s">
        <v>20</v>
      </c>
      <c r="B7" s="16">
        <v>170</v>
      </c>
      <c r="C7" s="19">
        <f t="shared" si="0"/>
        <v>1E-8</v>
      </c>
      <c r="D7" s="22">
        <v>740</v>
      </c>
      <c r="E7" s="22">
        <v>3260</v>
      </c>
      <c r="F7" s="16">
        <v>298</v>
      </c>
      <c r="G7" s="11" t="s">
        <v>123</v>
      </c>
      <c r="H7" s="11" t="s">
        <v>135</v>
      </c>
    </row>
    <row r="8" spans="1:21" x14ac:dyDescent="0.2">
      <c r="A8" s="5" t="s">
        <v>22</v>
      </c>
      <c r="B8" s="16">
        <v>750</v>
      </c>
      <c r="C8" s="19">
        <f t="shared" si="0"/>
        <v>1E-8</v>
      </c>
      <c r="D8" s="22">
        <v>770</v>
      </c>
      <c r="E8" s="22">
        <v>2100</v>
      </c>
      <c r="F8" s="16">
        <v>298</v>
      </c>
      <c r="G8" t="s">
        <v>138</v>
      </c>
      <c r="H8" t="s">
        <v>132</v>
      </c>
    </row>
    <row r="9" spans="1:21" ht="17" x14ac:dyDescent="0.2">
      <c r="A9" s="5" t="s">
        <v>23</v>
      </c>
      <c r="B9" s="16">
        <v>7.4</v>
      </c>
      <c r="C9" s="19">
        <f t="shared" si="0"/>
        <v>1E-8</v>
      </c>
      <c r="D9" s="22">
        <v>711</v>
      </c>
      <c r="E9" s="22">
        <v>4230</v>
      </c>
      <c r="F9" s="16">
        <v>298</v>
      </c>
      <c r="G9" s="11" t="s">
        <v>120</v>
      </c>
      <c r="H9" t="s">
        <v>134</v>
      </c>
      <c r="I9" t="s">
        <v>137</v>
      </c>
    </row>
    <row r="10" spans="1:21" x14ac:dyDescent="0.2">
      <c r="A10" s="5" t="s">
        <v>125</v>
      </c>
      <c r="B10" s="16">
        <v>50</v>
      </c>
      <c r="C10" s="19">
        <f t="shared" si="0"/>
        <v>1E-8</v>
      </c>
      <c r="D10" s="22">
        <v>500</v>
      </c>
      <c r="E10" s="22">
        <v>5605</v>
      </c>
      <c r="F10" s="16">
        <v>298</v>
      </c>
      <c r="G10" t="s">
        <v>136</v>
      </c>
    </row>
    <row r="11" spans="1:21" x14ac:dyDescent="0.2">
      <c r="A11" s="5" t="s">
        <v>25</v>
      </c>
      <c r="B11" s="15">
        <v>315</v>
      </c>
      <c r="C11" s="18">
        <f t="shared" si="0"/>
        <v>1E-8</v>
      </c>
      <c r="D11" s="21">
        <v>128</v>
      </c>
      <c r="E11" s="21">
        <v>19320</v>
      </c>
      <c r="F11" s="15">
        <v>298</v>
      </c>
      <c r="G11" s="11" t="s">
        <v>116</v>
      </c>
    </row>
    <row r="12" spans="1:21" x14ac:dyDescent="0.2">
      <c r="A12" s="5" t="s">
        <v>162</v>
      </c>
      <c r="B12" s="17">
        <v>120</v>
      </c>
      <c r="C12" s="20">
        <f t="shared" si="0"/>
        <v>1E-8</v>
      </c>
      <c r="D12" s="23">
        <v>750</v>
      </c>
      <c r="E12" s="23">
        <v>3100</v>
      </c>
      <c r="F12" s="17">
        <v>298</v>
      </c>
    </row>
    <row r="13" spans="1:21" ht="17" x14ac:dyDescent="0.2">
      <c r="A13" s="5" t="s">
        <v>18</v>
      </c>
      <c r="B13" s="16">
        <v>30</v>
      </c>
      <c r="C13" s="19">
        <f t="shared" si="0"/>
        <v>1E-8</v>
      </c>
      <c r="D13" s="22">
        <v>673</v>
      </c>
      <c r="E13" s="22">
        <v>3170</v>
      </c>
      <c r="F13" s="16">
        <v>298</v>
      </c>
      <c r="G13" s="11" t="s">
        <v>139</v>
      </c>
      <c r="H13" t="s">
        <v>140</v>
      </c>
    </row>
    <row r="14" spans="1:21" x14ac:dyDescent="0.2">
      <c r="A14" s="5" t="s">
        <v>29</v>
      </c>
      <c r="B14" s="15">
        <v>398</v>
      </c>
      <c r="C14" s="18">
        <f t="shared" si="0"/>
        <v>1E-8</v>
      </c>
      <c r="D14" s="21">
        <v>385</v>
      </c>
      <c r="E14" s="21">
        <v>8930</v>
      </c>
      <c r="F14" s="16">
        <v>298</v>
      </c>
      <c r="H14" s="11" t="s">
        <v>119</v>
      </c>
      <c r="I14" s="11" t="s">
        <v>117</v>
      </c>
    </row>
    <row r="15" spans="1:21" x14ac:dyDescent="0.2">
      <c r="A15" s="5" t="s">
        <v>31</v>
      </c>
      <c r="B15" s="16">
        <v>33</v>
      </c>
      <c r="C15" s="19">
        <f t="shared" si="0"/>
        <v>1E-8</v>
      </c>
      <c r="D15" s="22">
        <v>42.246000000000002</v>
      </c>
      <c r="E15" s="22">
        <v>8287.2000000000007</v>
      </c>
      <c r="F15" s="16">
        <v>298</v>
      </c>
      <c r="H15" s="11" t="s">
        <v>118</v>
      </c>
    </row>
    <row r="16" spans="1:21" s="13" customFormat="1" x14ac:dyDescent="0.2">
      <c r="A16" s="5" t="s">
        <v>141</v>
      </c>
      <c r="B16" s="17">
        <v>600</v>
      </c>
      <c r="C16" s="19">
        <f t="shared" si="0"/>
        <v>1E-8</v>
      </c>
      <c r="D16" s="23">
        <v>19.7</v>
      </c>
      <c r="E16" s="23">
        <v>3450</v>
      </c>
      <c r="F16" s="17">
        <v>298</v>
      </c>
      <c r="G16" s="13" t="s">
        <v>131</v>
      </c>
      <c r="H16" s="13" t="s">
        <v>133</v>
      </c>
    </row>
    <row r="17" spans="1:7" x14ac:dyDescent="0.2">
      <c r="A17" s="5" t="s">
        <v>142</v>
      </c>
      <c r="B17" s="16">
        <v>17</v>
      </c>
      <c r="C17" s="19">
        <f t="shared" si="0"/>
        <v>1E-8</v>
      </c>
      <c r="D17" s="22">
        <v>840</v>
      </c>
      <c r="E17" s="23">
        <v>2520</v>
      </c>
      <c r="F17" s="17">
        <v>298</v>
      </c>
      <c r="G17" s="11" t="s">
        <v>161</v>
      </c>
    </row>
    <row r="18" spans="1:7" x14ac:dyDescent="0.2">
      <c r="A18" s="5" t="s">
        <v>163</v>
      </c>
      <c r="B18" s="16">
        <v>35.299999999999997</v>
      </c>
      <c r="C18" s="19">
        <f t="shared" si="0"/>
        <v>1E-8</v>
      </c>
      <c r="D18" s="12">
        <v>128</v>
      </c>
      <c r="E18" s="23">
        <v>11340</v>
      </c>
      <c r="F18" s="17">
        <v>298</v>
      </c>
    </row>
    <row r="19" spans="1:7" x14ac:dyDescent="0.2">
      <c r="A19" s="5" t="s">
        <v>164</v>
      </c>
      <c r="B19" s="16">
        <v>10</v>
      </c>
      <c r="C19" s="19">
        <f t="shared" si="0"/>
        <v>1E-8</v>
      </c>
      <c r="D19" s="12">
        <v>125</v>
      </c>
      <c r="E19" s="23">
        <v>9750</v>
      </c>
      <c r="F19" s="17">
        <v>298</v>
      </c>
    </row>
    <row r="20" spans="1:7" x14ac:dyDescent="0.2">
      <c r="A20" s="5" t="s">
        <v>165</v>
      </c>
      <c r="B20">
        <v>60.7</v>
      </c>
      <c r="C20" s="19">
        <f t="shared" si="0"/>
        <v>1E-8</v>
      </c>
      <c r="D20" s="12">
        <v>460</v>
      </c>
      <c r="E20" s="23">
        <v>8900</v>
      </c>
      <c r="F20" s="17">
        <v>298</v>
      </c>
      <c r="G20" s="11" t="s">
        <v>172</v>
      </c>
    </row>
    <row r="21" spans="1:7" x14ac:dyDescent="0.2">
      <c r="A21" s="5" t="s">
        <v>166</v>
      </c>
      <c r="B21">
        <v>237</v>
      </c>
      <c r="C21" s="19">
        <f t="shared" si="0"/>
        <v>1E-8</v>
      </c>
      <c r="D21" s="12">
        <v>910</v>
      </c>
      <c r="E21" s="23">
        <v>2698.9</v>
      </c>
      <c r="F21" s="17">
        <v>298</v>
      </c>
      <c r="G21" s="11" t="s">
        <v>171</v>
      </c>
    </row>
    <row r="22" spans="1:7" x14ac:dyDescent="0.2">
      <c r="A22" s="5" t="s">
        <v>4</v>
      </c>
      <c r="B22">
        <v>0.60650000000000004</v>
      </c>
      <c r="C22" s="19">
        <f t="shared" si="0"/>
        <v>1E-8</v>
      </c>
      <c r="D22" s="12">
        <v>4181.3999999999996</v>
      </c>
      <c r="E22" s="23">
        <v>997.04740000000004</v>
      </c>
      <c r="F22" s="17">
        <v>298</v>
      </c>
    </row>
    <row r="23" spans="1:7" x14ac:dyDescent="0.2">
      <c r="A23" s="5" t="s">
        <v>167</v>
      </c>
      <c r="B23">
        <v>120</v>
      </c>
      <c r="C23" s="19">
        <f t="shared" si="0"/>
        <v>1E-8</v>
      </c>
      <c r="D23" s="12">
        <v>387</v>
      </c>
      <c r="E23" s="23">
        <v>7140</v>
      </c>
      <c r="F23" s="17">
        <v>298</v>
      </c>
    </row>
    <row r="24" spans="1:7" x14ac:dyDescent="0.2">
      <c r="A24" s="5" t="s">
        <v>169</v>
      </c>
      <c r="B24">
        <v>116</v>
      </c>
      <c r="C24" s="19">
        <f t="shared" si="0"/>
        <v>1E-8</v>
      </c>
      <c r="D24" s="12">
        <v>380</v>
      </c>
      <c r="E24">
        <v>8470</v>
      </c>
      <c r="F24" s="17">
        <v>298</v>
      </c>
      <c r="G24" s="11" t="s">
        <v>168</v>
      </c>
    </row>
    <row r="25" spans="1:7" x14ac:dyDescent="0.2">
      <c r="A25" s="5" t="s">
        <v>12</v>
      </c>
      <c r="B25">
        <v>100</v>
      </c>
      <c r="C25" s="19">
        <f t="shared" si="0"/>
        <v>1E-8</v>
      </c>
      <c r="D25" s="12">
        <v>753</v>
      </c>
      <c r="E25">
        <v>8560</v>
      </c>
      <c r="F25" s="17">
        <v>298</v>
      </c>
    </row>
    <row r="26" spans="1:7" x14ac:dyDescent="0.2">
      <c r="A26" s="5" t="s">
        <v>170</v>
      </c>
      <c r="B26">
        <v>150</v>
      </c>
      <c r="C26" s="19">
        <f t="shared" si="0"/>
        <v>1E-8</v>
      </c>
      <c r="D26" s="12">
        <v>711</v>
      </c>
      <c r="E26">
        <v>2330</v>
      </c>
      <c r="F26" s="17">
        <v>298</v>
      </c>
    </row>
    <row r="27" spans="1:7" x14ac:dyDescent="0.2">
      <c r="A27" s="5" t="s">
        <v>173</v>
      </c>
      <c r="B27">
        <v>170</v>
      </c>
      <c r="C27" s="19">
        <f t="shared" si="0"/>
        <v>1E-8</v>
      </c>
      <c r="D27" s="12">
        <v>132</v>
      </c>
      <c r="E27">
        <v>19250</v>
      </c>
      <c r="F27" s="17">
        <v>298</v>
      </c>
    </row>
    <row r="28" spans="1:7" x14ac:dyDescent="0.2">
      <c r="A28" s="5" t="s">
        <v>175</v>
      </c>
      <c r="B28">
        <v>12</v>
      </c>
      <c r="C28" s="19">
        <f t="shared" si="0"/>
        <v>1E-8</v>
      </c>
      <c r="D28">
        <v>45</v>
      </c>
      <c r="E28">
        <v>1130</v>
      </c>
      <c r="F28" s="17">
        <v>298</v>
      </c>
      <c r="G28" s="11" t="s">
        <v>174</v>
      </c>
    </row>
    <row r="29" spans="1:7" x14ac:dyDescent="0.2">
      <c r="A29" s="5" t="s">
        <v>176</v>
      </c>
      <c r="B29">
        <v>45</v>
      </c>
      <c r="C29" s="19">
        <f t="shared" si="0"/>
        <v>1E-8</v>
      </c>
      <c r="D29" s="12">
        <v>40</v>
      </c>
      <c r="E29">
        <v>11600</v>
      </c>
      <c r="F29" s="17">
        <v>298</v>
      </c>
      <c r="G29" s="11" t="s">
        <v>174</v>
      </c>
    </row>
    <row r="30" spans="1:7" x14ac:dyDescent="0.2">
      <c r="A30" s="5" t="s">
        <v>272</v>
      </c>
      <c r="B30">
        <v>50</v>
      </c>
      <c r="C30" s="19">
        <f t="shared" si="0"/>
        <v>1E-8</v>
      </c>
      <c r="D30" s="12">
        <v>1000</v>
      </c>
      <c r="E30">
        <v>3580</v>
      </c>
      <c r="F30" s="17">
        <v>298</v>
      </c>
      <c r="G30" t="s">
        <v>273</v>
      </c>
    </row>
  </sheetData>
  <hyperlinks>
    <hyperlink ref="G6" r:id="rId1" xr:uid="{818C844B-3DD6-6C4E-8499-FF800DEDF8DD}"/>
    <hyperlink ref="G11" r:id="rId2" xr:uid="{A257288D-CC3B-0D48-A268-0B5FCE530127}"/>
    <hyperlink ref="I14" r:id="rId3" xr:uid="{FBA67FE7-196F-3448-A113-3FF031823CEF}"/>
    <hyperlink ref="H15" r:id="rId4" xr:uid="{D141F6DD-DB6E-B64E-B560-4FB01B80672F}"/>
    <hyperlink ref="H14" r:id="rId5" xr:uid="{C43468AD-5D3D-3248-A913-964166C332B8}"/>
    <hyperlink ref="G9" r:id="rId6" xr:uid="{7E4A0C17-9011-AB42-BD85-4F0031F33DE1}"/>
    <hyperlink ref="G3" r:id="rId7" xr:uid="{9DA736D2-58A5-AA49-A3B8-2559207028DE}"/>
    <hyperlink ref="G4" r:id="rId8" xr:uid="{3D571AC1-FC62-3449-9B25-806B6735D111}"/>
    <hyperlink ref="G13" r:id="rId9" xr:uid="{D4FB5050-C982-A74F-9D2C-68B770D68075}"/>
    <hyperlink ref="H7" r:id="rId10" xr:uid="{6340DA64-78E3-2E47-B31A-D6554D393163}"/>
    <hyperlink ref="G7" r:id="rId11" xr:uid="{DB3BE1D5-5542-7A43-BEBF-B345DD4857FF}"/>
    <hyperlink ref="G17" r:id="rId12" xr:uid="{70B1AD43-7994-854D-9E0F-8C54E6AD6202}"/>
    <hyperlink ref="G24" r:id="rId13" xr:uid="{DC31D904-0A3A-1441-A882-8458A2AFC3F5}"/>
    <hyperlink ref="G21" r:id="rId14" xr:uid="{7E2C1E92-8F56-AB41-9599-2CE2AA807C45}"/>
    <hyperlink ref="G20" r:id="rId15" xr:uid="{F2405F1E-1AEE-8448-8168-1F152032F04F}"/>
    <hyperlink ref="G28" r:id="rId16" xr:uid="{F85D1E4A-A473-AA40-A384-E20779AA1029}"/>
    <hyperlink ref="G29" r:id="rId17" xr:uid="{46BA1DD3-C18B-834F-B2A7-33BE5C8877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12B1-73EC-AC44-9E15-5BAA90EC537C}">
  <dimension ref="A1:O23"/>
  <sheetViews>
    <sheetView tabSelected="1" zoomScale="99" workbookViewId="0">
      <selection activeCell="L13" sqref="L13"/>
    </sheetView>
  </sheetViews>
  <sheetFormatPr baseColWidth="10" defaultRowHeight="16" x14ac:dyDescent="0.2"/>
  <cols>
    <col min="1" max="4" width="11.5" customWidth="1"/>
    <col min="5" max="5" width="11.5" style="1" customWidth="1"/>
    <col min="6" max="14" width="11.5" customWidth="1"/>
  </cols>
  <sheetData>
    <row r="1" spans="1:15" x14ac:dyDescent="0.2">
      <c r="A1" s="7" t="s">
        <v>270</v>
      </c>
      <c r="B1" s="7" t="s">
        <v>252</v>
      </c>
      <c r="C1" s="7" t="s">
        <v>177</v>
      </c>
      <c r="D1" s="7" t="s">
        <v>5</v>
      </c>
      <c r="E1" s="7" t="s">
        <v>7</v>
      </c>
      <c r="F1" s="7" t="s">
        <v>9</v>
      </c>
      <c r="G1" s="7" t="s">
        <v>111</v>
      </c>
      <c r="H1" s="7" t="s">
        <v>113</v>
      </c>
      <c r="I1" s="7" t="s">
        <v>13</v>
      </c>
      <c r="J1" t="s">
        <v>253</v>
      </c>
      <c r="K1" t="s">
        <v>254</v>
      </c>
      <c r="L1" t="s">
        <v>255</v>
      </c>
      <c r="M1" t="s">
        <v>256</v>
      </c>
      <c r="N1" t="s">
        <v>268</v>
      </c>
    </row>
    <row r="2" spans="1:15" x14ac:dyDescent="0.2">
      <c r="A2" s="7" t="s">
        <v>14</v>
      </c>
      <c r="B2" s="7"/>
      <c r="C2" s="7" t="s">
        <v>178</v>
      </c>
      <c r="D2" s="7" t="s">
        <v>6</v>
      </c>
      <c r="E2" s="7" t="s">
        <v>114</v>
      </c>
      <c r="F2" s="7" t="s">
        <v>257</v>
      </c>
      <c r="G2" s="7" t="s">
        <v>110</v>
      </c>
      <c r="H2" s="7" t="s">
        <v>12</v>
      </c>
      <c r="I2" s="7" t="s">
        <v>108</v>
      </c>
      <c r="J2" t="s">
        <v>258</v>
      </c>
      <c r="K2" s="7" t="s">
        <v>269</v>
      </c>
      <c r="L2" s="7" t="s">
        <v>269</v>
      </c>
      <c r="M2" s="7" t="s">
        <v>269</v>
      </c>
      <c r="N2" t="s">
        <v>53</v>
      </c>
    </row>
    <row r="3" spans="1:15" x14ac:dyDescent="0.2">
      <c r="A3" s="31" t="s">
        <v>1</v>
      </c>
      <c r="B3" s="7" t="s">
        <v>259</v>
      </c>
      <c r="C3" s="7">
        <v>607785</v>
      </c>
      <c r="D3" s="7">
        <v>0.15</v>
      </c>
      <c r="E3" s="7">
        <v>2030</v>
      </c>
      <c r="F3" s="7">
        <v>791</v>
      </c>
      <c r="G3" s="7">
        <v>4.5999999999999999E-3</v>
      </c>
      <c r="H3" s="7">
        <v>298</v>
      </c>
      <c r="I3" s="7" t="s">
        <v>108</v>
      </c>
      <c r="J3">
        <v>5.4000000000000001E-4</v>
      </c>
      <c r="K3">
        <v>657.66</v>
      </c>
      <c r="L3">
        <v>150.9</v>
      </c>
      <c r="M3" s="32">
        <v>5.5099999999999998E-5</v>
      </c>
      <c r="N3">
        <v>23400</v>
      </c>
    </row>
    <row r="4" spans="1:15" x14ac:dyDescent="0.2">
      <c r="A4" s="31" t="s">
        <v>2</v>
      </c>
      <c r="B4" s="7" t="s">
        <v>260</v>
      </c>
      <c r="C4" s="7" t="s">
        <v>179</v>
      </c>
      <c r="D4" s="7">
        <v>0.17</v>
      </c>
      <c r="E4" s="7">
        <v>2300</v>
      </c>
      <c r="F4" s="7">
        <v>921</v>
      </c>
      <c r="G4" s="7">
        <v>1.2999999999999999E-2</v>
      </c>
      <c r="H4" s="7">
        <v>298</v>
      </c>
      <c r="I4" s="7" t="s">
        <v>108</v>
      </c>
      <c r="J4">
        <v>8.0000000000000004E-4</v>
      </c>
      <c r="K4">
        <v>817.87</v>
      </c>
      <c r="L4">
        <v>145</v>
      </c>
      <c r="M4" s="32">
        <v>6.5099999999999997E-5</v>
      </c>
      <c r="N4">
        <v>61800</v>
      </c>
    </row>
    <row r="5" spans="1:15" x14ac:dyDescent="0.2">
      <c r="A5" s="31" t="s">
        <v>3</v>
      </c>
      <c r="B5" s="7" t="s">
        <v>261</v>
      </c>
      <c r="C5" s="7">
        <v>607784</v>
      </c>
      <c r="D5" s="7">
        <v>0.12</v>
      </c>
      <c r="E5" s="7">
        <v>1800</v>
      </c>
      <c r="F5" s="7">
        <v>912</v>
      </c>
      <c r="G5" s="7">
        <v>4.5999999999999999E-3</v>
      </c>
      <c r="H5" s="7">
        <v>298</v>
      </c>
      <c r="I5" s="7" t="s">
        <v>108</v>
      </c>
      <c r="J5">
        <v>4.8000000000000001E-4</v>
      </c>
      <c r="K5" s="32">
        <v>1450</v>
      </c>
      <c r="L5" s="32">
        <v>10</v>
      </c>
      <c r="M5" s="32">
        <v>3.0300000000000001E-5</v>
      </c>
      <c r="N5" s="32">
        <v>44300</v>
      </c>
    </row>
    <row r="6" spans="1:15" x14ac:dyDescent="0.2">
      <c r="A6" s="31" t="s">
        <v>147</v>
      </c>
      <c r="B6" s="7"/>
      <c r="D6" s="7">
        <v>7.4999999999999997E-2</v>
      </c>
      <c r="E6" s="7">
        <v>1213.3599999999999</v>
      </c>
      <c r="F6" s="7">
        <v>1420</v>
      </c>
      <c r="G6" s="7">
        <v>5.8219999999999995E-4</v>
      </c>
      <c r="H6" s="7">
        <v>298</v>
      </c>
      <c r="I6" s="7" t="s">
        <v>108</v>
      </c>
      <c r="J6">
        <v>1E-3</v>
      </c>
      <c r="N6">
        <v>40000</v>
      </c>
    </row>
    <row r="7" spans="1:15" x14ac:dyDescent="0.2">
      <c r="A7" s="7" t="s">
        <v>4</v>
      </c>
      <c r="B7" s="7"/>
      <c r="D7" s="7">
        <v>0.60650000000000004</v>
      </c>
      <c r="E7" s="7">
        <v>4181.3999999999996</v>
      </c>
      <c r="F7" s="7">
        <v>997.04740000000004</v>
      </c>
      <c r="G7" s="7">
        <v>8.8999999999999995E-4</v>
      </c>
      <c r="H7" s="7">
        <v>298</v>
      </c>
      <c r="I7" s="7" t="s">
        <v>108</v>
      </c>
      <c r="J7">
        <v>2.14E-4</v>
      </c>
      <c r="K7">
        <v>247.8</v>
      </c>
      <c r="L7">
        <v>140</v>
      </c>
      <c r="M7">
        <v>2.4139999999999999E-5</v>
      </c>
      <c r="N7">
        <v>70</v>
      </c>
    </row>
    <row r="12" spans="1:15" x14ac:dyDescent="0.2">
      <c r="C12" s="1"/>
      <c r="F12" s="1"/>
    </row>
    <row r="13" spans="1:15" x14ac:dyDescent="0.2">
      <c r="G13" s="2"/>
    </row>
    <row r="14" spans="1:15" x14ac:dyDescent="0.2">
      <c r="G14" s="2"/>
      <c r="L14" s="1"/>
      <c r="M14" s="1"/>
      <c r="N14" s="1"/>
      <c r="O14" s="14"/>
    </row>
    <row r="15" spans="1:15" x14ac:dyDescent="0.2">
      <c r="G15" s="2"/>
      <c r="L15" s="1"/>
      <c r="M15" s="1"/>
      <c r="N15" s="1"/>
      <c r="O15" s="14"/>
    </row>
    <row r="16" spans="1:15" x14ac:dyDescent="0.2">
      <c r="G16" s="2"/>
    </row>
    <row r="17" spans="7:14" x14ac:dyDescent="0.2">
      <c r="G17" s="1"/>
      <c r="I17" s="1"/>
      <c r="J17" s="1"/>
      <c r="K17" s="2"/>
      <c r="L17" s="2"/>
      <c r="M17" s="2"/>
      <c r="N17" s="1"/>
    </row>
    <row r="18" spans="7:14" x14ac:dyDescent="0.2">
      <c r="I18" s="1"/>
      <c r="J18" s="3"/>
      <c r="K18" s="1"/>
      <c r="L18" s="1"/>
      <c r="M18" s="1"/>
      <c r="N18" s="1"/>
    </row>
    <row r="19" spans="7:14" x14ac:dyDescent="0.2">
      <c r="I19" s="1"/>
      <c r="J19" s="1"/>
      <c r="K19" s="1"/>
      <c r="L19" s="1"/>
      <c r="M19" s="1"/>
      <c r="N19" s="1"/>
    </row>
    <row r="20" spans="7:14" x14ac:dyDescent="0.2">
      <c r="I20" s="1"/>
      <c r="J20" s="1"/>
      <c r="K20" s="4"/>
      <c r="L20" s="1"/>
      <c r="M20" s="1"/>
      <c r="N20" s="1"/>
    </row>
    <row r="21" spans="7:14" x14ac:dyDescent="0.2">
      <c r="I21" s="1"/>
      <c r="J21" s="1"/>
      <c r="K21" s="1"/>
      <c r="L21" s="1"/>
      <c r="M21" s="1"/>
      <c r="N21" s="1"/>
    </row>
    <row r="22" spans="7:14" x14ac:dyDescent="0.2">
      <c r="I22" s="1"/>
      <c r="J22" s="1"/>
      <c r="K22" s="1"/>
      <c r="L22" s="1"/>
      <c r="M22" s="1"/>
      <c r="N22" s="1"/>
    </row>
    <row r="23" spans="7:14" x14ac:dyDescent="0.2">
      <c r="I23" s="1"/>
      <c r="J23" s="1"/>
      <c r="K23" s="1"/>
      <c r="L23" s="1"/>
      <c r="M23" s="1"/>
      <c r="N23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5895-09A7-FD45-9615-A17D9E628ACC}">
  <dimension ref="A1:N46"/>
  <sheetViews>
    <sheetView topLeftCell="A11" workbookViewId="0">
      <selection activeCell="J7" sqref="J7"/>
    </sheetView>
  </sheetViews>
  <sheetFormatPr baseColWidth="10" defaultRowHeight="16" x14ac:dyDescent="0.2"/>
  <cols>
    <col min="1" max="1" width="32.1640625" style="25" customWidth="1"/>
    <col min="2" max="2" width="10.83203125" style="26"/>
    <col min="3" max="3" width="12.1640625" style="26" bestFit="1" customWidth="1"/>
    <col min="4" max="6" width="10.83203125" style="26"/>
    <col min="8" max="8" width="16" style="8" customWidth="1"/>
    <col min="9" max="9" width="12.1640625" bestFit="1" customWidth="1"/>
    <col min="11" max="11" width="12.1640625" bestFit="1" customWidth="1"/>
  </cols>
  <sheetData>
    <row r="1" spans="1:14" s="24" customFormat="1" ht="52" customHeight="1" x14ac:dyDescent="0.2">
      <c r="A1" s="33" t="s">
        <v>180</v>
      </c>
      <c r="B1" s="33"/>
      <c r="C1" s="33"/>
      <c r="D1" s="33"/>
      <c r="E1" s="33"/>
      <c r="F1" s="33"/>
      <c r="H1" s="34" t="s">
        <v>223</v>
      </c>
      <c r="I1" s="34"/>
      <c r="J1" s="34"/>
      <c r="K1" s="34"/>
      <c r="L1" s="34"/>
      <c r="M1" s="34"/>
      <c r="N1" s="34"/>
    </row>
    <row r="2" spans="1:14" s="8" customFormat="1" ht="51" x14ac:dyDescent="0.2">
      <c r="A2" s="25" t="s">
        <v>56</v>
      </c>
      <c r="B2" s="25" t="s">
        <v>181</v>
      </c>
      <c r="C2" s="25" t="s">
        <v>219</v>
      </c>
      <c r="D2" s="25" t="s">
        <v>221</v>
      </c>
      <c r="E2" s="25" t="s">
        <v>220</v>
      </c>
      <c r="F2" s="25" t="s">
        <v>222</v>
      </c>
      <c r="H2" s="8" t="s">
        <v>224</v>
      </c>
      <c r="I2" s="8" t="s">
        <v>225</v>
      </c>
      <c r="J2" s="8" t="s">
        <v>245</v>
      </c>
      <c r="K2" s="8" t="s">
        <v>157</v>
      </c>
      <c r="L2" s="8" t="s">
        <v>221</v>
      </c>
      <c r="M2" s="8" t="s">
        <v>220</v>
      </c>
      <c r="N2" s="8" t="s">
        <v>222</v>
      </c>
    </row>
    <row r="3" spans="1:14" ht="17" x14ac:dyDescent="0.2">
      <c r="A3" s="25" t="s">
        <v>182</v>
      </c>
      <c r="B3" s="26">
        <v>3.2</v>
      </c>
      <c r="H3" s="8" t="s">
        <v>226</v>
      </c>
      <c r="I3" t="s">
        <v>166</v>
      </c>
      <c r="J3">
        <f>0.009125</f>
        <v>9.1249999999999994E-3</v>
      </c>
      <c r="K3">
        <f>cell!$C$4*PI()*('Lumped Cell Properties'!J3^2-'Lumped Cell Properties'!J6^2)</f>
        <v>3.9401609624397105E-6</v>
      </c>
      <c r="L3">
        <v>237</v>
      </c>
      <c r="M3" s="12">
        <v>910</v>
      </c>
      <c r="N3" s="23">
        <v>2698.9</v>
      </c>
    </row>
    <row r="4" spans="1:14" ht="17" x14ac:dyDescent="0.2">
      <c r="A4" s="25" t="s">
        <v>184</v>
      </c>
      <c r="B4" s="26">
        <v>1.3</v>
      </c>
      <c r="H4" s="8" t="s">
        <v>227</v>
      </c>
    </row>
    <row r="5" spans="1:14" ht="17" x14ac:dyDescent="0.2">
      <c r="A5" s="25" t="s">
        <v>186</v>
      </c>
      <c r="B5" s="26">
        <v>30</v>
      </c>
      <c r="H5" s="8" t="s">
        <v>246</v>
      </c>
      <c r="I5" t="s">
        <v>251</v>
      </c>
      <c r="J5">
        <v>8.0000000000000002E-3</v>
      </c>
      <c r="K5">
        <f>cell!$C$4*PI()*('Lumped Cell Properties'!J5^2)</f>
        <v>1.3089131631916511E-5</v>
      </c>
      <c r="L5" s="1">
        <v>0.2</v>
      </c>
      <c r="M5" s="1">
        <v>1050</v>
      </c>
      <c r="N5" s="1">
        <v>1000</v>
      </c>
    </row>
    <row r="6" spans="1:14" ht="17" x14ac:dyDescent="0.2">
      <c r="A6" s="25" t="s">
        <v>188</v>
      </c>
      <c r="B6" s="26">
        <v>0.3</v>
      </c>
      <c r="H6" s="8" t="s">
        <v>247</v>
      </c>
      <c r="J6">
        <v>8.0000000000000002E-3</v>
      </c>
      <c r="K6" s="30">
        <f>cell!$C$4*PI()*('Lumped Cell Properties'!J6^2-'Lumped Cell Properties'!J5^2)</f>
        <v>0</v>
      </c>
    </row>
    <row r="7" spans="1:14" ht="17" x14ac:dyDescent="0.2">
      <c r="A7" s="25" t="s">
        <v>190</v>
      </c>
      <c r="B7" s="26" t="s">
        <v>191</v>
      </c>
    </row>
    <row r="8" spans="1:14" ht="17" x14ac:dyDescent="0.2">
      <c r="A8" s="25" t="s">
        <v>193</v>
      </c>
      <c r="B8" s="26">
        <v>15</v>
      </c>
    </row>
    <row r="9" spans="1:14" ht="17" x14ac:dyDescent="0.2">
      <c r="A9" s="25" t="s">
        <v>195</v>
      </c>
      <c r="B9" s="26">
        <v>4</v>
      </c>
    </row>
    <row r="10" spans="1:14" ht="17" x14ac:dyDescent="0.2">
      <c r="A10" s="25" t="s">
        <v>197</v>
      </c>
      <c r="B10" s="26">
        <v>14.88</v>
      </c>
    </row>
    <row r="11" spans="1:14" ht="34" x14ac:dyDescent="0.2">
      <c r="A11" s="25" t="s">
        <v>199</v>
      </c>
      <c r="B11" s="26">
        <v>0.2</v>
      </c>
      <c r="C11" s="26">
        <v>130</v>
      </c>
      <c r="D11" s="26">
        <v>0.2</v>
      </c>
      <c r="E11" s="26">
        <v>750</v>
      </c>
      <c r="F11" s="26">
        <v>3600</v>
      </c>
    </row>
    <row r="12" spans="1:14" ht="34" x14ac:dyDescent="0.2">
      <c r="A12" s="25" t="s">
        <v>201</v>
      </c>
      <c r="B12" s="26">
        <v>1.04</v>
      </c>
      <c r="C12" s="26">
        <v>90</v>
      </c>
      <c r="D12" s="26">
        <v>1.04</v>
      </c>
      <c r="E12" s="26">
        <v>1437</v>
      </c>
      <c r="F12" s="26">
        <v>1347</v>
      </c>
    </row>
    <row r="13" spans="1:14" ht="34" x14ac:dyDescent="0.2">
      <c r="A13" s="25" t="s">
        <v>203</v>
      </c>
      <c r="B13" s="26">
        <v>170</v>
      </c>
      <c r="C13" s="26">
        <v>20</v>
      </c>
      <c r="D13" s="26">
        <v>170</v>
      </c>
      <c r="E13" s="26">
        <v>875</v>
      </c>
      <c r="F13" s="26">
        <v>2770</v>
      </c>
      <c r="H13" s="8" t="s">
        <v>250</v>
      </c>
      <c r="I13">
        <f>SUM(K3:K6)*10^6</f>
        <v>17.029292594356221</v>
      </c>
    </row>
    <row r="14" spans="1:14" ht="34" x14ac:dyDescent="0.2">
      <c r="A14" s="25" t="s">
        <v>205</v>
      </c>
      <c r="B14" s="26">
        <v>398</v>
      </c>
      <c r="C14" s="26">
        <v>10</v>
      </c>
      <c r="D14" s="26">
        <v>398</v>
      </c>
      <c r="E14" s="26">
        <v>385</v>
      </c>
      <c r="F14" s="26">
        <v>8933</v>
      </c>
      <c r="H14" s="8" t="s">
        <v>228</v>
      </c>
      <c r="I14">
        <f>SUMPRODUCT(K3:K6,N3:N6)/SUMPRODUCT(K3:K6)</f>
        <v>1393.0838243572903</v>
      </c>
    </row>
    <row r="15" spans="1:14" ht="34" x14ac:dyDescent="0.2">
      <c r="A15" s="25" t="s">
        <v>215</v>
      </c>
      <c r="B15" s="26">
        <v>0.33439999999999998</v>
      </c>
      <c r="C15" s="26">
        <v>10</v>
      </c>
      <c r="D15" s="26">
        <v>0.33439999999999998</v>
      </c>
      <c r="E15" s="26">
        <v>1978</v>
      </c>
      <c r="F15" s="26">
        <v>1009</v>
      </c>
      <c r="H15" s="8" t="s">
        <v>229</v>
      </c>
      <c r="I15">
        <f>SUMPRODUCT(K3:K6,M3:M6)/SUMPRODUCT(K3:K6)</f>
        <v>1017.6074310377182</v>
      </c>
    </row>
    <row r="16" spans="1:14" ht="17" x14ac:dyDescent="0.2">
      <c r="A16" s="25" t="s">
        <v>217</v>
      </c>
      <c r="B16" s="26">
        <v>1130</v>
      </c>
      <c r="C16" s="26">
        <v>10</v>
      </c>
      <c r="D16" s="26">
        <v>0.6</v>
      </c>
      <c r="E16" s="26">
        <v>2055</v>
      </c>
      <c r="F16" s="26">
        <v>1130</v>
      </c>
      <c r="H16" s="8" t="s">
        <v>230</v>
      </c>
      <c r="I16">
        <f>SUMPRODUCT(K3:K6,L3:L6)/SUMPRODUCT(K3:K6)</f>
        <v>54.989716644773871</v>
      </c>
    </row>
    <row r="17" spans="1:2" ht="34" x14ac:dyDescent="0.2">
      <c r="A17" s="25" t="s">
        <v>207</v>
      </c>
      <c r="B17" s="26">
        <v>2770</v>
      </c>
    </row>
    <row r="18" spans="1:2" ht="34" x14ac:dyDescent="0.2">
      <c r="A18" s="25" t="s">
        <v>209</v>
      </c>
      <c r="B18" s="26">
        <v>8933</v>
      </c>
    </row>
    <row r="19" spans="1:2" ht="34" x14ac:dyDescent="0.2">
      <c r="A19" s="25" t="s">
        <v>211</v>
      </c>
      <c r="B19" s="26">
        <v>3600</v>
      </c>
    </row>
    <row r="20" spans="1:2" ht="34" x14ac:dyDescent="0.2">
      <c r="A20" s="25" t="s">
        <v>213</v>
      </c>
      <c r="B20" s="26">
        <v>1347</v>
      </c>
    </row>
    <row r="21" spans="1:2" ht="17" x14ac:dyDescent="0.2">
      <c r="A21" s="25" t="s">
        <v>183</v>
      </c>
      <c r="B21" s="26">
        <v>20</v>
      </c>
    </row>
    <row r="22" spans="1:2" ht="17" x14ac:dyDescent="0.2">
      <c r="A22" s="25" t="s">
        <v>185</v>
      </c>
      <c r="B22" s="26">
        <v>10</v>
      </c>
    </row>
    <row r="23" spans="1:2" ht="17" x14ac:dyDescent="0.2">
      <c r="A23" s="25" t="s">
        <v>187</v>
      </c>
      <c r="B23" s="26">
        <v>10</v>
      </c>
    </row>
    <row r="24" spans="1:2" ht="17" x14ac:dyDescent="0.2">
      <c r="A24" s="25" t="s">
        <v>189</v>
      </c>
      <c r="B24" s="26">
        <v>5.65</v>
      </c>
    </row>
    <row r="25" spans="1:2" ht="17" x14ac:dyDescent="0.2">
      <c r="A25" s="25" t="s">
        <v>192</v>
      </c>
      <c r="B25" s="26">
        <v>5.8</v>
      </c>
    </row>
    <row r="26" spans="1:2" ht="17" x14ac:dyDescent="0.2">
      <c r="A26" s="25" t="s">
        <v>194</v>
      </c>
      <c r="B26" s="26">
        <v>7.6</v>
      </c>
    </row>
    <row r="27" spans="1:2" ht="17" x14ac:dyDescent="0.2">
      <c r="A27" s="25" t="s">
        <v>196</v>
      </c>
      <c r="B27" s="26">
        <v>8.3000000000000007</v>
      </c>
    </row>
    <row r="28" spans="1:2" ht="17" x14ac:dyDescent="0.2">
      <c r="A28" s="25" t="s">
        <v>198</v>
      </c>
      <c r="B28" s="26">
        <v>11.83</v>
      </c>
    </row>
    <row r="29" spans="1:2" ht="34" x14ac:dyDescent="0.2">
      <c r="A29" s="25" t="s">
        <v>200</v>
      </c>
      <c r="B29" s="26">
        <v>130</v>
      </c>
    </row>
    <row r="30" spans="1:2" ht="34" x14ac:dyDescent="0.2">
      <c r="A30" s="25" t="s">
        <v>202</v>
      </c>
      <c r="B30" s="26">
        <v>90</v>
      </c>
    </row>
    <row r="31" spans="1:2" ht="34" x14ac:dyDescent="0.2">
      <c r="A31" s="25" t="s">
        <v>204</v>
      </c>
      <c r="B31" s="26">
        <v>750</v>
      </c>
    </row>
    <row r="32" spans="1:2" ht="34" x14ac:dyDescent="0.2">
      <c r="A32" s="25" t="s">
        <v>206</v>
      </c>
      <c r="B32" s="26">
        <v>1437</v>
      </c>
    </row>
    <row r="33" spans="1:3" ht="34" x14ac:dyDescent="0.2">
      <c r="A33" s="25" t="s">
        <v>208</v>
      </c>
      <c r="B33" s="26">
        <v>875</v>
      </c>
    </row>
    <row r="34" spans="1:3" ht="34" x14ac:dyDescent="0.2">
      <c r="A34" s="25" t="s">
        <v>210</v>
      </c>
      <c r="B34" s="26">
        <v>385</v>
      </c>
    </row>
    <row r="35" spans="1:3" ht="34" x14ac:dyDescent="0.2">
      <c r="A35" s="25" t="s">
        <v>212</v>
      </c>
      <c r="B35" s="26">
        <v>1978</v>
      </c>
    </row>
    <row r="36" spans="1:3" ht="17" x14ac:dyDescent="0.2">
      <c r="A36" s="25" t="s">
        <v>214</v>
      </c>
      <c r="B36" s="26">
        <v>1009</v>
      </c>
    </row>
    <row r="37" spans="1:3" ht="34" x14ac:dyDescent="0.2">
      <c r="A37" s="25" t="s">
        <v>216</v>
      </c>
      <c r="B37" s="26">
        <v>0.6</v>
      </c>
    </row>
    <row r="38" spans="1:3" ht="34" x14ac:dyDescent="0.2">
      <c r="A38" s="25" t="s">
        <v>218</v>
      </c>
      <c r="B38" s="26">
        <v>2055</v>
      </c>
    </row>
    <row r="42" spans="1:3" x14ac:dyDescent="0.2">
      <c r="A42" s="8"/>
    </row>
    <row r="43" spans="1:3" ht="17" x14ac:dyDescent="0.2">
      <c r="A43" s="27" t="s">
        <v>228</v>
      </c>
      <c r="B43" s="28"/>
      <c r="C43" s="28">
        <f>SUMPRODUCT(C3:C38,F3:F38)/SUM(C3:C38)</f>
        <v>2797.5925925925926</v>
      </c>
    </row>
    <row r="44" spans="1:3" ht="17" x14ac:dyDescent="0.2">
      <c r="A44" s="27" t="s">
        <v>229</v>
      </c>
      <c r="B44" s="28"/>
      <c r="C44" s="28">
        <f>SUMPRODUCT(C3:C38,E3:E38)/SUM(C3:C38)</f>
        <v>1068.5555555555557</v>
      </c>
    </row>
    <row r="45" spans="1:3" ht="17" x14ac:dyDescent="0.2">
      <c r="A45" s="27" t="s">
        <v>232</v>
      </c>
      <c r="B45" s="28"/>
      <c r="C45" s="28" cm="1">
        <f t="array" ref="C45">SUM(C11:C16)/SUMPRODUCT(C11:C16,D11:D16^-1)</f>
        <v>0.34471655176750354</v>
      </c>
    </row>
    <row r="46" spans="1:3" ht="17" x14ac:dyDescent="0.2">
      <c r="A46" s="29" t="s">
        <v>231</v>
      </c>
      <c r="B46" s="28"/>
      <c r="C46" s="28">
        <f>SUMPRODUCT(C11:C16,D11:D16)/SUM(C11:C16)</f>
        <v>27.810903703703705</v>
      </c>
    </row>
  </sheetData>
  <mergeCells count="2">
    <mergeCell ref="A1:F1"/>
    <mergeCell ref="H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D1D7-8D40-7242-8519-926BDACA094A}">
  <dimension ref="A2:C17"/>
  <sheetViews>
    <sheetView workbookViewId="0">
      <selection activeCell="C3" sqref="C3"/>
    </sheetView>
  </sheetViews>
  <sheetFormatPr baseColWidth="10" defaultRowHeight="16" x14ac:dyDescent="0.2"/>
  <cols>
    <col min="1" max="1" width="31" customWidth="1"/>
    <col min="2" max="2" width="17.33203125" customWidth="1"/>
    <col min="3" max="3" width="16.33203125" customWidth="1"/>
  </cols>
  <sheetData>
    <row r="2" spans="1:3" x14ac:dyDescent="0.2">
      <c r="A2" t="s">
        <v>56</v>
      </c>
      <c r="B2" t="s">
        <v>233</v>
      </c>
      <c r="C2" t="s">
        <v>181</v>
      </c>
    </row>
    <row r="3" spans="1:3" ht="16" customHeight="1" x14ac:dyDescent="0.2">
      <c r="A3" t="s">
        <v>245</v>
      </c>
      <c r="B3" t="s">
        <v>248</v>
      </c>
      <c r="C3">
        <v>9.1249999999999994E-3</v>
      </c>
    </row>
    <row r="4" spans="1:3" ht="16" customHeight="1" x14ac:dyDescent="0.2">
      <c r="A4" t="s">
        <v>249</v>
      </c>
      <c r="B4" t="s">
        <v>248</v>
      </c>
      <c r="C4">
        <v>6.5099999999999991E-2</v>
      </c>
    </row>
    <row r="5" spans="1:3" x14ac:dyDescent="0.2">
      <c r="A5" t="s">
        <v>157</v>
      </c>
      <c r="B5" t="s">
        <v>156</v>
      </c>
      <c r="C5">
        <v>17.029299999999999</v>
      </c>
    </row>
    <row r="6" spans="1:3" x14ac:dyDescent="0.2">
      <c r="A6" t="s">
        <v>153</v>
      </c>
      <c r="B6" t="s">
        <v>155</v>
      </c>
      <c r="C6">
        <v>49.6</v>
      </c>
    </row>
    <row r="7" spans="1:3" x14ac:dyDescent="0.2">
      <c r="A7" t="s">
        <v>152</v>
      </c>
      <c r="B7" t="s">
        <v>151</v>
      </c>
      <c r="C7">
        <v>2.91</v>
      </c>
    </row>
    <row r="8" spans="1:3" x14ac:dyDescent="0.2">
      <c r="A8" t="s">
        <v>149</v>
      </c>
      <c r="B8" t="s">
        <v>150</v>
      </c>
      <c r="C8">
        <v>3.18</v>
      </c>
    </row>
    <row r="9" spans="1:3" x14ac:dyDescent="0.2">
      <c r="A9" t="s">
        <v>154</v>
      </c>
      <c r="B9" t="s">
        <v>53</v>
      </c>
      <c r="C9">
        <v>3.6</v>
      </c>
    </row>
    <row r="10" spans="1:3" ht="16" customHeight="1" x14ac:dyDescent="0.2">
      <c r="A10" t="s">
        <v>234</v>
      </c>
      <c r="B10" t="s">
        <v>160</v>
      </c>
      <c r="C10" t="s">
        <v>148</v>
      </c>
    </row>
    <row r="11" spans="1:3" x14ac:dyDescent="0.2">
      <c r="A11" t="s">
        <v>235</v>
      </c>
      <c r="B11" t="s">
        <v>236</v>
      </c>
      <c r="C11">
        <v>1</v>
      </c>
    </row>
    <row r="12" spans="1:3" x14ac:dyDescent="0.2">
      <c r="A12" t="s">
        <v>237</v>
      </c>
      <c r="B12" t="s">
        <v>158</v>
      </c>
      <c r="C12">
        <v>0.6</v>
      </c>
    </row>
    <row r="13" spans="1:3" x14ac:dyDescent="0.2">
      <c r="A13" t="s">
        <v>238</v>
      </c>
      <c r="B13" t="s">
        <v>239</v>
      </c>
      <c r="C13">
        <v>2.35</v>
      </c>
    </row>
    <row r="14" spans="1:3" x14ac:dyDescent="0.2">
      <c r="A14" t="s">
        <v>240</v>
      </c>
      <c r="B14" t="s">
        <v>241</v>
      </c>
      <c r="C14">
        <v>70</v>
      </c>
    </row>
    <row r="15" spans="1:3" x14ac:dyDescent="0.2">
      <c r="A15" t="s">
        <v>242</v>
      </c>
      <c r="B15" t="s">
        <v>241</v>
      </c>
      <c r="C15" t="s">
        <v>159</v>
      </c>
    </row>
    <row r="16" spans="1:3" x14ac:dyDescent="0.2">
      <c r="A16" t="s">
        <v>243</v>
      </c>
      <c r="B16" t="s">
        <v>241</v>
      </c>
      <c r="C16">
        <v>4</v>
      </c>
    </row>
    <row r="17" spans="1:3" x14ac:dyDescent="0.2">
      <c r="A17" t="s">
        <v>244</v>
      </c>
      <c r="B17" t="s">
        <v>241</v>
      </c>
      <c r="C1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76D3-0032-2646-AA70-3253F9F1D942}">
  <dimension ref="A1:N11"/>
  <sheetViews>
    <sheetView workbookViewId="0">
      <selection activeCell="G24" sqref="G24"/>
    </sheetView>
  </sheetViews>
  <sheetFormatPr baseColWidth="10" defaultRowHeight="16" x14ac:dyDescent="0.2"/>
  <cols>
    <col min="7" max="7" width="70.1640625" customWidth="1"/>
  </cols>
  <sheetData>
    <row r="1" spans="1:14" ht="17" x14ac:dyDescent="0.2">
      <c r="A1" s="8" t="s">
        <v>0</v>
      </c>
      <c r="B1" s="8" t="s">
        <v>14</v>
      </c>
      <c r="C1" s="8" t="s">
        <v>44</v>
      </c>
      <c r="D1" s="8" t="s">
        <v>45</v>
      </c>
      <c r="E1" s="8" t="s">
        <v>107</v>
      </c>
      <c r="F1" s="8" t="s">
        <v>109</v>
      </c>
      <c r="G1" s="8"/>
      <c r="H1" s="8"/>
      <c r="I1" s="8"/>
      <c r="J1" s="8"/>
      <c r="K1" s="8"/>
      <c r="L1" s="8"/>
      <c r="M1" s="8"/>
      <c r="N1" s="8"/>
    </row>
    <row r="2" spans="1:14" ht="17" x14ac:dyDescent="0.2">
      <c r="A2" s="8" t="s">
        <v>47</v>
      </c>
      <c r="B2" s="1" t="s">
        <v>48</v>
      </c>
      <c r="C2" s="8">
        <v>1E-3</v>
      </c>
      <c r="D2" s="8">
        <v>0.95</v>
      </c>
      <c r="E2" s="8">
        <v>5</v>
      </c>
      <c r="F2" s="8"/>
      <c r="G2" s="8"/>
      <c r="H2" s="8"/>
      <c r="I2" s="8"/>
      <c r="J2" s="8"/>
      <c r="K2" s="8"/>
      <c r="L2" s="8"/>
      <c r="M2" s="8"/>
      <c r="N2" s="8"/>
    </row>
    <row r="3" spans="1:14" ht="17" x14ac:dyDescent="0.2">
      <c r="A3" s="8" t="s">
        <v>34</v>
      </c>
      <c r="B3" s="1" t="s">
        <v>35</v>
      </c>
      <c r="C3" s="8">
        <v>1</v>
      </c>
      <c r="D3" s="8">
        <v>100</v>
      </c>
      <c r="E3" s="8">
        <v>5</v>
      </c>
      <c r="F3" s="8"/>
      <c r="G3" s="8"/>
      <c r="H3" s="8"/>
      <c r="I3" s="8"/>
      <c r="J3" s="8"/>
      <c r="K3" s="8"/>
      <c r="L3" s="8"/>
      <c r="M3" s="8"/>
      <c r="N3" s="8"/>
    </row>
    <row r="4" spans="1:14" ht="17" x14ac:dyDescent="0.2">
      <c r="A4" s="8" t="s">
        <v>36</v>
      </c>
      <c r="B4" s="1" t="s">
        <v>35</v>
      </c>
      <c r="C4" s="8">
        <v>1</v>
      </c>
      <c r="D4" s="8">
        <v>100</v>
      </c>
      <c r="E4" s="8">
        <v>5</v>
      </c>
      <c r="F4" s="8"/>
      <c r="G4" s="8"/>
      <c r="H4" s="8"/>
      <c r="I4" s="8"/>
      <c r="J4" s="8"/>
      <c r="K4" s="8"/>
      <c r="L4" s="8"/>
      <c r="M4" s="8"/>
      <c r="N4" s="8"/>
    </row>
    <row r="5" spans="1:14" ht="17" x14ac:dyDescent="0.2">
      <c r="A5" s="8" t="s">
        <v>37</v>
      </c>
      <c r="B5" s="8" t="s">
        <v>38</v>
      </c>
      <c r="C5" s="8">
        <f>10^-9</f>
        <v>1.0000000000000001E-9</v>
      </c>
      <c r="D5" s="8">
        <f>10^-8</f>
        <v>1E-8</v>
      </c>
      <c r="E5" s="8">
        <v>5</v>
      </c>
      <c r="F5" s="8"/>
      <c r="G5" s="8"/>
      <c r="H5" s="8"/>
      <c r="I5" s="8"/>
      <c r="J5" s="8"/>
      <c r="K5" s="8"/>
      <c r="L5" s="8"/>
      <c r="M5" s="8"/>
      <c r="N5" s="8"/>
    </row>
    <row r="6" spans="1:14" ht="17" x14ac:dyDescent="0.2">
      <c r="A6" s="8" t="s">
        <v>51</v>
      </c>
      <c r="B6" s="8" t="s">
        <v>52</v>
      </c>
      <c r="C6" s="8"/>
      <c r="D6" s="8"/>
      <c r="E6" s="8"/>
      <c r="F6" s="8">
        <v>2</v>
      </c>
      <c r="G6" s="8"/>
      <c r="H6" s="8"/>
      <c r="I6" s="8"/>
      <c r="J6" s="8"/>
      <c r="K6" s="8"/>
      <c r="L6" s="8"/>
      <c r="M6" s="8"/>
      <c r="N6" s="8"/>
    </row>
    <row r="7" spans="1:14" ht="17" x14ac:dyDescent="0.2">
      <c r="A7" s="8" t="s">
        <v>53</v>
      </c>
      <c r="B7" s="8" t="s">
        <v>52</v>
      </c>
      <c r="C7" s="8"/>
      <c r="D7" s="8"/>
      <c r="F7" s="8">
        <v>500</v>
      </c>
      <c r="G7" s="8"/>
      <c r="H7" s="8"/>
      <c r="I7" s="8"/>
      <c r="J7" s="8"/>
      <c r="K7" s="8"/>
      <c r="L7" s="8"/>
      <c r="M7" s="8"/>
      <c r="N7" s="8"/>
    </row>
    <row r="8" spans="1:14" ht="17" x14ac:dyDescent="0.2">
      <c r="A8" s="8" t="s">
        <v>54</v>
      </c>
      <c r="B8" s="8" t="s">
        <v>52</v>
      </c>
      <c r="C8" s="8"/>
      <c r="D8" s="8"/>
      <c r="F8" s="8">
        <v>3</v>
      </c>
      <c r="G8" s="8"/>
      <c r="H8" s="8"/>
      <c r="I8" s="8"/>
      <c r="J8" s="8"/>
      <c r="K8" s="8"/>
      <c r="L8" s="8"/>
      <c r="M8" s="8"/>
      <c r="N8" s="8"/>
    </row>
    <row r="9" spans="1:14" ht="17" x14ac:dyDescent="0.2">
      <c r="A9" s="8" t="s">
        <v>11</v>
      </c>
      <c r="B9" s="8" t="s">
        <v>12</v>
      </c>
      <c r="C9" s="8">
        <v>298</v>
      </c>
      <c r="D9" s="8">
        <v>323</v>
      </c>
      <c r="E9" s="8"/>
      <c r="F9" s="8">
        <v>298</v>
      </c>
      <c r="G9" s="8"/>
      <c r="H9" s="8"/>
      <c r="I9" s="8"/>
      <c r="J9" s="8"/>
      <c r="K9" s="8"/>
      <c r="L9" s="8"/>
      <c r="M9" s="8"/>
      <c r="N9" s="8"/>
    </row>
    <row r="10" spans="1:14" ht="68" x14ac:dyDescent="0.2">
      <c r="A10" s="8" t="s">
        <v>13</v>
      </c>
      <c r="B10" s="8" t="s">
        <v>55</v>
      </c>
      <c r="C10" s="8"/>
      <c r="D10" s="8"/>
      <c r="F10" s="8" t="s">
        <v>108</v>
      </c>
      <c r="G10" s="8"/>
      <c r="H10" s="8"/>
      <c r="I10" s="8"/>
      <c r="J10" s="8"/>
      <c r="K10" s="8"/>
      <c r="L10" s="8"/>
      <c r="M10" s="8"/>
      <c r="N10" s="8"/>
    </row>
    <row r="11" spans="1:14" x14ac:dyDescent="0.2">
      <c r="A1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FDD6-0D7C-8C44-A3C9-B4410E8509B6}">
  <dimension ref="A1:N18"/>
  <sheetViews>
    <sheetView workbookViewId="0">
      <selection activeCell="C9" sqref="C9"/>
    </sheetView>
  </sheetViews>
  <sheetFormatPr baseColWidth="10" defaultRowHeight="16" x14ac:dyDescent="0.2"/>
  <cols>
    <col min="7" max="7" width="70.1640625" customWidth="1"/>
  </cols>
  <sheetData>
    <row r="1" spans="1:14" ht="17" x14ac:dyDescent="0.2">
      <c r="A1" s="8" t="s">
        <v>0</v>
      </c>
      <c r="B1" s="8" t="s">
        <v>14</v>
      </c>
      <c r="C1" s="8" t="s">
        <v>44</v>
      </c>
      <c r="D1" s="8" t="s">
        <v>45</v>
      </c>
      <c r="E1" s="8" t="s">
        <v>107</v>
      </c>
      <c r="F1" s="8" t="s">
        <v>109</v>
      </c>
      <c r="G1" s="8"/>
      <c r="H1" s="8"/>
      <c r="I1" s="8"/>
      <c r="J1" s="8"/>
      <c r="K1" s="8"/>
      <c r="L1" s="8"/>
      <c r="M1" s="8"/>
      <c r="N1" s="8"/>
    </row>
    <row r="2" spans="1:14" ht="17" x14ac:dyDescent="0.2">
      <c r="A2" s="8" t="s">
        <v>33</v>
      </c>
      <c r="B2" s="3" t="s">
        <v>6</v>
      </c>
      <c r="C2" s="8">
        <v>0.1</v>
      </c>
      <c r="D2" s="8">
        <v>2000</v>
      </c>
      <c r="E2" s="8">
        <v>5</v>
      </c>
      <c r="F2" s="8"/>
      <c r="G2" s="9" t="s">
        <v>46</v>
      </c>
      <c r="H2" s="8"/>
      <c r="I2" s="8"/>
      <c r="J2" s="8"/>
      <c r="K2" s="8"/>
      <c r="L2" s="8"/>
      <c r="M2" s="8"/>
      <c r="N2" s="8"/>
    </row>
    <row r="3" spans="1:14" ht="17" x14ac:dyDescent="0.2">
      <c r="A3" s="8" t="s">
        <v>5</v>
      </c>
      <c r="B3" s="3" t="s">
        <v>6</v>
      </c>
      <c r="C3" s="8">
        <v>0.01</v>
      </c>
      <c r="D3" s="8">
        <v>0.7</v>
      </c>
      <c r="E3" s="8">
        <v>5</v>
      </c>
      <c r="F3" s="8"/>
      <c r="G3" s="8"/>
      <c r="H3" s="8"/>
      <c r="I3" s="8"/>
      <c r="J3" s="8"/>
      <c r="K3" s="8"/>
      <c r="L3" s="8"/>
      <c r="M3" s="8"/>
      <c r="N3" s="8"/>
    </row>
    <row r="4" spans="1:14" ht="17" x14ac:dyDescent="0.2">
      <c r="A4" s="8" t="s">
        <v>47</v>
      </c>
      <c r="B4" s="1" t="s">
        <v>48</v>
      </c>
      <c r="C4" s="8">
        <v>1E-3</v>
      </c>
      <c r="D4" s="8">
        <v>0.95</v>
      </c>
      <c r="E4" s="8">
        <v>5</v>
      </c>
      <c r="F4" s="8"/>
      <c r="G4" s="8"/>
      <c r="H4" s="8"/>
      <c r="I4" s="8"/>
      <c r="J4" s="8"/>
      <c r="K4" s="8"/>
      <c r="L4" s="8"/>
      <c r="M4" s="8"/>
      <c r="N4" s="8"/>
    </row>
    <row r="5" spans="1:14" ht="17" x14ac:dyDescent="0.2">
      <c r="A5" s="8" t="s">
        <v>34</v>
      </c>
      <c r="B5" s="1" t="s">
        <v>35</v>
      </c>
      <c r="C5" s="8">
        <v>1</v>
      </c>
      <c r="D5" s="8">
        <v>100</v>
      </c>
      <c r="E5" s="8">
        <v>5</v>
      </c>
      <c r="F5" s="8"/>
      <c r="G5" s="8"/>
      <c r="H5" s="8"/>
      <c r="I5" s="8"/>
      <c r="J5" s="8"/>
      <c r="K5" s="8"/>
      <c r="L5" s="8"/>
      <c r="M5" s="8"/>
      <c r="N5" s="8"/>
    </row>
    <row r="6" spans="1:14" ht="17" x14ac:dyDescent="0.2">
      <c r="A6" s="8" t="s">
        <v>36</v>
      </c>
      <c r="B6" s="1" t="s">
        <v>35</v>
      </c>
      <c r="C6" s="8">
        <v>1</v>
      </c>
      <c r="D6" s="8">
        <v>100</v>
      </c>
      <c r="E6" s="8">
        <v>5</v>
      </c>
      <c r="F6" s="8"/>
      <c r="G6" s="8"/>
      <c r="H6" s="8"/>
      <c r="I6" s="8"/>
      <c r="J6" s="8"/>
      <c r="K6" s="8"/>
      <c r="L6" s="8"/>
      <c r="M6" s="8"/>
      <c r="N6" s="8"/>
    </row>
    <row r="7" spans="1:14" ht="17" x14ac:dyDescent="0.2">
      <c r="A7" s="8" t="s">
        <v>37</v>
      </c>
      <c r="B7" s="8" t="s">
        <v>38</v>
      </c>
      <c r="C7" s="8">
        <f>10^-9</f>
        <v>1.0000000000000001E-9</v>
      </c>
      <c r="D7" s="8">
        <f>10^-8</f>
        <v>1E-8</v>
      </c>
      <c r="E7" s="8">
        <v>5</v>
      </c>
      <c r="F7" s="8"/>
      <c r="G7" s="8"/>
      <c r="H7" s="8"/>
      <c r="I7" s="8"/>
      <c r="J7" s="8"/>
      <c r="K7" s="8"/>
      <c r="L7" s="8"/>
      <c r="M7" s="8"/>
      <c r="N7" s="8"/>
    </row>
    <row r="8" spans="1:14" ht="17" x14ac:dyDescent="0.2">
      <c r="A8" s="8" t="s">
        <v>39</v>
      </c>
      <c r="B8" s="1" t="s">
        <v>8</v>
      </c>
      <c r="C8" s="8">
        <v>0.1</v>
      </c>
      <c r="D8" s="8">
        <v>4.1813000000000002</v>
      </c>
      <c r="E8" s="8">
        <v>5</v>
      </c>
      <c r="F8" s="8"/>
      <c r="G8" s="9" t="s">
        <v>49</v>
      </c>
      <c r="H8" s="8"/>
      <c r="I8" s="8"/>
      <c r="J8" s="8"/>
      <c r="K8" s="8"/>
      <c r="L8" s="8"/>
      <c r="M8" s="8"/>
      <c r="N8" s="8"/>
    </row>
    <row r="9" spans="1:14" ht="17" x14ac:dyDescent="0.2">
      <c r="A9" s="8" t="s">
        <v>7</v>
      </c>
      <c r="B9" s="1" t="s">
        <v>8</v>
      </c>
      <c r="C9" s="8">
        <v>0.5</v>
      </c>
      <c r="D9" s="8">
        <v>4.1795999999999998</v>
      </c>
      <c r="E9" s="8">
        <v>5</v>
      </c>
      <c r="F9" s="8"/>
      <c r="G9" s="8"/>
      <c r="H9" s="8"/>
      <c r="I9" s="8"/>
      <c r="J9" s="8"/>
      <c r="K9" s="8"/>
      <c r="L9" s="8"/>
      <c r="M9" s="8"/>
      <c r="N9" s="8"/>
    </row>
    <row r="10" spans="1:14" ht="17" x14ac:dyDescent="0.2">
      <c r="A10" s="8" t="s">
        <v>40</v>
      </c>
      <c r="B10" s="1" t="s">
        <v>10</v>
      </c>
      <c r="C10" s="8">
        <v>0.1</v>
      </c>
      <c r="D10" s="8">
        <v>20</v>
      </c>
      <c r="E10" s="8">
        <v>5</v>
      </c>
      <c r="F10" s="8"/>
      <c r="G10" s="8"/>
      <c r="H10" s="8"/>
      <c r="I10" s="8"/>
      <c r="J10" s="8"/>
      <c r="K10" s="8"/>
      <c r="L10" s="8"/>
      <c r="M10" s="8"/>
      <c r="N10" s="8"/>
    </row>
    <row r="11" spans="1:14" ht="17" x14ac:dyDescent="0.2">
      <c r="A11" s="8" t="s">
        <v>9</v>
      </c>
      <c r="B11" s="1" t="s">
        <v>10</v>
      </c>
      <c r="C11" s="8">
        <v>0.1</v>
      </c>
      <c r="D11" s="8">
        <v>1</v>
      </c>
      <c r="E11" s="8">
        <v>5</v>
      </c>
      <c r="F11" s="8"/>
      <c r="G11" s="8"/>
      <c r="H11" s="8"/>
      <c r="I11" s="8"/>
      <c r="J11" s="8"/>
      <c r="K11" s="8"/>
      <c r="L11" s="8"/>
      <c r="M11" s="8"/>
      <c r="N11" s="8"/>
    </row>
    <row r="12" spans="1:14" ht="17" x14ac:dyDescent="0.2">
      <c r="A12" s="8" t="s">
        <v>111</v>
      </c>
      <c r="B12" s="1" t="s">
        <v>110</v>
      </c>
      <c r="C12" s="8">
        <f>0.1/1000</f>
        <v>1E-4</v>
      </c>
      <c r="D12" s="8">
        <f>15/1000</f>
        <v>1.4999999999999999E-2</v>
      </c>
      <c r="E12" s="8">
        <v>5</v>
      </c>
      <c r="F12" s="8"/>
      <c r="G12" s="9" t="s">
        <v>50</v>
      </c>
      <c r="H12" s="8"/>
      <c r="I12" s="8"/>
      <c r="J12" s="8"/>
      <c r="K12" s="8"/>
      <c r="L12" s="8"/>
      <c r="M12" s="8"/>
      <c r="N12" s="8"/>
    </row>
    <row r="13" spans="1:14" ht="17" x14ac:dyDescent="0.2">
      <c r="A13" s="8" t="s">
        <v>51</v>
      </c>
      <c r="B13" s="8" t="s">
        <v>52</v>
      </c>
      <c r="C13" s="8"/>
      <c r="D13" s="8"/>
      <c r="E13" s="8"/>
      <c r="F13" s="8">
        <v>2</v>
      </c>
      <c r="G13" s="8"/>
      <c r="H13" s="8"/>
      <c r="I13" s="8"/>
      <c r="J13" s="8"/>
      <c r="K13" s="8"/>
      <c r="L13" s="8"/>
      <c r="M13" s="8"/>
      <c r="N13" s="8"/>
    </row>
    <row r="14" spans="1:14" ht="17" x14ac:dyDescent="0.2">
      <c r="A14" s="8" t="s">
        <v>53</v>
      </c>
      <c r="B14" s="8" t="s">
        <v>52</v>
      </c>
      <c r="C14" s="8"/>
      <c r="D14" s="8"/>
      <c r="F14" s="8">
        <v>500</v>
      </c>
      <c r="G14" s="8"/>
      <c r="H14" s="8"/>
      <c r="I14" s="8"/>
      <c r="J14" s="8"/>
      <c r="K14" s="8"/>
      <c r="L14" s="8"/>
      <c r="M14" s="8"/>
      <c r="N14" s="8"/>
    </row>
    <row r="15" spans="1:14" ht="17" x14ac:dyDescent="0.2">
      <c r="A15" s="8" t="s">
        <v>54</v>
      </c>
      <c r="B15" s="8" t="s">
        <v>52</v>
      </c>
      <c r="C15" s="8"/>
      <c r="D15" s="8"/>
      <c r="F15" s="8">
        <v>3</v>
      </c>
      <c r="G15" s="8"/>
      <c r="H15" s="8"/>
      <c r="I15" s="8"/>
      <c r="J15" s="8"/>
      <c r="K15" s="8"/>
      <c r="L15" s="8"/>
      <c r="M15" s="8"/>
      <c r="N15" s="8"/>
    </row>
    <row r="16" spans="1:14" ht="17" x14ac:dyDescent="0.2">
      <c r="A16" s="8" t="s">
        <v>11</v>
      </c>
      <c r="B16" s="8" t="s">
        <v>12</v>
      </c>
      <c r="C16" s="8">
        <v>298</v>
      </c>
      <c r="D16" s="8">
        <v>323</v>
      </c>
      <c r="E16" s="8">
        <v>2</v>
      </c>
      <c r="F16" s="8"/>
      <c r="G16" s="8"/>
      <c r="H16" s="8"/>
      <c r="I16" s="8"/>
      <c r="J16" s="8"/>
      <c r="K16" s="8"/>
      <c r="L16" s="8"/>
      <c r="M16" s="8"/>
      <c r="N16" s="8"/>
    </row>
    <row r="17" spans="1:14" ht="68" x14ac:dyDescent="0.2">
      <c r="A17" s="8" t="s">
        <v>13</v>
      </c>
      <c r="B17" s="8" t="s">
        <v>55</v>
      </c>
      <c r="C17" s="8"/>
      <c r="D17" s="8"/>
      <c r="F17" s="8" t="s">
        <v>108</v>
      </c>
      <c r="G17" s="8"/>
      <c r="H17" s="8"/>
      <c r="I17" s="8"/>
      <c r="J17" s="8"/>
      <c r="K17" s="8"/>
      <c r="L17" s="8"/>
      <c r="M17" s="8"/>
      <c r="N17" s="8"/>
    </row>
    <row r="18" spans="1:14" x14ac:dyDescent="0.2">
      <c r="A18" s="8"/>
    </row>
  </sheetData>
  <hyperlinks>
    <hyperlink ref="G12" r:id="rId1" xr:uid="{955D9D58-E474-EF45-B942-8ADF0BD5759C}"/>
    <hyperlink ref="G8" r:id="rId2" xr:uid="{EB4F324C-6F6A-614E-8951-068A656E71E3}"/>
    <hyperlink ref="G2" r:id="rId3" xr:uid="{9C6F8628-C274-3747-920D-0E0965B53B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81C4-D04E-FC4B-BD49-D097ABF5C4F1}">
  <dimension ref="A1:D25"/>
  <sheetViews>
    <sheetView workbookViewId="0">
      <selection activeCell="A14" sqref="A14"/>
    </sheetView>
  </sheetViews>
  <sheetFormatPr baseColWidth="10" defaultRowHeight="16" x14ac:dyDescent="0.2"/>
  <cols>
    <col min="1" max="1" width="33" customWidth="1"/>
    <col min="2" max="2" width="13.33203125" customWidth="1"/>
  </cols>
  <sheetData>
    <row r="1" spans="1:4" x14ac:dyDescent="0.2">
      <c r="A1" t="s">
        <v>56</v>
      </c>
      <c r="B1" t="s">
        <v>14</v>
      </c>
      <c r="C1" t="s">
        <v>44</v>
      </c>
      <c r="D1" t="s">
        <v>45</v>
      </c>
    </row>
    <row r="2" spans="1:4" x14ac:dyDescent="0.2">
      <c r="A2" t="s">
        <v>57</v>
      </c>
    </row>
    <row r="3" spans="1:4" x14ac:dyDescent="0.2">
      <c r="A3" t="s">
        <v>58</v>
      </c>
    </row>
    <row r="4" spans="1:4" x14ac:dyDescent="0.2">
      <c r="A4" t="s">
        <v>59</v>
      </c>
    </row>
    <row r="5" spans="1:4" x14ac:dyDescent="0.2">
      <c r="A5" t="s">
        <v>60</v>
      </c>
    </row>
    <row r="6" spans="1:4" x14ac:dyDescent="0.2">
      <c r="A6" t="s">
        <v>61</v>
      </c>
    </row>
    <row r="7" spans="1:4" x14ac:dyDescent="0.2">
      <c r="A7" t="s">
        <v>62</v>
      </c>
    </row>
    <row r="8" spans="1:4" x14ac:dyDescent="0.2">
      <c r="A8" t="s">
        <v>264</v>
      </c>
    </row>
    <row r="9" spans="1:4" x14ac:dyDescent="0.2">
      <c r="A9" t="s">
        <v>265</v>
      </c>
    </row>
    <row r="10" spans="1:4" x14ac:dyDescent="0.2">
      <c r="A10" t="s">
        <v>266</v>
      </c>
    </row>
    <row r="11" spans="1:4" x14ac:dyDescent="0.2">
      <c r="A11" t="s">
        <v>262</v>
      </c>
    </row>
    <row r="12" spans="1:4" x14ac:dyDescent="0.2">
      <c r="A12" t="s">
        <v>67</v>
      </c>
    </row>
    <row r="13" spans="1:4" x14ac:dyDescent="0.2">
      <c r="A13" t="s">
        <v>68</v>
      </c>
    </row>
    <row r="14" spans="1:4" x14ac:dyDescent="0.2">
      <c r="A14" t="s">
        <v>263</v>
      </c>
    </row>
    <row r="15" spans="1:4" x14ac:dyDescent="0.2">
      <c r="A15" t="s">
        <v>70</v>
      </c>
    </row>
    <row r="16" spans="1:4" x14ac:dyDescent="0.2">
      <c r="A16" t="s">
        <v>71</v>
      </c>
    </row>
    <row r="17" spans="1:4" x14ac:dyDescent="0.2">
      <c r="A17" t="s">
        <v>72</v>
      </c>
    </row>
    <row r="18" spans="1:4" x14ac:dyDescent="0.2">
      <c r="A18" t="s">
        <v>73</v>
      </c>
    </row>
    <row r="19" spans="1:4" x14ac:dyDescent="0.2">
      <c r="A19" t="s">
        <v>74</v>
      </c>
    </row>
    <row r="20" spans="1:4" x14ac:dyDescent="0.2">
      <c r="A20" t="s">
        <v>75</v>
      </c>
    </row>
    <row r="21" spans="1:4" x14ac:dyDescent="0.2">
      <c r="A21" t="s">
        <v>76</v>
      </c>
    </row>
    <row r="22" spans="1:4" x14ac:dyDescent="0.2">
      <c r="A22" t="s">
        <v>124</v>
      </c>
    </row>
    <row r="23" spans="1:4" ht="17" x14ac:dyDescent="0.2">
      <c r="A23" s="10" t="s">
        <v>103</v>
      </c>
      <c r="B23" t="s">
        <v>112</v>
      </c>
      <c r="C23">
        <v>-40</v>
      </c>
      <c r="D23">
        <v>85</v>
      </c>
    </row>
    <row r="24" spans="1:4" ht="17" x14ac:dyDescent="0.2">
      <c r="A24" s="10" t="s">
        <v>104</v>
      </c>
      <c r="B24" t="s">
        <v>112</v>
      </c>
      <c r="C24">
        <v>-40</v>
      </c>
      <c r="D24">
        <v>105</v>
      </c>
    </row>
    <row r="25" spans="1:4" ht="17" x14ac:dyDescent="0.2">
      <c r="A25" s="10" t="s">
        <v>105</v>
      </c>
      <c r="B25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49D3-CF11-244F-9DEE-DEA046E8E73A}">
  <dimension ref="A1:F25"/>
  <sheetViews>
    <sheetView workbookViewId="0">
      <selection activeCell="E13" sqref="E13"/>
    </sheetView>
  </sheetViews>
  <sheetFormatPr baseColWidth="10" defaultRowHeight="16" x14ac:dyDescent="0.2"/>
  <cols>
    <col min="1" max="1" width="29.33203125" customWidth="1"/>
    <col min="2" max="2" width="21" customWidth="1"/>
    <col min="3" max="3" width="25.33203125" customWidth="1"/>
    <col min="4" max="4" width="21" customWidth="1"/>
    <col min="5" max="5" width="10.83203125" style="14"/>
  </cols>
  <sheetData>
    <row r="1" spans="1:6" x14ac:dyDescent="0.2">
      <c r="A1" t="s">
        <v>77</v>
      </c>
      <c r="B1" s="1" t="s">
        <v>78</v>
      </c>
      <c r="C1" s="1" t="s">
        <v>79</v>
      </c>
      <c r="D1" s="1" t="s">
        <v>80</v>
      </c>
      <c r="E1" s="14" t="s">
        <v>143</v>
      </c>
    </row>
    <row r="2" spans="1:6" x14ac:dyDescent="0.2">
      <c r="A2" t="s">
        <v>81</v>
      </c>
      <c r="B2" s="1">
        <v>791</v>
      </c>
      <c r="C2" s="1">
        <v>921</v>
      </c>
      <c r="D2" s="1">
        <v>912</v>
      </c>
      <c r="E2" s="14">
        <v>1400</v>
      </c>
    </row>
    <row r="3" spans="1:6" x14ac:dyDescent="0.2">
      <c r="A3" t="s">
        <v>82</v>
      </c>
      <c r="B3" s="1">
        <f>B2*1000/100^3</f>
        <v>0.79100000000000004</v>
      </c>
      <c r="C3" s="1">
        <f t="shared" ref="C3:E3" si="0">C2*1000/100^3</f>
        <v>0.92100000000000004</v>
      </c>
      <c r="D3" s="1">
        <f t="shared" si="0"/>
        <v>0.91200000000000003</v>
      </c>
      <c r="E3" s="14">
        <f t="shared" si="0"/>
        <v>1.4</v>
      </c>
      <c r="F3">
        <v>1.42</v>
      </c>
    </row>
    <row r="4" spans="1:6" x14ac:dyDescent="0.2">
      <c r="A4" t="s">
        <v>83</v>
      </c>
      <c r="B4" s="1">
        <v>4.5999999999999996</v>
      </c>
      <c r="C4" s="1">
        <v>13</v>
      </c>
      <c r="D4" s="1">
        <v>4.5999999999999996</v>
      </c>
      <c r="E4" s="14">
        <f>0.32/100*E3*100</f>
        <v>0.44799999999999995</v>
      </c>
      <c r="F4" s="14">
        <f>0.41/100*F3*100</f>
        <v>0.58219999999999994</v>
      </c>
    </row>
    <row r="5" spans="1:6" x14ac:dyDescent="0.2">
      <c r="A5" t="s">
        <v>84</v>
      </c>
      <c r="B5" s="1">
        <v>2.0299999999999998</v>
      </c>
      <c r="C5" s="1">
        <v>2.2999999999999998</v>
      </c>
      <c r="D5" s="1">
        <v>1.8</v>
      </c>
      <c r="E5" s="14">
        <v>1.3</v>
      </c>
    </row>
    <row r="6" spans="1:6" x14ac:dyDescent="0.2">
      <c r="A6" t="s">
        <v>85</v>
      </c>
      <c r="B6" s="1" t="s">
        <v>86</v>
      </c>
      <c r="C6" s="1">
        <v>0.17</v>
      </c>
      <c r="D6" s="1">
        <v>0.12</v>
      </c>
      <c r="E6" s="14">
        <v>7.4999999999999997E-2</v>
      </c>
    </row>
    <row r="7" spans="1:6" x14ac:dyDescent="0.2">
      <c r="A7" t="s">
        <v>60</v>
      </c>
      <c r="B7" s="1">
        <v>23.4</v>
      </c>
      <c r="C7" s="1">
        <v>61.8</v>
      </c>
      <c r="D7" s="1">
        <v>44.3</v>
      </c>
      <c r="E7" s="14">
        <v>40</v>
      </c>
    </row>
    <row r="8" spans="1:6" x14ac:dyDescent="0.2">
      <c r="A8" t="s">
        <v>61</v>
      </c>
      <c r="B8" s="1">
        <v>2.04</v>
      </c>
      <c r="C8" s="1">
        <v>4</v>
      </c>
      <c r="D8" s="1">
        <v>2.5</v>
      </c>
      <c r="E8" s="14">
        <v>7.4</v>
      </c>
    </row>
    <row r="9" spans="1:6" x14ac:dyDescent="0.2">
      <c r="A9" t="s">
        <v>62</v>
      </c>
      <c r="B9" s="1" t="s">
        <v>87</v>
      </c>
      <c r="C9" s="1" t="s">
        <v>88</v>
      </c>
      <c r="D9" s="1" t="s">
        <v>89</v>
      </c>
      <c r="E9" s="14">
        <v>108</v>
      </c>
    </row>
    <row r="10" spans="1:6" x14ac:dyDescent="0.2">
      <c r="A10" t="s">
        <v>63</v>
      </c>
      <c r="B10" s="1">
        <v>112</v>
      </c>
      <c r="C10" s="1">
        <v>210</v>
      </c>
      <c r="D10" s="1">
        <v>132</v>
      </c>
      <c r="E10" s="14">
        <v>100000</v>
      </c>
    </row>
    <row r="11" spans="1:6" x14ac:dyDescent="0.2">
      <c r="A11" t="s">
        <v>64</v>
      </c>
      <c r="B11" s="1" t="s">
        <v>90</v>
      </c>
      <c r="C11" s="1">
        <v>377</v>
      </c>
      <c r="D11" s="1"/>
    </row>
    <row r="12" spans="1:6" x14ac:dyDescent="0.2">
      <c r="A12" t="s">
        <v>65</v>
      </c>
      <c r="B12" s="1">
        <v>291</v>
      </c>
      <c r="C12" s="1">
        <v>417</v>
      </c>
      <c r="D12" s="1" t="s">
        <v>90</v>
      </c>
      <c r="E12" s="14">
        <v>34</v>
      </c>
    </row>
    <row r="13" spans="1:6" x14ac:dyDescent="0.2">
      <c r="A13" t="s">
        <v>66</v>
      </c>
      <c r="B13" s="1">
        <v>5.4000000000000001E-4</v>
      </c>
      <c r="C13" s="1">
        <v>8.0000000000000004E-4</v>
      </c>
      <c r="D13" s="1">
        <v>4.8000000000000001E-4</v>
      </c>
      <c r="E13" s="14">
        <v>2.1900000000000001E-3</v>
      </c>
    </row>
    <row r="14" spans="1:6" x14ac:dyDescent="0.2">
      <c r="A14" t="s">
        <v>67</v>
      </c>
      <c r="B14" s="1" t="s">
        <v>91</v>
      </c>
      <c r="C14" s="1" t="s">
        <v>92</v>
      </c>
      <c r="D14" s="1">
        <v>0.13</v>
      </c>
      <c r="E14" s="14">
        <v>64.599999999999994</v>
      </c>
    </row>
    <row r="15" spans="1:6" x14ac:dyDescent="0.2">
      <c r="A15" t="s">
        <v>93</v>
      </c>
      <c r="B15" s="1" t="s">
        <v>94</v>
      </c>
      <c r="C15" s="1" t="s">
        <v>95</v>
      </c>
      <c r="D15" s="1" t="s">
        <v>96</v>
      </c>
      <c r="E15" s="14" t="s">
        <v>94</v>
      </c>
    </row>
    <row r="16" spans="1:6" x14ac:dyDescent="0.2">
      <c r="A16" t="s">
        <v>97</v>
      </c>
      <c r="B16" s="1">
        <v>0</v>
      </c>
      <c r="C16" s="1">
        <v>0</v>
      </c>
      <c r="D16" s="1">
        <v>0</v>
      </c>
      <c r="E16" s="14">
        <v>530</v>
      </c>
    </row>
    <row r="17" spans="1:5" x14ac:dyDescent="0.2">
      <c r="A17" t="s">
        <v>98</v>
      </c>
      <c r="B17" s="1" t="s">
        <v>99</v>
      </c>
      <c r="C17" s="1">
        <v>122</v>
      </c>
      <c r="D17" s="1">
        <v>12</v>
      </c>
      <c r="E17" s="14">
        <f>0.5/100*E3*100</f>
        <v>0.7</v>
      </c>
    </row>
    <row r="18" spans="1:5" x14ac:dyDescent="0.2">
      <c r="A18" t="s">
        <v>68</v>
      </c>
      <c r="B18" s="1" t="s">
        <v>100</v>
      </c>
      <c r="C18" s="1" t="s">
        <v>100</v>
      </c>
      <c r="D18" s="1" t="s">
        <v>100</v>
      </c>
    </row>
    <row r="19" spans="1:5" x14ac:dyDescent="0.2">
      <c r="A19" t="s">
        <v>101</v>
      </c>
      <c r="B19" s="1">
        <v>3.87</v>
      </c>
      <c r="C19" s="1">
        <v>8.82</v>
      </c>
      <c r="D19" s="1">
        <v>3.96</v>
      </c>
    </row>
    <row r="20" spans="1:5" x14ac:dyDescent="0.2">
      <c r="A20" t="s">
        <v>102</v>
      </c>
      <c r="B20" s="1">
        <v>1.35</v>
      </c>
      <c r="C20" s="1">
        <v>2.66</v>
      </c>
      <c r="D20" s="1">
        <v>1.87</v>
      </c>
    </row>
    <row r="21" spans="1:5" x14ac:dyDescent="0.2">
      <c r="A21" t="s">
        <v>69</v>
      </c>
      <c r="B21" s="1">
        <v>-80</v>
      </c>
      <c r="C21" s="1">
        <v>-78</v>
      </c>
      <c r="D21" s="1">
        <v>-90</v>
      </c>
      <c r="E21" s="14">
        <v>-122.5</v>
      </c>
    </row>
    <row r="25" spans="1:5" x14ac:dyDescent="0.2">
      <c r="B25" t="e">
        <f>B17/B4</f>
        <v>#VALUE!</v>
      </c>
      <c r="C25">
        <f>C17/C4</f>
        <v>9.384615384615385</v>
      </c>
      <c r="D25">
        <f>D17/D4</f>
        <v>2.6086956521739131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8F6F-C25A-D94B-8945-F1CB4125EA43}">
  <dimension ref="A1:J8"/>
  <sheetViews>
    <sheetView zoomScale="84" workbookViewId="0">
      <selection activeCell="D9" sqref="D9"/>
    </sheetView>
  </sheetViews>
  <sheetFormatPr baseColWidth="10" defaultRowHeight="16" x14ac:dyDescent="0.2"/>
  <sheetData>
    <row r="1" spans="1:10" x14ac:dyDescent="0.2">
      <c r="A1" t="s">
        <v>144</v>
      </c>
      <c r="B1" t="s">
        <v>145</v>
      </c>
      <c r="C1" t="s">
        <v>146</v>
      </c>
      <c r="F1" t="s">
        <v>144</v>
      </c>
      <c r="G1" t="s">
        <v>145</v>
      </c>
      <c r="H1" t="s">
        <v>146</v>
      </c>
    </row>
    <row r="2" spans="1:10" x14ac:dyDescent="0.2">
      <c r="A2">
        <v>1</v>
      </c>
      <c r="B2">
        <f>E2+273</f>
        <v>298</v>
      </c>
      <c r="C2">
        <f>D2/0.255</f>
        <v>1</v>
      </c>
      <c r="D2">
        <v>0.255</v>
      </c>
      <c r="E2">
        <v>25</v>
      </c>
    </row>
    <row r="3" spans="1:10" x14ac:dyDescent="0.2">
      <c r="A3">
        <v>2</v>
      </c>
      <c r="B3">
        <f t="shared" ref="B3:B4" si="0">E3+273</f>
        <v>298</v>
      </c>
      <c r="C3">
        <f t="shared" ref="C3:C4" si="1">D3/0.255</f>
        <v>7.2588235294117647</v>
      </c>
      <c r="D3">
        <v>1.851</v>
      </c>
      <c r="E3">
        <v>25</v>
      </c>
      <c r="F3">
        <v>1</v>
      </c>
      <c r="G3">
        <f>J3+273</f>
        <v>278</v>
      </c>
      <c r="H3">
        <f>I3/0.487</f>
        <v>1.9240246406570845</v>
      </c>
      <c r="I3">
        <v>0.93700000000000006</v>
      </c>
      <c r="J3">
        <v>5</v>
      </c>
    </row>
    <row r="4" spans="1:10" x14ac:dyDescent="0.2">
      <c r="A4">
        <v>4</v>
      </c>
      <c r="B4">
        <f t="shared" si="0"/>
        <v>298</v>
      </c>
      <c r="C4">
        <f t="shared" si="1"/>
        <v>28.298039215686273</v>
      </c>
      <c r="D4">
        <v>7.2160000000000002</v>
      </c>
      <c r="E4">
        <v>25</v>
      </c>
      <c r="F4">
        <v>1</v>
      </c>
      <c r="G4">
        <f t="shared" ref="G4:G5" si="2">J4+273</f>
        <v>298</v>
      </c>
      <c r="H4">
        <f t="shared" ref="H4:H5" si="3">I4/0.487</f>
        <v>1</v>
      </c>
      <c r="I4">
        <v>0.48699999999999999</v>
      </c>
      <c r="J4">
        <v>25</v>
      </c>
    </row>
    <row r="5" spans="1:10" x14ac:dyDescent="0.2">
      <c r="F5">
        <v>1</v>
      </c>
      <c r="G5">
        <f t="shared" si="2"/>
        <v>318</v>
      </c>
      <c r="H5">
        <f t="shared" si="3"/>
        <v>0.49691991786447637</v>
      </c>
      <c r="I5">
        <v>0.24199999999999999</v>
      </c>
      <c r="J5">
        <v>45</v>
      </c>
    </row>
    <row r="6" spans="1:10" x14ac:dyDescent="0.2">
      <c r="D6">
        <f>D$2*A2^2</f>
        <v>0.255</v>
      </c>
    </row>
    <row r="7" spans="1:10" x14ac:dyDescent="0.2">
      <c r="D7">
        <f t="shared" ref="D7:D8" si="4">D$2*A3^2</f>
        <v>1.02</v>
      </c>
    </row>
    <row r="8" spans="1:10" x14ac:dyDescent="0.2">
      <c r="D8">
        <f t="shared" si="4"/>
        <v>4.08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021B-A357-1748-91DC-63D1CF5A476A}">
  <dimension ref="A1:V9"/>
  <sheetViews>
    <sheetView workbookViewId="0">
      <selection activeCell="D12" sqref="D12"/>
    </sheetView>
  </sheetViews>
  <sheetFormatPr baseColWidth="10" defaultRowHeight="16" x14ac:dyDescent="0.2"/>
  <sheetData>
    <row r="1" spans="1:22" ht="17" x14ac:dyDescent="0.2">
      <c r="A1" t="s">
        <v>0</v>
      </c>
      <c r="B1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19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6" t="s">
        <v>30</v>
      </c>
      <c r="U1" s="5" t="s">
        <v>31</v>
      </c>
      <c r="V1" s="5" t="s">
        <v>32</v>
      </c>
    </row>
    <row r="2" spans="1:22" x14ac:dyDescent="0.2">
      <c r="A2" t="s">
        <v>33</v>
      </c>
      <c r="B2" s="7" t="s">
        <v>6</v>
      </c>
      <c r="E2">
        <v>1.38</v>
      </c>
      <c r="G2">
        <v>35</v>
      </c>
      <c r="H2">
        <v>35</v>
      </c>
      <c r="I2">
        <v>35</v>
      </c>
      <c r="O2">
        <v>315</v>
      </c>
      <c r="P2">
        <v>4.25</v>
      </c>
    </row>
    <row r="3" spans="1:22" x14ac:dyDescent="0.2">
      <c r="A3" t="s">
        <v>34</v>
      </c>
      <c r="B3" t="s">
        <v>35</v>
      </c>
      <c r="E3">
        <f>E4*E9</f>
        <v>0</v>
      </c>
      <c r="G3">
        <v>80</v>
      </c>
      <c r="H3">
        <v>105</v>
      </c>
      <c r="I3">
        <v>80</v>
      </c>
      <c r="O3">
        <v>15</v>
      </c>
      <c r="P3">
        <v>7</v>
      </c>
    </row>
    <row r="4" spans="1:22" x14ac:dyDescent="0.2">
      <c r="A4" t="s">
        <v>36</v>
      </c>
      <c r="B4" t="s">
        <v>35</v>
      </c>
      <c r="E4">
        <v>22</v>
      </c>
      <c r="G4">
        <v>10</v>
      </c>
      <c r="H4">
        <v>105</v>
      </c>
      <c r="I4">
        <v>10</v>
      </c>
      <c r="O4">
        <v>15</v>
      </c>
      <c r="P4">
        <v>7</v>
      </c>
    </row>
    <row r="5" spans="1:22" x14ac:dyDescent="0.2">
      <c r="A5" t="s">
        <v>37</v>
      </c>
      <c r="B5" t="s">
        <v>38</v>
      </c>
      <c r="E5">
        <f>10^-8</f>
        <v>1E-8</v>
      </c>
      <c r="G5">
        <v>1E-8</v>
      </c>
      <c r="H5">
        <v>1E-8</v>
      </c>
      <c r="I5">
        <v>1E-8</v>
      </c>
      <c r="O5">
        <v>1E-8</v>
      </c>
      <c r="P5">
        <v>1E-8</v>
      </c>
    </row>
    <row r="6" spans="1:22" x14ac:dyDescent="0.2">
      <c r="A6" t="s">
        <v>39</v>
      </c>
      <c r="B6" t="s">
        <v>8</v>
      </c>
      <c r="G6">
        <v>0.755</v>
      </c>
      <c r="H6">
        <v>0.755</v>
      </c>
      <c r="I6">
        <v>0.755</v>
      </c>
    </row>
    <row r="7" spans="1:22" x14ac:dyDescent="0.2">
      <c r="A7" t="s">
        <v>40</v>
      </c>
      <c r="B7" t="s">
        <v>41</v>
      </c>
      <c r="E7">
        <v>2.2000000000000002</v>
      </c>
      <c r="G7">
        <v>3.04</v>
      </c>
      <c r="H7">
        <v>3.04</v>
      </c>
      <c r="I7">
        <v>3.04</v>
      </c>
      <c r="O7" t="s">
        <v>42</v>
      </c>
      <c r="P7">
        <v>4.8</v>
      </c>
    </row>
    <row r="8" spans="1:22" x14ac:dyDescent="0.2">
      <c r="A8" t="s">
        <v>11</v>
      </c>
      <c r="B8">
        <v>298</v>
      </c>
      <c r="C8">
        <v>298</v>
      </c>
      <c r="D8">
        <v>298</v>
      </c>
      <c r="E8">
        <v>298</v>
      </c>
      <c r="F8">
        <v>298</v>
      </c>
      <c r="G8">
        <v>298</v>
      </c>
      <c r="H8">
        <v>298</v>
      </c>
      <c r="I8">
        <v>298</v>
      </c>
      <c r="J8">
        <v>298</v>
      </c>
      <c r="K8">
        <v>298</v>
      </c>
      <c r="L8">
        <v>298</v>
      </c>
      <c r="M8">
        <v>298</v>
      </c>
      <c r="N8">
        <v>298</v>
      </c>
      <c r="O8">
        <v>298</v>
      </c>
      <c r="P8">
        <v>298</v>
      </c>
    </row>
    <row r="9" spans="1:22" x14ac:dyDescent="0.2">
      <c r="A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nanoparticle</vt:lpstr>
      <vt:lpstr>basefluid</vt:lpstr>
      <vt:lpstr>Lumped Cell Properties</vt:lpstr>
      <vt:lpstr>cell</vt:lpstr>
      <vt:lpstr>parameter ranges fixed fluid</vt:lpstr>
      <vt:lpstr>parameter ranges</vt:lpstr>
      <vt:lpstr>problem</vt:lpstr>
      <vt:lpstr>Basefluid Lubrizol</vt:lpstr>
      <vt:lpstr>power prod</vt:lpstr>
      <vt:lpstr>nanoparticle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Venneri</dc:creator>
  <cp:lastModifiedBy>Lorenzo Venneri</cp:lastModifiedBy>
  <dcterms:created xsi:type="dcterms:W3CDTF">2019-10-17T19:50:20Z</dcterms:created>
  <dcterms:modified xsi:type="dcterms:W3CDTF">2021-09-27T16:25:44Z</dcterms:modified>
</cp:coreProperties>
</file>