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projects\byfd\byapp\BYAPP_DOC\12-MS（方案匹配）\12-02调研\交易电量部分\"/>
    </mc:Choice>
  </mc:AlternateContent>
  <xr:revisionPtr revIDLastSave="0" documentId="10_ncr:8100000_{16FBBCDD-7CF9-40A4-A0FC-47FBE226F667}" xr6:coauthVersionLast="32" xr6:coauthVersionMax="32" xr10:uidLastSave="{00000000-0000-0000-0000-000000000000}"/>
  <bookViews>
    <workbookView xWindow="0" yWindow="0" windowWidth="23895" windowHeight="10950" tabRatio="650" firstSheet="19" activeTab="21" xr2:uid="{00000000-000D-0000-FFFF-FFFF00000000}"/>
  </bookViews>
  <sheets>
    <sheet name="合计" sheetId="10" r:id="rId1"/>
    <sheet name="白银" sheetId="1" r:id="rId2"/>
    <sheet name="酒一" sheetId="2" r:id="rId3"/>
    <sheet name="酒二" sheetId="3" r:id="rId4"/>
    <sheet name="青海" sheetId="4" r:id="rId5"/>
    <sheet name="哈密" sheetId="5" r:id="rId6"/>
    <sheet name="三塘湖" sheetId="32" r:id="rId7"/>
    <sheet name="淖毛湖" sheetId="33" r:id="rId8"/>
    <sheet name="景峡" sheetId="35" r:id="rId9"/>
    <sheet name="烟墩" sheetId="34" r:id="rId10"/>
    <sheet name="吐鲁番" sheetId="6" r:id="rId11"/>
    <sheet name="敦煌" sheetId="7" r:id="rId12"/>
    <sheet name="格尔木" sheetId="8" r:id="rId13"/>
    <sheet name="石嘴山" sheetId="9" r:id="rId14"/>
    <sheet name="云南" sheetId="22" r:id="rId15"/>
    <sheet name="楚雄" sheetId="30" r:id="rId16"/>
    <sheet name="大理" sheetId="26" r:id="rId17"/>
    <sheet name="广西" sheetId="31" r:id="rId18"/>
    <sheet name="本部" sheetId="42" r:id="rId19"/>
    <sheet name="合并" sheetId="43" r:id="rId20"/>
    <sheet name="电价" sheetId="15" r:id="rId21"/>
    <sheet name="结算电量表" sheetId="11" r:id="rId22"/>
    <sheet name="Sheet2" sheetId="40" r:id="rId23"/>
    <sheet name="交易电量" sheetId="28" r:id="rId24"/>
    <sheet name="利润" sheetId="16" r:id="rId25"/>
    <sheet name="营业总收入" sheetId="21" r:id="rId26"/>
    <sheet name="营业总成本" sheetId="41" r:id="rId27"/>
    <sheet name="两金压减" sheetId="38" r:id="rId28"/>
    <sheet name="外购动力费" sheetId="27" r:id="rId29"/>
    <sheet name="材料修理费" sheetId="36" r:id="rId30"/>
    <sheet name="设备利用小" sheetId="29" r:id="rId31"/>
    <sheet name="Sheet1" sheetId="37" r:id="rId32"/>
  </sheets>
  <externalReferences>
    <externalReference r:id="rId33"/>
  </externalReferences>
  <calcPr calcId="162913"/>
</workbook>
</file>

<file path=xl/calcChain.xml><?xml version="1.0" encoding="utf-8"?>
<calcChain xmlns="http://schemas.openxmlformats.org/spreadsheetml/2006/main">
  <c r="O15" i="37" l="1"/>
  <c r="N15" i="37"/>
  <c r="C15" i="37"/>
  <c r="R14" i="37"/>
  <c r="R15" i="37" s="1"/>
  <c r="Q14" i="37"/>
  <c r="Q15" i="37" s="1"/>
  <c r="P14" i="37"/>
  <c r="O14" i="37"/>
  <c r="N14" i="37"/>
  <c r="J14" i="37"/>
  <c r="F14" i="37"/>
  <c r="F15" i="37" s="1"/>
  <c r="D14" i="37"/>
  <c r="C14" i="37"/>
  <c r="R13" i="37"/>
  <c r="Q13" i="37"/>
  <c r="P13" i="37"/>
  <c r="P15" i="37" s="1"/>
  <c r="O13" i="37"/>
  <c r="N13" i="37"/>
  <c r="J13" i="37"/>
  <c r="J15" i="37" s="1"/>
  <c r="F13" i="37"/>
  <c r="D13" i="37"/>
  <c r="D15" i="37" s="1"/>
  <c r="C13" i="37"/>
  <c r="S12" i="37"/>
  <c r="R12" i="37"/>
  <c r="Q12" i="37"/>
  <c r="P12" i="37"/>
  <c r="O12" i="37"/>
  <c r="N12" i="37"/>
  <c r="J12" i="37"/>
  <c r="F12" i="37"/>
  <c r="D12" i="37"/>
  <c r="S10" i="37"/>
  <c r="R10" i="37"/>
  <c r="Q10" i="37"/>
  <c r="P10" i="37"/>
  <c r="O10" i="37"/>
  <c r="N10" i="37"/>
  <c r="J10" i="37"/>
  <c r="F10" i="37"/>
  <c r="D10" i="37"/>
  <c r="S9" i="37"/>
  <c r="R9" i="37"/>
  <c r="Q9" i="37"/>
  <c r="P9" i="37"/>
  <c r="O9" i="37"/>
  <c r="N9" i="37"/>
  <c r="J9" i="37"/>
  <c r="F9" i="37"/>
  <c r="D9" i="37"/>
  <c r="R7" i="37"/>
  <c r="Q7" i="37"/>
  <c r="P7" i="37"/>
  <c r="O7" i="37"/>
  <c r="N7" i="37"/>
  <c r="J7" i="37"/>
  <c r="F7" i="37"/>
  <c r="D7" i="37"/>
  <c r="S6" i="37"/>
  <c r="S14" i="37" s="1"/>
  <c r="R6" i="37"/>
  <c r="Q6" i="37"/>
  <c r="P6" i="37"/>
  <c r="O6" i="37"/>
  <c r="N6" i="37"/>
  <c r="J6" i="37"/>
  <c r="F6" i="37"/>
  <c r="D6" i="37"/>
  <c r="R5" i="37"/>
  <c r="Q5" i="37"/>
  <c r="P5" i="37"/>
  <c r="O5" i="37"/>
  <c r="N5" i="37"/>
  <c r="J5" i="37"/>
  <c r="F5" i="37"/>
  <c r="D5" i="37"/>
  <c r="N60" i="29"/>
  <c r="M60" i="29"/>
  <c r="L60" i="29"/>
  <c r="K60" i="29"/>
  <c r="J60" i="29"/>
  <c r="I60" i="29"/>
  <c r="H60" i="29"/>
  <c r="G60" i="29"/>
  <c r="F60" i="29"/>
  <c r="E60" i="29"/>
  <c r="D60" i="29"/>
  <c r="C60" i="29"/>
  <c r="B59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I55" i="29"/>
  <c r="B55" i="29"/>
  <c r="B61" i="29" s="1"/>
  <c r="N54" i="29"/>
  <c r="M54" i="29"/>
  <c r="L54" i="29"/>
  <c r="K54" i="29"/>
  <c r="J54" i="29"/>
  <c r="I54" i="29"/>
  <c r="H54" i="29"/>
  <c r="G54" i="29"/>
  <c r="F54" i="29"/>
  <c r="E54" i="29"/>
  <c r="D54" i="29"/>
  <c r="C54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D46" i="29"/>
  <c r="C46" i="29"/>
  <c r="B46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6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M31" i="29"/>
  <c r="L31" i="29"/>
  <c r="K31" i="29"/>
  <c r="J31" i="29"/>
  <c r="I31" i="29"/>
  <c r="H31" i="29"/>
  <c r="G31" i="29"/>
  <c r="F31" i="29"/>
  <c r="E31" i="29"/>
  <c r="D31" i="29"/>
  <c r="C31" i="29"/>
  <c r="M30" i="29"/>
  <c r="L30" i="29"/>
  <c r="K30" i="29"/>
  <c r="J30" i="29"/>
  <c r="I30" i="29"/>
  <c r="H30" i="29"/>
  <c r="G30" i="29"/>
  <c r="F30" i="29"/>
  <c r="E30" i="29"/>
  <c r="D30" i="29"/>
  <c r="C30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M28" i="29"/>
  <c r="L28" i="29"/>
  <c r="K28" i="29"/>
  <c r="J28" i="29"/>
  <c r="I28" i="29"/>
  <c r="H28" i="29"/>
  <c r="G28" i="29"/>
  <c r="F28" i="29"/>
  <c r="E28" i="29"/>
  <c r="D28" i="29"/>
  <c r="C28" i="29"/>
  <c r="N27" i="29"/>
  <c r="L27" i="29"/>
  <c r="C27" i="29"/>
  <c r="B27" i="29"/>
  <c r="N26" i="29"/>
  <c r="L26" i="29"/>
  <c r="K26" i="29"/>
  <c r="J26" i="29"/>
  <c r="I26" i="29"/>
  <c r="H26" i="29"/>
  <c r="G26" i="29"/>
  <c r="F26" i="29"/>
  <c r="E26" i="29"/>
  <c r="D26" i="29"/>
  <c r="C26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G16" i="29"/>
  <c r="B16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O15" i="29" s="1"/>
  <c r="N14" i="29"/>
  <c r="M14" i="29"/>
  <c r="L14" i="29"/>
  <c r="K14" i="29"/>
  <c r="J14" i="29"/>
  <c r="I14" i="29"/>
  <c r="H14" i="29"/>
  <c r="G14" i="29"/>
  <c r="F14" i="29"/>
  <c r="E14" i="29"/>
  <c r="D14" i="29"/>
  <c r="C14" i="29"/>
  <c r="O14" i="29" s="1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O10" i="29" s="1"/>
  <c r="N9" i="29"/>
  <c r="M9" i="29"/>
  <c r="L9" i="29"/>
  <c r="K9" i="29"/>
  <c r="J9" i="29"/>
  <c r="I9" i="29"/>
  <c r="H9" i="29"/>
  <c r="G9" i="29"/>
  <c r="F9" i="29"/>
  <c r="E9" i="29"/>
  <c r="D9" i="29"/>
  <c r="C9" i="29"/>
  <c r="O9" i="29" s="1"/>
  <c r="N8" i="29"/>
  <c r="M8" i="29"/>
  <c r="L8" i="29"/>
  <c r="K8" i="29"/>
  <c r="J8" i="29"/>
  <c r="H8" i="29"/>
  <c r="G8" i="29"/>
  <c r="F8" i="29"/>
  <c r="E8" i="29"/>
  <c r="D8" i="29"/>
  <c r="C8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N6" i="29"/>
  <c r="M6" i="29"/>
  <c r="L6" i="29"/>
  <c r="K6" i="29"/>
  <c r="J6" i="29"/>
  <c r="I6" i="29"/>
  <c r="H6" i="29"/>
  <c r="G6" i="29"/>
  <c r="F6" i="29"/>
  <c r="E6" i="29"/>
  <c r="D6" i="29"/>
  <c r="C6" i="29"/>
  <c r="O6" i="29" s="1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N3" i="29"/>
  <c r="M3" i="29"/>
  <c r="L3" i="29"/>
  <c r="K3" i="29"/>
  <c r="J3" i="29"/>
  <c r="I3" i="29"/>
  <c r="H3" i="29"/>
  <c r="G3" i="29"/>
  <c r="F3" i="29"/>
  <c r="E3" i="29"/>
  <c r="D3" i="29"/>
  <c r="C3" i="29"/>
  <c r="O3" i="29" s="1"/>
  <c r="O42" i="36"/>
  <c r="M41" i="36"/>
  <c r="L41" i="36"/>
  <c r="I41" i="36"/>
  <c r="H41" i="36"/>
  <c r="E41" i="36"/>
  <c r="D41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N39" i="36"/>
  <c r="N41" i="36" s="1"/>
  <c r="M39" i="36"/>
  <c r="L39" i="36"/>
  <c r="K39" i="36"/>
  <c r="K41" i="36" s="1"/>
  <c r="J39" i="36"/>
  <c r="J41" i="36" s="1"/>
  <c r="I39" i="36"/>
  <c r="H39" i="36"/>
  <c r="G39" i="36"/>
  <c r="G41" i="36" s="1"/>
  <c r="F39" i="36"/>
  <c r="F41" i="36" s="1"/>
  <c r="E39" i="36"/>
  <c r="D39" i="36"/>
  <c r="C39" i="36"/>
  <c r="C41" i="36" s="1"/>
  <c r="B39" i="36"/>
  <c r="B41" i="36" s="1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O35" i="36" s="1"/>
  <c r="B35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34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O33" i="36" s="1"/>
  <c r="B33" i="36"/>
  <c r="N32" i="36"/>
  <c r="M32" i="36"/>
  <c r="L32" i="36"/>
  <c r="K32" i="36"/>
  <c r="J32" i="36"/>
  <c r="I32" i="36"/>
  <c r="H32" i="36"/>
  <c r="G32" i="36"/>
  <c r="F32" i="36"/>
  <c r="D32" i="36"/>
  <c r="C32" i="36"/>
  <c r="B32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O31" i="36" s="1"/>
  <c r="B31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O29" i="36" s="1"/>
  <c r="B29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O27" i="36" s="1"/>
  <c r="B27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O25" i="36" s="1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O21" i="36"/>
  <c r="O20" i="36"/>
  <c r="O19" i="36"/>
  <c r="O18" i="36"/>
  <c r="B18" i="36"/>
  <c r="O17" i="36"/>
  <c r="O16" i="36"/>
  <c r="O15" i="36"/>
  <c r="O14" i="36"/>
  <c r="O13" i="36"/>
  <c r="O12" i="36"/>
  <c r="O11" i="36"/>
  <c r="O10" i="36"/>
  <c r="O9" i="36" s="1"/>
  <c r="S7" i="37" s="1"/>
  <c r="B9" i="36"/>
  <c r="O8" i="36"/>
  <c r="O7" i="36"/>
  <c r="O6" i="36"/>
  <c r="S5" i="37" s="1"/>
  <c r="S13" i="37" s="1"/>
  <c r="S15" i="37" s="1"/>
  <c r="O5" i="36"/>
  <c r="O63" i="27"/>
  <c r="C62" i="27"/>
  <c r="O62" i="27" s="1"/>
  <c r="B62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O61" i="27" s="1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N51" i="27"/>
  <c r="M51" i="27"/>
  <c r="L51" i="27"/>
  <c r="K51" i="27"/>
  <c r="J51" i="27"/>
  <c r="I51" i="27"/>
  <c r="H51" i="27"/>
  <c r="G51" i="27"/>
  <c r="F51" i="27"/>
  <c r="O51" i="27" s="1"/>
  <c r="E51" i="27"/>
  <c r="D51" i="27"/>
  <c r="C51" i="27"/>
  <c r="B51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O50" i="27" s="1"/>
  <c r="B50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O46" i="27" s="1"/>
  <c r="B46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D17" i="38"/>
  <c r="J16" i="38"/>
  <c r="I16" i="38"/>
  <c r="H16" i="38"/>
  <c r="H17" i="38" s="1"/>
  <c r="G16" i="38"/>
  <c r="G17" i="38" s="1"/>
  <c r="F16" i="38"/>
  <c r="E16" i="38"/>
  <c r="D16" i="38"/>
  <c r="C16" i="38"/>
  <c r="C17" i="38" s="1"/>
  <c r="B16" i="38"/>
  <c r="M15" i="38"/>
  <c r="L15" i="38"/>
  <c r="L16" i="38" s="1"/>
  <c r="K15" i="38"/>
  <c r="K16" i="38" s="1"/>
  <c r="M14" i="38"/>
  <c r="L14" i="38"/>
  <c r="K14" i="38"/>
  <c r="M13" i="38"/>
  <c r="M16" i="38" s="1"/>
  <c r="L13" i="38"/>
  <c r="K13" i="38"/>
  <c r="J12" i="38"/>
  <c r="I12" i="38"/>
  <c r="H12" i="38"/>
  <c r="G12" i="38"/>
  <c r="F12" i="38"/>
  <c r="E12" i="38"/>
  <c r="D12" i="38"/>
  <c r="C12" i="38"/>
  <c r="B12" i="38"/>
  <c r="M11" i="38"/>
  <c r="L11" i="38"/>
  <c r="K11" i="38"/>
  <c r="M10" i="38"/>
  <c r="L10" i="38"/>
  <c r="K10" i="38"/>
  <c r="M9" i="38"/>
  <c r="L9" i="38"/>
  <c r="K9" i="38"/>
  <c r="M8" i="38"/>
  <c r="L8" i="38"/>
  <c r="K8" i="38"/>
  <c r="M7" i="38"/>
  <c r="L7" i="38"/>
  <c r="K7" i="38"/>
  <c r="M6" i="38"/>
  <c r="M12" i="38" s="1"/>
  <c r="L6" i="38"/>
  <c r="K6" i="38"/>
  <c r="M5" i="38"/>
  <c r="L5" i="38"/>
  <c r="K5" i="38"/>
  <c r="M4" i="38"/>
  <c r="L4" i="38"/>
  <c r="K4" i="38"/>
  <c r="M3" i="38"/>
  <c r="L3" i="38"/>
  <c r="K3" i="38"/>
  <c r="O45" i="41"/>
  <c r="O44" i="41"/>
  <c r="F41" i="41"/>
  <c r="C41" i="41"/>
  <c r="F40" i="41"/>
  <c r="E40" i="41"/>
  <c r="D40" i="41"/>
  <c r="C40" i="41"/>
  <c r="F39" i="41"/>
  <c r="E39" i="41"/>
  <c r="D39" i="41"/>
  <c r="C39" i="41"/>
  <c r="F38" i="41"/>
  <c r="E38" i="41"/>
  <c r="E41" i="41" s="1"/>
  <c r="D38" i="41"/>
  <c r="D41" i="41" s="1"/>
  <c r="C38" i="41"/>
  <c r="F36" i="41"/>
  <c r="E36" i="41"/>
  <c r="D36" i="41"/>
  <c r="C36" i="41"/>
  <c r="F35" i="41"/>
  <c r="E35" i="41"/>
  <c r="D35" i="41"/>
  <c r="C35" i="41"/>
  <c r="F34" i="41"/>
  <c r="E34" i="41"/>
  <c r="D34" i="41"/>
  <c r="C34" i="41"/>
  <c r="F33" i="41"/>
  <c r="E33" i="41"/>
  <c r="D33" i="41"/>
  <c r="C33" i="41"/>
  <c r="F28" i="41"/>
  <c r="F37" i="41" s="1"/>
  <c r="E28" i="41"/>
  <c r="D28" i="41"/>
  <c r="C28" i="41"/>
  <c r="F27" i="41"/>
  <c r="E27" i="41"/>
  <c r="D27" i="41"/>
  <c r="C27" i="41"/>
  <c r="F26" i="41"/>
  <c r="E26" i="41"/>
  <c r="D26" i="41"/>
  <c r="C26" i="41"/>
  <c r="C37" i="41" s="1"/>
  <c r="F25" i="41"/>
  <c r="E25" i="41"/>
  <c r="D25" i="41"/>
  <c r="C25" i="41"/>
  <c r="F24" i="41"/>
  <c r="E24" i="41"/>
  <c r="D24" i="41"/>
  <c r="C24" i="41"/>
  <c r="N95" i="21"/>
  <c r="M95" i="21"/>
  <c r="L95" i="21"/>
  <c r="K95" i="21"/>
  <c r="J95" i="21"/>
  <c r="I95" i="21"/>
  <c r="H95" i="21"/>
  <c r="G95" i="21"/>
  <c r="F95" i="21"/>
  <c r="O95" i="21" s="1"/>
  <c r="E95" i="21"/>
  <c r="N94" i="21"/>
  <c r="M94" i="21"/>
  <c r="L94" i="21"/>
  <c r="K94" i="21"/>
  <c r="J94" i="21"/>
  <c r="I94" i="21"/>
  <c r="H94" i="21"/>
  <c r="G94" i="21"/>
  <c r="F94" i="21"/>
  <c r="E94" i="21"/>
  <c r="O94" i="21" s="1"/>
  <c r="AB92" i="21"/>
  <c r="AA92" i="21"/>
  <c r="Z92" i="21"/>
  <c r="Y92" i="21"/>
  <c r="X92" i="21"/>
  <c r="W92" i="21"/>
  <c r="V92" i="21"/>
  <c r="U92" i="21"/>
  <c r="T92" i="21"/>
  <c r="S92" i="21"/>
  <c r="R92" i="21"/>
  <c r="Q92" i="21"/>
  <c r="P92" i="21"/>
  <c r="R91" i="21"/>
  <c r="AB90" i="21"/>
  <c r="AA90" i="21"/>
  <c r="Z90" i="21"/>
  <c r="Y90" i="21"/>
  <c r="X90" i="21"/>
  <c r="W90" i="21"/>
  <c r="V90" i="21"/>
  <c r="U90" i="21"/>
  <c r="T90" i="21"/>
  <c r="S90" i="21"/>
  <c r="R90" i="21"/>
  <c r="Q90" i="21"/>
  <c r="P90" i="21"/>
  <c r="F90" i="21"/>
  <c r="E90" i="21"/>
  <c r="D90" i="21"/>
  <c r="C90" i="21"/>
  <c r="AB89" i="21"/>
  <c r="AA89" i="21"/>
  <c r="Z89" i="21"/>
  <c r="Y89" i="21"/>
  <c r="X89" i="21"/>
  <c r="W89" i="21"/>
  <c r="V89" i="21"/>
  <c r="U89" i="21"/>
  <c r="T89" i="21"/>
  <c r="S89" i="21"/>
  <c r="R89" i="21"/>
  <c r="Q89" i="21"/>
  <c r="P89" i="21"/>
  <c r="F89" i="21"/>
  <c r="E89" i="21"/>
  <c r="D89" i="21"/>
  <c r="C89" i="21"/>
  <c r="AB88" i="21"/>
  <c r="AB91" i="21" s="1"/>
  <c r="AA88" i="21"/>
  <c r="AA91" i="21" s="1"/>
  <c r="Z88" i="21"/>
  <c r="Z91" i="21" s="1"/>
  <c r="Y88" i="21"/>
  <c r="Y91" i="21" s="1"/>
  <c r="X88" i="21"/>
  <c r="X91" i="21" s="1"/>
  <c r="W88" i="21"/>
  <c r="W91" i="21" s="1"/>
  <c r="V88" i="21"/>
  <c r="V91" i="21" s="1"/>
  <c r="U88" i="21"/>
  <c r="U91" i="21" s="1"/>
  <c r="T88" i="21"/>
  <c r="T91" i="21" s="1"/>
  <c r="S88" i="21"/>
  <c r="S91" i="21" s="1"/>
  <c r="R88" i="21"/>
  <c r="Q88" i="21"/>
  <c r="Q91" i="21" s="1"/>
  <c r="P88" i="21"/>
  <c r="P91" i="21" s="1"/>
  <c r="F88" i="21"/>
  <c r="F91" i="21" s="1"/>
  <c r="E88" i="21"/>
  <c r="E91" i="21" s="1"/>
  <c r="D88" i="21"/>
  <c r="D91" i="21" s="1"/>
  <c r="C88" i="21"/>
  <c r="C91" i="21" s="1"/>
  <c r="W87" i="21"/>
  <c r="T86" i="21"/>
  <c r="Q86" i="21"/>
  <c r="AB84" i="21"/>
  <c r="AA84" i="21"/>
  <c r="Z84" i="21"/>
  <c r="Y84" i="21"/>
  <c r="X84" i="21"/>
  <c r="W84" i="21"/>
  <c r="V84" i="21"/>
  <c r="V87" i="21" s="1"/>
  <c r="U84" i="21"/>
  <c r="T84" i="21"/>
  <c r="S84" i="21"/>
  <c r="R84" i="21"/>
  <c r="Q84" i="21"/>
  <c r="AC84" i="21" s="1"/>
  <c r="P84" i="21"/>
  <c r="F84" i="21"/>
  <c r="E84" i="21"/>
  <c r="D84" i="21"/>
  <c r="C84" i="21"/>
  <c r="AB83" i="21"/>
  <c r="AA83" i="21"/>
  <c r="Z83" i="21"/>
  <c r="Z87" i="21" s="1"/>
  <c r="Y83" i="21"/>
  <c r="X83" i="21"/>
  <c r="W83" i="21"/>
  <c r="V83" i="21"/>
  <c r="U83" i="21"/>
  <c r="T83" i="21"/>
  <c r="S83" i="21"/>
  <c r="R83" i="21"/>
  <c r="R87" i="21" s="1"/>
  <c r="Q83" i="21"/>
  <c r="AC83" i="21" s="1"/>
  <c r="P83" i="21"/>
  <c r="F83" i="21"/>
  <c r="E83" i="21"/>
  <c r="D83" i="21"/>
  <c r="C83" i="21"/>
  <c r="AB82" i="21"/>
  <c r="AB87" i="21" s="1"/>
  <c r="AA82" i="21"/>
  <c r="AA87" i="21" s="1"/>
  <c r="Z82" i="21"/>
  <c r="Y82" i="21"/>
  <c r="Y87" i="21" s="1"/>
  <c r="X82" i="21"/>
  <c r="X87" i="21" s="1"/>
  <c r="W82" i="21"/>
  <c r="V82" i="21"/>
  <c r="U82" i="21"/>
  <c r="U87" i="21" s="1"/>
  <c r="T82" i="21"/>
  <c r="T87" i="21" s="1"/>
  <c r="S82" i="21"/>
  <c r="S87" i="21" s="1"/>
  <c r="R82" i="21"/>
  <c r="Q82" i="21"/>
  <c r="Q87" i="21" s="1"/>
  <c r="P82" i="21"/>
  <c r="P87" i="21" s="1"/>
  <c r="F82" i="21"/>
  <c r="E82" i="21"/>
  <c r="D82" i="21"/>
  <c r="C82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F81" i="21"/>
  <c r="E81" i="21"/>
  <c r="D81" i="21"/>
  <c r="C81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AC80" i="21" s="1"/>
  <c r="P80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AC77" i="21" s="1"/>
  <c r="P77" i="21"/>
  <c r="T76" i="21"/>
  <c r="S76" i="21"/>
  <c r="R76" i="21"/>
  <c r="Q76" i="21"/>
  <c r="F76" i="21"/>
  <c r="E76" i="21"/>
  <c r="D76" i="21"/>
  <c r="C76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F75" i="21"/>
  <c r="E75" i="21"/>
  <c r="D75" i="21"/>
  <c r="C75" i="21"/>
  <c r="AB74" i="21"/>
  <c r="AA74" i="21"/>
  <c r="Z74" i="21"/>
  <c r="Y74" i="21"/>
  <c r="X74" i="21"/>
  <c r="W74" i="21"/>
  <c r="V74" i="21"/>
  <c r="U74" i="21"/>
  <c r="T74" i="21"/>
  <c r="S74" i="21"/>
  <c r="S85" i="21" s="1"/>
  <c r="S93" i="21" s="1"/>
  <c r="R74" i="21"/>
  <c r="Q74" i="21"/>
  <c r="P74" i="21"/>
  <c r="F74" i="21"/>
  <c r="E74" i="21"/>
  <c r="D74" i="21"/>
  <c r="C74" i="21"/>
  <c r="C85" i="21" s="1"/>
  <c r="AB73" i="21"/>
  <c r="AA73" i="21"/>
  <c r="Z73" i="21"/>
  <c r="Y73" i="21"/>
  <c r="X73" i="21"/>
  <c r="W73" i="21"/>
  <c r="V73" i="21"/>
  <c r="U73" i="21"/>
  <c r="T73" i="21"/>
  <c r="S73" i="21"/>
  <c r="R73" i="21"/>
  <c r="R85" i="21" s="1"/>
  <c r="R93" i="21" s="1"/>
  <c r="Q73" i="21"/>
  <c r="AC73" i="21" s="1"/>
  <c r="P73" i="21"/>
  <c r="F73" i="21"/>
  <c r="E73" i="21"/>
  <c r="D73" i="21"/>
  <c r="C73" i="21"/>
  <c r="AB72" i="21"/>
  <c r="AA72" i="21"/>
  <c r="Z72" i="21"/>
  <c r="Y72" i="21"/>
  <c r="X72" i="21"/>
  <c r="W72" i="21"/>
  <c r="V72" i="21"/>
  <c r="U72" i="21"/>
  <c r="T72" i="21"/>
  <c r="T85" i="21" s="1"/>
  <c r="T93" i="21" s="1"/>
  <c r="S72" i="21"/>
  <c r="R72" i="21"/>
  <c r="Q72" i="21"/>
  <c r="Q85" i="21" s="1"/>
  <c r="P72" i="21"/>
  <c r="F72" i="21"/>
  <c r="F85" i="21" s="1"/>
  <c r="E72" i="21"/>
  <c r="E85" i="21" s="1"/>
  <c r="D72" i="21"/>
  <c r="D85" i="21" s="1"/>
  <c r="C72" i="21"/>
  <c r="P67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AD61" i="21"/>
  <c r="AD60" i="21"/>
  <c r="AD59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AF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AF56" i="21"/>
  <c r="AD56" i="21"/>
  <c r="AD55" i="21"/>
  <c r="AD54" i="21"/>
  <c r="AD53" i="21"/>
  <c r="AD52" i="21"/>
  <c r="AD51" i="21"/>
  <c r="AD50" i="21"/>
  <c r="AD49" i="21"/>
  <c r="AD48" i="21"/>
  <c r="AD47" i="21"/>
  <c r="AD46" i="21"/>
  <c r="AD45" i="21"/>
  <c r="AD44" i="21"/>
  <c r="AD43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P14" i="2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P4" i="21"/>
  <c r="O4" i="21"/>
  <c r="P3" i="21"/>
  <c r="O3" i="21"/>
  <c r="P2" i="21"/>
  <c r="O2" i="21"/>
  <c r="O15" i="21" s="1"/>
  <c r="B119" i="16"/>
  <c r="F119" i="16" s="1"/>
  <c r="B109" i="16"/>
  <c r="F109" i="16" s="1"/>
  <c r="F107" i="16"/>
  <c r="O104" i="16"/>
  <c r="O103" i="16"/>
  <c r="O102" i="16"/>
  <c r="O101" i="16"/>
  <c r="O100" i="16"/>
  <c r="E99" i="16"/>
  <c r="D99" i="16"/>
  <c r="C99" i="16"/>
  <c r="F95" i="16"/>
  <c r="E95" i="16"/>
  <c r="D95" i="16"/>
  <c r="C95" i="16"/>
  <c r="F94" i="16"/>
  <c r="E94" i="16"/>
  <c r="E96" i="16" s="1"/>
  <c r="D94" i="16"/>
  <c r="D96" i="16" s="1"/>
  <c r="C94" i="16"/>
  <c r="F93" i="16"/>
  <c r="F96" i="16" s="1"/>
  <c r="E93" i="16"/>
  <c r="D93" i="16"/>
  <c r="C93" i="16"/>
  <c r="E92" i="16"/>
  <c r="F91" i="16"/>
  <c r="E91" i="16"/>
  <c r="D91" i="16"/>
  <c r="C91" i="16"/>
  <c r="C119" i="16" s="1"/>
  <c r="F90" i="16"/>
  <c r="E90" i="16"/>
  <c r="D90" i="16"/>
  <c r="B118" i="16" s="1"/>
  <c r="F118" i="16" s="1"/>
  <c r="C90" i="16"/>
  <c r="C118" i="16" s="1"/>
  <c r="F89" i="16"/>
  <c r="E89" i="16"/>
  <c r="D89" i="16"/>
  <c r="B117" i="16" s="1"/>
  <c r="F117" i="16" s="1"/>
  <c r="C89" i="16"/>
  <c r="C117" i="16" s="1"/>
  <c r="F88" i="16"/>
  <c r="E88" i="16"/>
  <c r="D88" i="16"/>
  <c r="B116" i="16" s="1"/>
  <c r="F116" i="16" s="1"/>
  <c r="C88" i="16"/>
  <c r="C116" i="16" s="1"/>
  <c r="F83" i="16"/>
  <c r="E83" i="16"/>
  <c r="D83" i="16"/>
  <c r="B111" i="16" s="1"/>
  <c r="F111" i="16" s="1"/>
  <c r="C83" i="16"/>
  <c r="C111" i="16" s="1"/>
  <c r="F82" i="16"/>
  <c r="E82" i="16"/>
  <c r="D82" i="16"/>
  <c r="B110" i="16" s="1"/>
  <c r="C82" i="16"/>
  <c r="C110" i="16" s="1"/>
  <c r="F81" i="16"/>
  <c r="E81" i="16"/>
  <c r="D81" i="16"/>
  <c r="C81" i="16"/>
  <c r="C109" i="16" s="1"/>
  <c r="F80" i="16"/>
  <c r="E80" i="16"/>
  <c r="D80" i="16"/>
  <c r="B108" i="16" s="1"/>
  <c r="C80" i="16"/>
  <c r="C108" i="16" s="1"/>
  <c r="F79" i="16"/>
  <c r="F92" i="16" s="1"/>
  <c r="E79" i="16"/>
  <c r="D79" i="16"/>
  <c r="B107" i="16" s="1"/>
  <c r="C79" i="16"/>
  <c r="C107" i="16" s="1"/>
  <c r="P75" i="16"/>
  <c r="P74" i="16"/>
  <c r="O74" i="16"/>
  <c r="P73" i="16"/>
  <c r="N71" i="16"/>
  <c r="L71" i="16"/>
  <c r="K71" i="16"/>
  <c r="D71" i="16"/>
  <c r="C71" i="16"/>
  <c r="B71" i="16"/>
  <c r="M70" i="16"/>
  <c r="L70" i="16"/>
  <c r="K70" i="16"/>
  <c r="J70" i="16"/>
  <c r="I70" i="16"/>
  <c r="H70" i="16"/>
  <c r="G70" i="16"/>
  <c r="F70" i="16"/>
  <c r="E70" i="16"/>
  <c r="O70" i="16" s="1"/>
  <c r="D70" i="16"/>
  <c r="C70" i="16"/>
  <c r="M69" i="16"/>
  <c r="L69" i="16"/>
  <c r="K69" i="16"/>
  <c r="J69" i="16"/>
  <c r="I69" i="16"/>
  <c r="H69" i="16"/>
  <c r="G69" i="16"/>
  <c r="F69" i="16"/>
  <c r="O69" i="16" s="1"/>
  <c r="E69" i="16"/>
  <c r="D69" i="16"/>
  <c r="C69" i="16"/>
  <c r="P69" i="16" s="1"/>
  <c r="P68" i="16"/>
  <c r="M68" i="16"/>
  <c r="M71" i="16" s="1"/>
  <c r="L68" i="16"/>
  <c r="K68" i="16"/>
  <c r="J68" i="16"/>
  <c r="J71" i="16" s="1"/>
  <c r="I68" i="16"/>
  <c r="I71" i="16" s="1"/>
  <c r="H68" i="16"/>
  <c r="H71" i="16" s="1"/>
  <c r="G68" i="16"/>
  <c r="G71" i="16" s="1"/>
  <c r="F68" i="16"/>
  <c r="F71" i="16" s="1"/>
  <c r="E68" i="16"/>
  <c r="E71" i="16" s="1"/>
  <c r="D68" i="16"/>
  <c r="C68" i="16"/>
  <c r="O68" i="16" s="1"/>
  <c r="N66" i="16"/>
  <c r="M66" i="16"/>
  <c r="L66" i="16"/>
  <c r="K66" i="16"/>
  <c r="J66" i="16"/>
  <c r="I66" i="16"/>
  <c r="H66" i="16"/>
  <c r="G66" i="16"/>
  <c r="F66" i="16"/>
  <c r="E66" i="16"/>
  <c r="P66" i="16" s="1"/>
  <c r="E119" i="16" s="1"/>
  <c r="D66" i="16"/>
  <c r="C66" i="16"/>
  <c r="B66" i="16"/>
  <c r="N65" i="16"/>
  <c r="M65" i="16"/>
  <c r="L65" i="16"/>
  <c r="K65" i="16"/>
  <c r="J65" i="16"/>
  <c r="I65" i="16"/>
  <c r="H65" i="16"/>
  <c r="G65" i="16"/>
  <c r="F65" i="16"/>
  <c r="E65" i="16"/>
  <c r="D65" i="16"/>
  <c r="P65" i="16" s="1"/>
  <c r="C65" i="16"/>
  <c r="O65" i="16" s="1"/>
  <c r="B65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P64" i="16" s="1"/>
  <c r="E117" i="16" s="1"/>
  <c r="B64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P63" i="16" s="1"/>
  <c r="E116" i="16" s="1"/>
  <c r="B63" i="16"/>
  <c r="N62" i="16"/>
  <c r="M62" i="16"/>
  <c r="L62" i="16"/>
  <c r="K62" i="16"/>
  <c r="J62" i="16"/>
  <c r="I62" i="16"/>
  <c r="H62" i="16"/>
  <c r="G62" i="16"/>
  <c r="F62" i="16"/>
  <c r="E62" i="16"/>
  <c r="P62" i="16" s="1"/>
  <c r="E115" i="16" s="1"/>
  <c r="D62" i="16"/>
  <c r="C62" i="16"/>
  <c r="B62" i="16"/>
  <c r="N61" i="16"/>
  <c r="M61" i="16"/>
  <c r="L61" i="16"/>
  <c r="K61" i="16"/>
  <c r="J61" i="16"/>
  <c r="I61" i="16"/>
  <c r="H61" i="16"/>
  <c r="G61" i="16"/>
  <c r="F61" i="16"/>
  <c r="E61" i="16"/>
  <c r="D61" i="16"/>
  <c r="P61" i="16" s="1"/>
  <c r="E114" i="16" s="1"/>
  <c r="C61" i="16"/>
  <c r="B61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P60" i="16" s="1"/>
  <c r="E113" i="16" s="1"/>
  <c r="B60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P59" i="16" s="1"/>
  <c r="E112" i="16" s="1"/>
  <c r="B59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P58" i="16" s="1"/>
  <c r="B58" i="16"/>
  <c r="N57" i="16"/>
  <c r="N67" i="16" s="1"/>
  <c r="M57" i="16"/>
  <c r="L57" i="16"/>
  <c r="K57" i="16"/>
  <c r="J57" i="16"/>
  <c r="I57" i="16"/>
  <c r="H57" i="16"/>
  <c r="G57" i="16"/>
  <c r="F57" i="16"/>
  <c r="F67" i="16" s="1"/>
  <c r="E57" i="16"/>
  <c r="D57" i="16"/>
  <c r="C57" i="16"/>
  <c r="P57" i="16" s="1"/>
  <c r="E110" i="16" s="1"/>
  <c r="B57" i="16"/>
  <c r="N56" i="16"/>
  <c r="M56" i="16"/>
  <c r="L56" i="16"/>
  <c r="K56" i="16"/>
  <c r="J56" i="16"/>
  <c r="J67" i="16" s="1"/>
  <c r="I56" i="16"/>
  <c r="H56" i="16"/>
  <c r="G56" i="16"/>
  <c r="F56" i="16"/>
  <c r="E56" i="16"/>
  <c r="D56" i="16"/>
  <c r="C56" i="16"/>
  <c r="P56" i="16" s="1"/>
  <c r="E109" i="16" s="1"/>
  <c r="B56" i="16"/>
  <c r="B67" i="16" s="1"/>
  <c r="B72" i="16" s="1"/>
  <c r="N55" i="16"/>
  <c r="M55" i="16"/>
  <c r="M67" i="16" s="1"/>
  <c r="L55" i="16"/>
  <c r="K55" i="16"/>
  <c r="J55" i="16"/>
  <c r="I55" i="16"/>
  <c r="I67" i="16" s="1"/>
  <c r="H55" i="16"/>
  <c r="G55" i="16"/>
  <c r="F55" i="16"/>
  <c r="E55" i="16"/>
  <c r="P55" i="16" s="1"/>
  <c r="E108" i="16" s="1"/>
  <c r="D55" i="16"/>
  <c r="C55" i="16"/>
  <c r="B55" i="16"/>
  <c r="N54" i="16"/>
  <c r="M54" i="16"/>
  <c r="L54" i="16"/>
  <c r="L67" i="16" s="1"/>
  <c r="L72" i="16" s="1"/>
  <c r="K54" i="16"/>
  <c r="J54" i="16"/>
  <c r="I54" i="16"/>
  <c r="H54" i="16"/>
  <c r="H67" i="16" s="1"/>
  <c r="H72" i="16" s="1"/>
  <c r="G54" i="16"/>
  <c r="F54" i="16"/>
  <c r="E54" i="16"/>
  <c r="D54" i="16"/>
  <c r="D67" i="16" s="1"/>
  <c r="D72" i="16" s="1"/>
  <c r="C54" i="16"/>
  <c r="B54" i="16"/>
  <c r="P50" i="16"/>
  <c r="O50" i="16"/>
  <c r="I49" i="16"/>
  <c r="O48" i="16"/>
  <c r="N48" i="16"/>
  <c r="N49" i="16" s="1"/>
  <c r="M48" i="16"/>
  <c r="M49" i="16" s="1"/>
  <c r="L48" i="16"/>
  <c r="L49" i="16" s="1"/>
  <c r="K48" i="16"/>
  <c r="K49" i="16" s="1"/>
  <c r="J48" i="16"/>
  <c r="J49" i="16" s="1"/>
  <c r="I48" i="16"/>
  <c r="H48" i="16"/>
  <c r="H49" i="16" s="1"/>
  <c r="G48" i="16"/>
  <c r="G49" i="16" s="1"/>
  <c r="F48" i="16"/>
  <c r="F49" i="16" s="1"/>
  <c r="E48" i="16"/>
  <c r="E49" i="16" s="1"/>
  <c r="D48" i="16"/>
  <c r="D49" i="16" s="1"/>
  <c r="C48" i="16"/>
  <c r="C49" i="16" s="1"/>
  <c r="B48" i="16"/>
  <c r="B49" i="16" s="1"/>
  <c r="P47" i="16"/>
  <c r="P46" i="16"/>
  <c r="P45" i="16"/>
  <c r="P44" i="16"/>
  <c r="P43" i="16"/>
  <c r="P42" i="16"/>
  <c r="P41" i="16"/>
  <c r="P40" i="16"/>
  <c r="O40" i="16"/>
  <c r="P39" i="16"/>
  <c r="O39" i="16"/>
  <c r="P38" i="16"/>
  <c r="O38" i="16"/>
  <c r="P37" i="16"/>
  <c r="O37" i="16"/>
  <c r="P36" i="16"/>
  <c r="O36" i="16"/>
  <c r="P35" i="16"/>
  <c r="P34" i="16"/>
  <c r="O34" i="16"/>
  <c r="P33" i="16"/>
  <c r="O33" i="16"/>
  <c r="P32" i="16"/>
  <c r="O32" i="16"/>
  <c r="O44" i="16" s="1"/>
  <c r="O49" i="16" s="1"/>
  <c r="P31" i="16"/>
  <c r="O31" i="16"/>
  <c r="N27" i="16"/>
  <c r="L27" i="16"/>
  <c r="K27" i="16"/>
  <c r="J27" i="16"/>
  <c r="I27" i="16"/>
  <c r="H27" i="16"/>
  <c r="G27" i="16"/>
  <c r="F27" i="16"/>
  <c r="E27" i="16"/>
  <c r="D27" i="16"/>
  <c r="C27" i="16"/>
  <c r="P27" i="16" s="1"/>
  <c r="P26" i="16"/>
  <c r="O26" i="16"/>
  <c r="P25" i="16"/>
  <c r="O25" i="16"/>
  <c r="P24" i="16"/>
  <c r="O24" i="16"/>
  <c r="P23" i="16"/>
  <c r="O23" i="16"/>
  <c r="P22" i="16"/>
  <c r="P21" i="16"/>
  <c r="P20" i="16"/>
  <c r="P19" i="16"/>
  <c r="O19" i="16"/>
  <c r="P18" i="16"/>
  <c r="O18" i="16"/>
  <c r="P17" i="16"/>
  <c r="O17" i="16"/>
  <c r="P16" i="16"/>
  <c r="O16" i="16"/>
  <c r="P15" i="16"/>
  <c r="O15" i="16"/>
  <c r="O27" i="16" s="1"/>
  <c r="I98" i="28"/>
  <c r="I97" i="28"/>
  <c r="D97" i="28"/>
  <c r="I96" i="28"/>
  <c r="D96" i="28"/>
  <c r="I95" i="28"/>
  <c r="I94" i="28"/>
  <c r="D93" i="28"/>
  <c r="D92" i="28"/>
  <c r="D91" i="28"/>
  <c r="C91" i="28"/>
  <c r="G91" i="28" s="1"/>
  <c r="D90" i="28"/>
  <c r="G89" i="28"/>
  <c r="D89" i="28"/>
  <c r="C89" i="28"/>
  <c r="I88" i="28"/>
  <c r="I87" i="28"/>
  <c r="D86" i="28"/>
  <c r="D85" i="28"/>
  <c r="I80" i="28"/>
  <c r="D80" i="28"/>
  <c r="I102" i="15" s="1"/>
  <c r="C80" i="28"/>
  <c r="C97" i="28" s="1"/>
  <c r="G97" i="28" s="1"/>
  <c r="I79" i="28"/>
  <c r="D79" i="28"/>
  <c r="C79" i="28"/>
  <c r="H101" i="15" s="1"/>
  <c r="I78" i="28"/>
  <c r="D95" i="28" s="1"/>
  <c r="F78" i="28"/>
  <c r="D78" i="28"/>
  <c r="C78" i="28"/>
  <c r="C95" i="28" s="1"/>
  <c r="G95" i="28" s="1"/>
  <c r="I77" i="28"/>
  <c r="D94" i="28" s="1"/>
  <c r="F77" i="28"/>
  <c r="E77" i="28"/>
  <c r="H77" i="28" s="1"/>
  <c r="D77" i="28"/>
  <c r="C77" i="28"/>
  <c r="C94" i="28" s="1"/>
  <c r="G94" i="28" s="1"/>
  <c r="D76" i="28"/>
  <c r="C76" i="28"/>
  <c r="G76" i="28" s="1"/>
  <c r="F75" i="28"/>
  <c r="E75" i="28"/>
  <c r="H75" i="28" s="1"/>
  <c r="D75" i="28"/>
  <c r="C75" i="28"/>
  <c r="C92" i="28" s="1"/>
  <c r="G92" i="28" s="1"/>
  <c r="D74" i="28"/>
  <c r="C74" i="28"/>
  <c r="G74" i="28" s="1"/>
  <c r="F73" i="28"/>
  <c r="F90" i="28" s="1"/>
  <c r="E73" i="28"/>
  <c r="H73" i="28" s="1"/>
  <c r="D73" i="28"/>
  <c r="C73" i="28"/>
  <c r="C90" i="28" s="1"/>
  <c r="G90" i="28" s="1"/>
  <c r="G72" i="28"/>
  <c r="D72" i="28"/>
  <c r="C72" i="28"/>
  <c r="I71" i="28"/>
  <c r="D88" i="28" s="1"/>
  <c r="F71" i="28"/>
  <c r="F88" i="28" s="1"/>
  <c r="D71" i="28"/>
  <c r="C71" i="28"/>
  <c r="C88" i="28" s="1"/>
  <c r="I70" i="28"/>
  <c r="D87" i="28" s="1"/>
  <c r="E70" i="28"/>
  <c r="H70" i="28" s="1"/>
  <c r="D70" i="28"/>
  <c r="C70" i="28"/>
  <c r="C87" i="28" s="1"/>
  <c r="I69" i="28"/>
  <c r="H69" i="28"/>
  <c r="E69" i="28"/>
  <c r="E86" i="28" s="1"/>
  <c r="D69" i="28"/>
  <c r="C69" i="28"/>
  <c r="C86" i="28" s="1"/>
  <c r="G86" i="28" s="1"/>
  <c r="I68" i="28"/>
  <c r="D68" i="28"/>
  <c r="C68" i="28"/>
  <c r="G68" i="28" s="1"/>
  <c r="E66" i="28"/>
  <c r="O62" i="28"/>
  <c r="C62" i="28"/>
  <c r="B62" i="28"/>
  <c r="O61" i="28"/>
  <c r="O60" i="28"/>
  <c r="O59" i="28"/>
  <c r="N58" i="28"/>
  <c r="N64" i="28" s="1"/>
  <c r="M58" i="28"/>
  <c r="M64" i="28" s="1"/>
  <c r="L58" i="28"/>
  <c r="L64" i="28" s="1"/>
  <c r="K58" i="28"/>
  <c r="K64" i="28" s="1"/>
  <c r="J58" i="28"/>
  <c r="J64" i="28" s="1"/>
  <c r="I58" i="28"/>
  <c r="I64" i="28" s="1"/>
  <c r="H58" i="28"/>
  <c r="H64" i="28" s="1"/>
  <c r="G58" i="28"/>
  <c r="G64" i="28" s="1"/>
  <c r="F58" i="28"/>
  <c r="F64" i="28" s="1"/>
  <c r="E58" i="28"/>
  <c r="E64" i="28" s="1"/>
  <c r="D58" i="28"/>
  <c r="D64" i="28" s="1"/>
  <c r="C58" i="28"/>
  <c r="D81" i="28" s="1"/>
  <c r="B58" i="28"/>
  <c r="B64" i="28" s="1"/>
  <c r="O57" i="28"/>
  <c r="E80" i="28" s="1"/>
  <c r="E97" i="28" s="1"/>
  <c r="O56" i="28"/>
  <c r="E79" i="28" s="1"/>
  <c r="H79" i="28" s="1"/>
  <c r="O55" i="28"/>
  <c r="E78" i="28" s="1"/>
  <c r="H78" i="28" s="1"/>
  <c r="O54" i="28"/>
  <c r="O53" i="28"/>
  <c r="E76" i="28" s="1"/>
  <c r="O52" i="28"/>
  <c r="O51" i="28"/>
  <c r="E74" i="28" s="1"/>
  <c r="O50" i="28"/>
  <c r="O49" i="28"/>
  <c r="E72" i="28" s="1"/>
  <c r="O48" i="28"/>
  <c r="E71" i="28" s="1"/>
  <c r="H71" i="28" s="1"/>
  <c r="O47" i="28"/>
  <c r="P55" i="28" s="1"/>
  <c r="Q56" i="28" s="1"/>
  <c r="O46" i="28"/>
  <c r="O45" i="28"/>
  <c r="E68" i="28" s="1"/>
  <c r="N41" i="28"/>
  <c r="K41" i="28"/>
  <c r="J41" i="28"/>
  <c r="G41" i="28"/>
  <c r="F41" i="28"/>
  <c r="C41" i="28"/>
  <c r="B41" i="28"/>
  <c r="N40" i="28"/>
  <c r="M40" i="28"/>
  <c r="L40" i="28"/>
  <c r="K40" i="28"/>
  <c r="J40" i="28"/>
  <c r="I40" i="28"/>
  <c r="H40" i="28"/>
  <c r="G40" i="28"/>
  <c r="F40" i="28"/>
  <c r="E40" i="28"/>
  <c r="D40" i="28"/>
  <c r="I85" i="28" s="1"/>
  <c r="C40" i="28"/>
  <c r="B40" i="28"/>
  <c r="O39" i="28"/>
  <c r="P38" i="28"/>
  <c r="O38" i="28"/>
  <c r="P37" i="28"/>
  <c r="O37" i="28"/>
  <c r="N36" i="28"/>
  <c r="M36" i="28"/>
  <c r="M41" i="28" s="1"/>
  <c r="L36" i="28"/>
  <c r="K36" i="28"/>
  <c r="J36" i="28"/>
  <c r="I36" i="28"/>
  <c r="I41" i="28" s="1"/>
  <c r="H36" i="28"/>
  <c r="G36" i="28"/>
  <c r="F36" i="28"/>
  <c r="E36" i="28"/>
  <c r="E41" i="28" s="1"/>
  <c r="D36" i="28"/>
  <c r="C36" i="28"/>
  <c r="B36" i="28"/>
  <c r="P35" i="28"/>
  <c r="F80" i="28" s="1"/>
  <c r="O35" i="28"/>
  <c r="K12" i="37" s="1"/>
  <c r="P34" i="28"/>
  <c r="F79" i="28" s="1"/>
  <c r="O34" i="28"/>
  <c r="K10" i="37" s="1"/>
  <c r="P33" i="28"/>
  <c r="O33" i="28"/>
  <c r="K6" i="37" s="1"/>
  <c r="K14" i="37" s="1"/>
  <c r="P32" i="28"/>
  <c r="O32" i="28"/>
  <c r="K7" i="37" s="1"/>
  <c r="P31" i="28"/>
  <c r="F76" i="28" s="1"/>
  <c r="O31" i="28"/>
  <c r="P30" i="28"/>
  <c r="O30" i="28"/>
  <c r="P29" i="28"/>
  <c r="F74" i="28" s="1"/>
  <c r="O29" i="28"/>
  <c r="P28" i="28"/>
  <c r="O28" i="28"/>
  <c r="P27" i="28"/>
  <c r="F72" i="28" s="1"/>
  <c r="O27" i="28"/>
  <c r="P26" i="28"/>
  <c r="O26" i="28"/>
  <c r="K9" i="37" s="1"/>
  <c r="P25" i="28"/>
  <c r="F70" i="28" s="1"/>
  <c r="O25" i="28"/>
  <c r="P24" i="28"/>
  <c r="F69" i="28" s="1"/>
  <c r="O24" i="28"/>
  <c r="P23" i="28"/>
  <c r="F68" i="28" s="1"/>
  <c r="O23" i="28"/>
  <c r="K5" i="37" s="1"/>
  <c r="K13" i="37" s="1"/>
  <c r="K15" i="37" s="1"/>
  <c r="O19" i="28"/>
  <c r="O18" i="28"/>
  <c r="O17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O20" i="28" s="1"/>
  <c r="B16" i="28"/>
  <c r="O15" i="28"/>
  <c r="O14" i="28"/>
  <c r="O13" i="28"/>
  <c r="O12" i="28"/>
  <c r="O11" i="28"/>
  <c r="O10" i="28"/>
  <c r="O9" i="28"/>
  <c r="O8" i="28"/>
  <c r="O7" i="28"/>
  <c r="O6" i="28"/>
  <c r="O5" i="28"/>
  <c r="O4" i="28"/>
  <c r="O3" i="28"/>
  <c r="O16" i="28" s="1"/>
  <c r="B56" i="40"/>
  <c r="C55" i="40"/>
  <c r="B55" i="40"/>
  <c r="C54" i="40"/>
  <c r="B54" i="40"/>
  <c r="G54" i="40" s="1"/>
  <c r="F54" i="40" s="1"/>
  <c r="C53" i="40"/>
  <c r="B53" i="40"/>
  <c r="G53" i="40" s="1"/>
  <c r="F53" i="40" s="1"/>
  <c r="F52" i="40"/>
  <c r="C52" i="40"/>
  <c r="B52" i="40"/>
  <c r="G52" i="40" s="1"/>
  <c r="F51" i="40"/>
  <c r="C51" i="40"/>
  <c r="B51" i="40"/>
  <c r="G51" i="40" s="1"/>
  <c r="D50" i="40"/>
  <c r="C50" i="40"/>
  <c r="B50" i="40"/>
  <c r="C49" i="40"/>
  <c r="B49" i="40"/>
  <c r="F48" i="40"/>
  <c r="C48" i="40"/>
  <c r="B48" i="40"/>
  <c r="G48" i="40" s="1"/>
  <c r="F47" i="40"/>
  <c r="C47" i="40"/>
  <c r="B47" i="40"/>
  <c r="G47" i="40" s="1"/>
  <c r="B46" i="40"/>
  <c r="F45" i="40"/>
  <c r="C45" i="40"/>
  <c r="B45" i="40"/>
  <c r="G45" i="40" s="1"/>
  <c r="F44" i="40"/>
  <c r="C44" i="40"/>
  <c r="B44" i="40"/>
  <c r="G44" i="40" s="1"/>
  <c r="C43" i="40"/>
  <c r="B43" i="40"/>
  <c r="G43" i="40" s="1"/>
  <c r="F43" i="40" s="1"/>
  <c r="C42" i="40"/>
  <c r="B42" i="40"/>
  <c r="G42" i="40" s="1"/>
  <c r="F42" i="40" s="1"/>
  <c r="O38" i="40"/>
  <c r="N38" i="40"/>
  <c r="M38" i="40"/>
  <c r="L38" i="40"/>
  <c r="K38" i="40"/>
  <c r="J38" i="40"/>
  <c r="I38" i="40"/>
  <c r="H38" i="40"/>
  <c r="G38" i="40"/>
  <c r="F38" i="40"/>
  <c r="E38" i="40"/>
  <c r="D38" i="40"/>
  <c r="C38" i="40"/>
  <c r="B38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B34" i="40"/>
  <c r="O33" i="40"/>
  <c r="N33" i="40"/>
  <c r="M33" i="40"/>
  <c r="J33" i="40"/>
  <c r="I33" i="40"/>
  <c r="F33" i="40"/>
  <c r="E33" i="40"/>
  <c r="B33" i="40"/>
  <c r="K25" i="40"/>
  <c r="G25" i="40"/>
  <c r="C25" i="40"/>
  <c r="M24" i="40"/>
  <c r="L24" i="40"/>
  <c r="K24" i="40"/>
  <c r="J24" i="40"/>
  <c r="I24" i="40"/>
  <c r="H24" i="40"/>
  <c r="G24" i="40"/>
  <c r="F24" i="40"/>
  <c r="E24" i="40"/>
  <c r="D24" i="40"/>
  <c r="C24" i="40"/>
  <c r="B24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O7" i="40"/>
  <c r="K7" i="40"/>
  <c r="J7" i="40"/>
  <c r="G7" i="40"/>
  <c r="F7" i="40"/>
  <c r="C7" i="40"/>
  <c r="B7" i="40"/>
  <c r="E135" i="11"/>
  <c r="C135" i="11"/>
  <c r="B135" i="11"/>
  <c r="F135" i="11" s="1"/>
  <c r="C134" i="11"/>
  <c r="C133" i="11"/>
  <c r="B133" i="11"/>
  <c r="F133" i="11" s="1"/>
  <c r="E132" i="11"/>
  <c r="C132" i="11"/>
  <c r="B132" i="11"/>
  <c r="F132" i="11" s="1"/>
  <c r="E131" i="11"/>
  <c r="C131" i="11"/>
  <c r="B131" i="11"/>
  <c r="F131" i="11" s="1"/>
  <c r="B130" i="11"/>
  <c r="D129" i="11"/>
  <c r="C129" i="11"/>
  <c r="B129" i="11"/>
  <c r="F129" i="11" s="1"/>
  <c r="C128" i="11"/>
  <c r="B128" i="11"/>
  <c r="F128" i="11" s="1"/>
  <c r="E127" i="11"/>
  <c r="D127" i="11"/>
  <c r="G127" i="11" s="1"/>
  <c r="C127" i="11"/>
  <c r="B127" i="11"/>
  <c r="F127" i="11" s="1"/>
  <c r="C126" i="11"/>
  <c r="B126" i="11"/>
  <c r="F126" i="11" s="1"/>
  <c r="C125" i="11"/>
  <c r="B125" i="11"/>
  <c r="F125" i="11" s="1"/>
  <c r="E124" i="11"/>
  <c r="C124" i="11"/>
  <c r="B124" i="11"/>
  <c r="F124" i="11" s="1"/>
  <c r="D123" i="11"/>
  <c r="I123" i="11" s="1"/>
  <c r="C123" i="11"/>
  <c r="B123" i="11"/>
  <c r="F123" i="11" s="1"/>
  <c r="F122" i="11"/>
  <c r="C122" i="11"/>
  <c r="B122" i="11"/>
  <c r="C121" i="11"/>
  <c r="B121" i="11"/>
  <c r="F121" i="11" s="1"/>
  <c r="C120" i="11"/>
  <c r="B120" i="11"/>
  <c r="F120" i="11" s="1"/>
  <c r="E119" i="11"/>
  <c r="D119" i="11"/>
  <c r="G119" i="11" s="1"/>
  <c r="C119" i="11"/>
  <c r="B119" i="11"/>
  <c r="F119" i="11" s="1"/>
  <c r="C118" i="11"/>
  <c r="B118" i="11"/>
  <c r="F118" i="11" s="1"/>
  <c r="D117" i="11"/>
  <c r="C117" i="11"/>
  <c r="B117" i="11"/>
  <c r="F117" i="11" s="1"/>
  <c r="O113" i="11"/>
  <c r="O112" i="11"/>
  <c r="M111" i="11"/>
  <c r="M61" i="29" s="1"/>
  <c r="I111" i="11"/>
  <c r="I61" i="29" s="1"/>
  <c r="E111" i="11"/>
  <c r="E61" i="29" s="1"/>
  <c r="O110" i="11"/>
  <c r="D135" i="11" s="1"/>
  <c r="G135" i="11" s="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N109" i="11"/>
  <c r="N59" i="29" s="1"/>
  <c r="M109" i="11"/>
  <c r="M59" i="29" s="1"/>
  <c r="L109" i="11"/>
  <c r="L59" i="29" s="1"/>
  <c r="K109" i="11"/>
  <c r="K59" i="29" s="1"/>
  <c r="J109" i="11"/>
  <c r="J59" i="29" s="1"/>
  <c r="I109" i="11"/>
  <c r="I59" i="29" s="1"/>
  <c r="H109" i="11"/>
  <c r="H59" i="29" s="1"/>
  <c r="G109" i="11"/>
  <c r="G59" i="29" s="1"/>
  <c r="F109" i="11"/>
  <c r="F59" i="29" s="1"/>
  <c r="E109" i="11"/>
  <c r="E59" i="29" s="1"/>
  <c r="D109" i="11"/>
  <c r="C109" i="11"/>
  <c r="C59" i="29" s="1"/>
  <c r="B109" i="11"/>
  <c r="AC108" i="11"/>
  <c r="O108" i="11"/>
  <c r="AC107" i="11"/>
  <c r="O107" i="11"/>
  <c r="O57" i="29" s="1"/>
  <c r="AC106" i="11"/>
  <c r="O106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AC105" i="11" s="1"/>
  <c r="P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R104" i="11"/>
  <c r="K104" i="11"/>
  <c r="J104" i="11"/>
  <c r="G104" i="11"/>
  <c r="D104" i="11"/>
  <c r="C104" i="11"/>
  <c r="B104" i="11"/>
  <c r="W103" i="11"/>
  <c r="W111" i="11" s="1"/>
  <c r="R103" i="11"/>
  <c r="N103" i="11"/>
  <c r="M103" i="11"/>
  <c r="M55" i="29" s="1"/>
  <c r="L103" i="11"/>
  <c r="L55" i="29" s="1"/>
  <c r="K103" i="11"/>
  <c r="J103" i="11"/>
  <c r="I103" i="11"/>
  <c r="H103" i="11"/>
  <c r="H55" i="29" s="1"/>
  <c r="G103" i="11"/>
  <c r="F103" i="11"/>
  <c r="E103" i="11"/>
  <c r="E55" i="29" s="1"/>
  <c r="D103" i="11"/>
  <c r="D55" i="29" s="1"/>
  <c r="C103" i="11"/>
  <c r="B103" i="11"/>
  <c r="AC102" i="11"/>
  <c r="O102" i="11"/>
  <c r="O54" i="29" s="1"/>
  <c r="AC101" i="11"/>
  <c r="E96" i="28" s="1"/>
  <c r="H96" i="28" s="1"/>
  <c r="O101" i="11"/>
  <c r="AC100" i="11"/>
  <c r="E95" i="28" s="1"/>
  <c r="O100" i="11"/>
  <c r="O52" i="29" s="1"/>
  <c r="AC99" i="11"/>
  <c r="E94" i="28" s="1"/>
  <c r="H94" i="28" s="1"/>
  <c r="O99" i="11"/>
  <c r="AC98" i="11"/>
  <c r="O98" i="11"/>
  <c r="O50" i="29" s="1"/>
  <c r="AC97" i="11"/>
  <c r="E92" i="28" s="1"/>
  <c r="H92" i="28" s="1"/>
  <c r="O97" i="11"/>
  <c r="AC96" i="11"/>
  <c r="E91" i="28" s="1"/>
  <c r="O96" i="11"/>
  <c r="O48" i="29" s="1"/>
  <c r="AC95" i="11"/>
  <c r="E90" i="28" s="1"/>
  <c r="H90" i="28" s="1"/>
  <c r="O95" i="11"/>
  <c r="AB94" i="11"/>
  <c r="AB104" i="11" s="1"/>
  <c r="AA94" i="11"/>
  <c r="AA103" i="11" s="1"/>
  <c r="AA111" i="11" s="1"/>
  <c r="Z94" i="11"/>
  <c r="Z103" i="11" s="1"/>
  <c r="Z111" i="11" s="1"/>
  <c r="Y94" i="11"/>
  <c r="Y104" i="11" s="1"/>
  <c r="X94" i="11"/>
  <c r="X104" i="11" s="1"/>
  <c r="W94" i="11"/>
  <c r="W104" i="11" s="1"/>
  <c r="V94" i="11"/>
  <c r="V103" i="11" s="1"/>
  <c r="V111" i="11" s="1"/>
  <c r="U94" i="11"/>
  <c r="U104" i="11" s="1"/>
  <c r="T94" i="11"/>
  <c r="T104" i="11" s="1"/>
  <c r="S94" i="11"/>
  <c r="S103" i="11" s="1"/>
  <c r="S111" i="11" s="1"/>
  <c r="Q94" i="11"/>
  <c r="P94" i="11"/>
  <c r="P104" i="11" s="1"/>
  <c r="N94" i="11"/>
  <c r="N46" i="29" s="1"/>
  <c r="M94" i="11"/>
  <c r="L94" i="11"/>
  <c r="L46" i="29" s="1"/>
  <c r="K94" i="11"/>
  <c r="K46" i="29" s="1"/>
  <c r="J94" i="11"/>
  <c r="J46" i="29" s="1"/>
  <c r="I94" i="11"/>
  <c r="H94" i="11"/>
  <c r="H46" i="29" s="1"/>
  <c r="G94" i="11"/>
  <c r="G46" i="29" s="1"/>
  <c r="F94" i="11"/>
  <c r="F46" i="29" s="1"/>
  <c r="E94" i="11"/>
  <c r="B94" i="11"/>
  <c r="AC93" i="11"/>
  <c r="O93" i="11"/>
  <c r="AC92" i="11"/>
  <c r="E87" i="28" s="1"/>
  <c r="O92" i="11"/>
  <c r="O44" i="29" s="1"/>
  <c r="AC91" i="11"/>
  <c r="O91" i="11"/>
  <c r="AC90" i="11"/>
  <c r="E85" i="28" s="1"/>
  <c r="O90" i="11"/>
  <c r="O42" i="29" s="1"/>
  <c r="O88" i="11"/>
  <c r="AD86" i="11"/>
  <c r="AC86" i="11"/>
  <c r="Q64" i="21" s="1"/>
  <c r="Q65" i="21" s="1"/>
  <c r="Q66" i="21" s="1"/>
  <c r="AA86" i="11"/>
  <c r="P86" i="11"/>
  <c r="O86" i="11"/>
  <c r="AD85" i="11"/>
  <c r="Z85" i="11"/>
  <c r="Y85" i="11"/>
  <c r="X85" i="11"/>
  <c r="K85" i="11"/>
  <c r="J85" i="11"/>
  <c r="I85" i="11"/>
  <c r="H85" i="11"/>
  <c r="G85" i="11"/>
  <c r="F85" i="11"/>
  <c r="E85" i="11"/>
  <c r="D85" i="11"/>
  <c r="C85" i="11"/>
  <c r="B85" i="11"/>
  <c r="P84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N82" i="11"/>
  <c r="M82" i="11"/>
  <c r="E82" i="11"/>
  <c r="D82" i="11"/>
  <c r="C82" i="11"/>
  <c r="P82" i="11" s="1"/>
  <c r="AC81" i="11"/>
  <c r="P81" i="11"/>
  <c r="L81" i="11"/>
  <c r="K81" i="11"/>
  <c r="J81" i="11"/>
  <c r="I81" i="11"/>
  <c r="H81" i="11"/>
  <c r="G81" i="11"/>
  <c r="F81" i="11"/>
  <c r="AC80" i="11"/>
  <c r="P80" i="11"/>
  <c r="L80" i="11"/>
  <c r="K80" i="11"/>
  <c r="J80" i="11"/>
  <c r="J82" i="11" s="1"/>
  <c r="I80" i="11"/>
  <c r="H80" i="11"/>
  <c r="G80" i="11"/>
  <c r="F80" i="11"/>
  <c r="O80" i="11" s="1"/>
  <c r="AC79" i="11"/>
  <c r="AC82" i="11" s="1"/>
  <c r="P79" i="11"/>
  <c r="L79" i="11"/>
  <c r="K79" i="11"/>
  <c r="K82" i="11" s="1"/>
  <c r="J79" i="11"/>
  <c r="I79" i="11"/>
  <c r="H79" i="11"/>
  <c r="G79" i="11"/>
  <c r="O79" i="11" s="1"/>
  <c r="F79" i="11"/>
  <c r="X78" i="11"/>
  <c r="X83" i="11" s="1"/>
  <c r="W78" i="11"/>
  <c r="W83" i="11" s="1"/>
  <c r="S78" i="11"/>
  <c r="S83" i="11" s="1"/>
  <c r="K78" i="11"/>
  <c r="H78" i="11"/>
  <c r="G78" i="11"/>
  <c r="C78" i="11"/>
  <c r="C83" i="11" s="1"/>
  <c r="P77" i="11"/>
  <c r="AB76" i="11"/>
  <c r="AB78" i="11" s="1"/>
  <c r="AB83" i="11" s="1"/>
  <c r="AA76" i="11"/>
  <c r="Z76" i="11"/>
  <c r="Y76" i="11"/>
  <c r="X76" i="11"/>
  <c r="W76" i="11"/>
  <c r="V76" i="11"/>
  <c r="U76" i="11"/>
  <c r="T76" i="11"/>
  <c r="T78" i="11" s="1"/>
  <c r="T83" i="11" s="1"/>
  <c r="S76" i="11"/>
  <c r="R76" i="11"/>
  <c r="Q76" i="11"/>
  <c r="N76" i="11"/>
  <c r="M76" i="11"/>
  <c r="L76" i="11"/>
  <c r="L78" i="11" s="1"/>
  <c r="K76" i="11"/>
  <c r="J76" i="11"/>
  <c r="I76" i="11"/>
  <c r="H76" i="11"/>
  <c r="G76" i="11"/>
  <c r="F76" i="11"/>
  <c r="E76" i="11"/>
  <c r="D76" i="11"/>
  <c r="P76" i="11" s="1"/>
  <c r="E134" i="11" s="1"/>
  <c r="C76" i="11"/>
  <c r="B76" i="11"/>
  <c r="AC75" i="11"/>
  <c r="P75" i="11"/>
  <c r="E133" i="11" s="1"/>
  <c r="O75" i="11"/>
  <c r="AC74" i="11"/>
  <c r="P74" i="11"/>
  <c r="O74" i="11"/>
  <c r="O76" i="11" s="1"/>
  <c r="AC73" i="11"/>
  <c r="AC76" i="11" s="1"/>
  <c r="P73" i="11"/>
  <c r="O73" i="11"/>
  <c r="AB72" i="11"/>
  <c r="AA72" i="11"/>
  <c r="Z72" i="11"/>
  <c r="Y72" i="11"/>
  <c r="X72" i="11"/>
  <c r="W72" i="11"/>
  <c r="V72" i="11"/>
  <c r="U72" i="11"/>
  <c r="T72" i="11"/>
  <c r="S72" i="11"/>
  <c r="R72" i="11"/>
  <c r="AD72" i="11" s="1"/>
  <c r="Q72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AB70" i="11"/>
  <c r="Z70" i="11"/>
  <c r="Z78" i="11" s="1"/>
  <c r="Z83" i="11" s="1"/>
  <c r="Y70" i="11"/>
  <c r="Y78" i="11" s="1"/>
  <c r="Y83" i="11" s="1"/>
  <c r="X70" i="11"/>
  <c r="W70" i="11"/>
  <c r="V70" i="11"/>
  <c r="V78" i="11" s="1"/>
  <c r="V83" i="11" s="1"/>
  <c r="U70" i="11"/>
  <c r="U78" i="11" s="1"/>
  <c r="U83" i="11" s="1"/>
  <c r="T70" i="11"/>
  <c r="S70" i="11"/>
  <c r="R70" i="11"/>
  <c r="Q70" i="11"/>
  <c r="Q78" i="11" s="1"/>
  <c r="Q83" i="11" s="1"/>
  <c r="N70" i="11"/>
  <c r="L70" i="11"/>
  <c r="L36" i="29" s="1"/>
  <c r="K70" i="11"/>
  <c r="K36" i="29" s="1"/>
  <c r="J70" i="11"/>
  <c r="I70" i="11"/>
  <c r="H70" i="11"/>
  <c r="H36" i="29" s="1"/>
  <c r="G70" i="11"/>
  <c r="G36" i="29" s="1"/>
  <c r="F70" i="11"/>
  <c r="E70" i="11"/>
  <c r="D70" i="11"/>
  <c r="D36" i="29" s="1"/>
  <c r="C70" i="11"/>
  <c r="C36" i="29" s="1"/>
  <c r="B70" i="11"/>
  <c r="AE69" i="11"/>
  <c r="AD69" i="11"/>
  <c r="AC69" i="11"/>
  <c r="G12" i="37" s="1"/>
  <c r="P69" i="11"/>
  <c r="O69" i="11"/>
  <c r="E12" i="37" s="1"/>
  <c r="AE68" i="11"/>
  <c r="AD68" i="11"/>
  <c r="F96" i="28" s="1"/>
  <c r="AC68" i="11"/>
  <c r="G10" i="37" s="1"/>
  <c r="P68" i="11"/>
  <c r="O68" i="11"/>
  <c r="E10" i="37" s="1"/>
  <c r="AE67" i="11"/>
  <c r="AD67" i="11"/>
  <c r="F95" i="28" s="1"/>
  <c r="AC67" i="11"/>
  <c r="G6" i="37" s="1"/>
  <c r="P67" i="11"/>
  <c r="E52" i="40" s="1"/>
  <c r="O67" i="11"/>
  <c r="E6" i="37" s="1"/>
  <c r="AE66" i="11"/>
  <c r="AD66" i="11"/>
  <c r="F94" i="28" s="1"/>
  <c r="AC66" i="11"/>
  <c r="P66" i="11"/>
  <c r="E51" i="40" s="1"/>
  <c r="O66" i="11"/>
  <c r="AE65" i="11"/>
  <c r="AD65" i="11"/>
  <c r="AC65" i="11"/>
  <c r="P65" i="11"/>
  <c r="E50" i="40" s="1"/>
  <c r="O65" i="11"/>
  <c r="N65" i="11"/>
  <c r="N31" i="29" s="1"/>
  <c r="O31" i="29" s="1"/>
  <c r="AE64" i="11"/>
  <c r="AD64" i="11"/>
  <c r="F92" i="28" s="1"/>
  <c r="AC64" i="11"/>
  <c r="P64" i="11"/>
  <c r="E49" i="40" s="1"/>
  <c r="N64" i="11"/>
  <c r="AE63" i="11"/>
  <c r="AD63" i="11"/>
  <c r="AC63" i="11"/>
  <c r="P63" i="11"/>
  <c r="O63" i="11"/>
  <c r="AE62" i="11"/>
  <c r="AD62" i="11"/>
  <c r="AC62" i="11"/>
  <c r="G7" i="37" s="1"/>
  <c r="P62" i="11"/>
  <c r="N62" i="11"/>
  <c r="N28" i="29" s="1"/>
  <c r="O28" i="29" s="1"/>
  <c r="AE61" i="11"/>
  <c r="AD61" i="11"/>
  <c r="F89" i="28" s="1"/>
  <c r="AC61" i="11"/>
  <c r="M61" i="11"/>
  <c r="M27" i="29" s="1"/>
  <c r="K61" i="11"/>
  <c r="K27" i="29" s="1"/>
  <c r="J61" i="11"/>
  <c r="J27" i="29" s="1"/>
  <c r="I61" i="11"/>
  <c r="I27" i="29" s="1"/>
  <c r="H61" i="11"/>
  <c r="H27" i="29" s="1"/>
  <c r="G61" i="11"/>
  <c r="G27" i="29" s="1"/>
  <c r="F61" i="11"/>
  <c r="F27" i="29" s="1"/>
  <c r="E61" i="11"/>
  <c r="E27" i="29" s="1"/>
  <c r="D61" i="11"/>
  <c r="B61" i="11"/>
  <c r="AE60" i="11"/>
  <c r="AD60" i="11"/>
  <c r="AC60" i="11"/>
  <c r="G9" i="37" s="1"/>
  <c r="AA60" i="11"/>
  <c r="AA70" i="11" s="1"/>
  <c r="AA78" i="11" s="1"/>
  <c r="AA83" i="11" s="1"/>
  <c r="P60" i="11"/>
  <c r="E45" i="40" s="1"/>
  <c r="O60" i="11"/>
  <c r="E9" i="37" s="1"/>
  <c r="M60" i="11"/>
  <c r="M26" i="29" s="1"/>
  <c r="O26" i="29" s="1"/>
  <c r="B60" i="11"/>
  <c r="AE59" i="11"/>
  <c r="AD59" i="11"/>
  <c r="AC59" i="11"/>
  <c r="C142" i="11" s="1"/>
  <c r="C143" i="11" s="1"/>
  <c r="P59" i="11"/>
  <c r="E44" i="40" s="1"/>
  <c r="O59" i="11"/>
  <c r="AE58" i="11"/>
  <c r="AD58" i="11"/>
  <c r="AC58" i="11"/>
  <c r="P58" i="11"/>
  <c r="E43" i="40" s="1"/>
  <c r="O58" i="11"/>
  <c r="AE57" i="11"/>
  <c r="AD57" i="11"/>
  <c r="F85" i="28" s="1"/>
  <c r="AC57" i="11"/>
  <c r="P57" i="11"/>
  <c r="O57" i="11"/>
  <c r="N54" i="11"/>
  <c r="M54" i="11"/>
  <c r="J54" i="11"/>
  <c r="F54" i="11"/>
  <c r="E54" i="11"/>
  <c r="O53" i="11"/>
  <c r="AC52" i="11"/>
  <c r="O52" i="11"/>
  <c r="AD51" i="11"/>
  <c r="AC51" i="11"/>
  <c r="O51" i="11"/>
  <c r="AB50" i="11"/>
  <c r="AA50" i="11"/>
  <c r="Z50" i="11"/>
  <c r="Y50" i="11"/>
  <c r="X50" i="11"/>
  <c r="W50" i="11"/>
  <c r="V50" i="11"/>
  <c r="U50" i="11"/>
  <c r="T50" i="11"/>
  <c r="S50" i="11"/>
  <c r="R50" i="11"/>
  <c r="AD50" i="11" s="1"/>
  <c r="Q50" i="11"/>
  <c r="N50" i="11"/>
  <c r="N16" i="29" s="1"/>
  <c r="M50" i="11"/>
  <c r="M16" i="29" s="1"/>
  <c r="L50" i="11"/>
  <c r="L16" i="29" s="1"/>
  <c r="K50" i="11"/>
  <c r="K16" i="29" s="1"/>
  <c r="J50" i="11"/>
  <c r="J16" i="29" s="1"/>
  <c r="I50" i="11"/>
  <c r="I16" i="29" s="1"/>
  <c r="H50" i="11"/>
  <c r="H16" i="29" s="1"/>
  <c r="G50" i="11"/>
  <c r="G54" i="11" s="1"/>
  <c r="F50" i="11"/>
  <c r="F16" i="29" s="1"/>
  <c r="E50" i="11"/>
  <c r="E16" i="29" s="1"/>
  <c r="D50" i="11"/>
  <c r="D16" i="29" s="1"/>
  <c r="C50" i="11"/>
  <c r="C16" i="29" s="1"/>
  <c r="B50" i="11"/>
  <c r="AD49" i="11"/>
  <c r="AC49" i="11"/>
  <c r="O49" i="11"/>
  <c r="AD48" i="11"/>
  <c r="AC48" i="11"/>
  <c r="O48" i="11"/>
  <c r="AD47" i="11"/>
  <c r="AC47" i="11"/>
  <c r="O47" i="11"/>
  <c r="AD46" i="11"/>
  <c r="AC46" i="11"/>
  <c r="O46" i="11"/>
  <c r="AD45" i="11"/>
  <c r="AD44" i="11"/>
  <c r="O44" i="11"/>
  <c r="AD43" i="11"/>
  <c r="AC43" i="11"/>
  <c r="O43" i="11"/>
  <c r="AD42" i="11"/>
  <c r="AC42" i="11"/>
  <c r="O42" i="11"/>
  <c r="J42" i="11"/>
  <c r="I42" i="11"/>
  <c r="I8" i="29" s="1"/>
  <c r="AD41" i="11"/>
  <c r="O41" i="11"/>
  <c r="B41" i="11"/>
  <c r="AD40" i="11"/>
  <c r="AC40" i="11"/>
  <c r="O40" i="11"/>
  <c r="AD39" i="11"/>
  <c r="AC39" i="11"/>
  <c r="O39" i="11"/>
  <c r="AD38" i="11"/>
  <c r="AC38" i="11"/>
  <c r="O38" i="11"/>
  <c r="AD37" i="11"/>
  <c r="AC37" i="11"/>
  <c r="AC50" i="11" s="1"/>
  <c r="O37" i="11"/>
  <c r="O50" i="11" s="1"/>
  <c r="O54" i="11" s="1"/>
  <c r="O55" i="11" s="1"/>
  <c r="AB31" i="11"/>
  <c r="AA31" i="11"/>
  <c r="X31" i="11"/>
  <c r="W31" i="11"/>
  <c r="T31" i="11"/>
  <c r="S31" i="11"/>
  <c r="N31" i="11"/>
  <c r="K31" i="11"/>
  <c r="J31" i="11"/>
  <c r="G31" i="11"/>
  <c r="F31" i="11"/>
  <c r="C31" i="11"/>
  <c r="AC30" i="11"/>
  <c r="O30" i="11"/>
  <c r="AC29" i="11"/>
  <c r="O29" i="11"/>
  <c r="AC28" i="11"/>
  <c r="O28" i="11"/>
  <c r="AC27" i="11"/>
  <c r="O27" i="11"/>
  <c r="O24" i="11"/>
  <c r="AC23" i="11"/>
  <c r="O23" i="11"/>
  <c r="AB22" i="11"/>
  <c r="AA22" i="11"/>
  <c r="Z22" i="11"/>
  <c r="Z31" i="11" s="1"/>
  <c r="Y22" i="11"/>
  <c r="Y31" i="11" s="1"/>
  <c r="X22" i="11"/>
  <c r="W22" i="11"/>
  <c r="V22" i="11"/>
  <c r="V31" i="11" s="1"/>
  <c r="U22" i="11"/>
  <c r="U31" i="11" s="1"/>
  <c r="T22" i="11"/>
  <c r="S22" i="11"/>
  <c r="R22" i="11"/>
  <c r="R31" i="11" s="1"/>
  <c r="Q22" i="11"/>
  <c r="Q31" i="11" s="1"/>
  <c r="N22" i="11"/>
  <c r="M22" i="11"/>
  <c r="M31" i="11" s="1"/>
  <c r="L22" i="11"/>
  <c r="L31" i="11" s="1"/>
  <c r="K22" i="11"/>
  <c r="J22" i="11"/>
  <c r="I22" i="11"/>
  <c r="I31" i="11" s="1"/>
  <c r="H22" i="11"/>
  <c r="H31" i="11" s="1"/>
  <c r="G22" i="11"/>
  <c r="F22" i="11"/>
  <c r="E22" i="11"/>
  <c r="E31" i="11" s="1"/>
  <c r="D22" i="11"/>
  <c r="D31" i="11" s="1"/>
  <c r="C22" i="11"/>
  <c r="O22" i="11" s="1"/>
  <c r="O31" i="11" s="1"/>
  <c r="AC21" i="11"/>
  <c r="O21" i="11"/>
  <c r="AC20" i="11"/>
  <c r="O20" i="11"/>
  <c r="AC19" i="11"/>
  <c r="O19" i="11"/>
  <c r="AC18" i="11"/>
  <c r="O18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C12" i="11"/>
  <c r="O12" i="11"/>
  <c r="AC11" i="11"/>
  <c r="O11" i="11"/>
  <c r="AC10" i="11"/>
  <c r="O10" i="11"/>
  <c r="AC9" i="11"/>
  <c r="O9" i="11"/>
  <c r="AC8" i="11"/>
  <c r="O8" i="11"/>
  <c r="AC7" i="11"/>
  <c r="O7" i="11"/>
  <c r="AC6" i="11"/>
  <c r="O6" i="11"/>
  <c r="AC5" i="11"/>
  <c r="O5" i="11"/>
  <c r="AC4" i="11"/>
  <c r="O4" i="11"/>
  <c r="AC3" i="11"/>
  <c r="O3" i="11"/>
  <c r="B115" i="15"/>
  <c r="B114" i="15"/>
  <c r="B113" i="15"/>
  <c r="B112" i="15"/>
  <c r="B111" i="15"/>
  <c r="B110" i="15"/>
  <c r="K103" i="15"/>
  <c r="J103" i="15"/>
  <c r="I103" i="15"/>
  <c r="K102" i="15"/>
  <c r="J102" i="15"/>
  <c r="H102" i="15"/>
  <c r="K101" i="15"/>
  <c r="J101" i="15"/>
  <c r="I101" i="15"/>
  <c r="K100" i="15"/>
  <c r="J100" i="15"/>
  <c r="I100" i="15"/>
  <c r="H100" i="15"/>
  <c r="K99" i="15"/>
  <c r="J99" i="15"/>
  <c r="I99" i="15"/>
  <c r="H99" i="15"/>
  <c r="K98" i="15"/>
  <c r="J98" i="15"/>
  <c r="I98" i="15"/>
  <c r="H98" i="15"/>
  <c r="K97" i="15"/>
  <c r="J97" i="15"/>
  <c r="I97" i="15"/>
  <c r="H97" i="15"/>
  <c r="K96" i="15"/>
  <c r="J96" i="15"/>
  <c r="I96" i="15"/>
  <c r="H96" i="15"/>
  <c r="K95" i="15"/>
  <c r="J95" i="15"/>
  <c r="I95" i="15"/>
  <c r="H95" i="15"/>
  <c r="K94" i="15"/>
  <c r="J94" i="15"/>
  <c r="I94" i="15"/>
  <c r="H94" i="15"/>
  <c r="K93" i="15"/>
  <c r="J93" i="15"/>
  <c r="I93" i="15"/>
  <c r="H93" i="15"/>
  <c r="K92" i="15"/>
  <c r="J92" i="15"/>
  <c r="I92" i="15"/>
  <c r="H92" i="15"/>
  <c r="K91" i="15"/>
  <c r="J91" i="15"/>
  <c r="I91" i="15"/>
  <c r="H91" i="15"/>
  <c r="K90" i="15"/>
  <c r="J90" i="15"/>
  <c r="I90" i="15"/>
  <c r="H90" i="15"/>
  <c r="F83" i="15"/>
  <c r="E83" i="15"/>
  <c r="D83" i="15"/>
  <c r="C83" i="15"/>
  <c r="F82" i="15"/>
  <c r="E82" i="15"/>
  <c r="D82" i="15"/>
  <c r="C82" i="15"/>
  <c r="F81" i="15"/>
  <c r="E81" i="15"/>
  <c r="D81" i="15"/>
  <c r="C81" i="15"/>
  <c r="F80" i="15"/>
  <c r="E80" i="15"/>
  <c r="D80" i="15"/>
  <c r="C80" i="15"/>
  <c r="N79" i="15"/>
  <c r="M79" i="15"/>
  <c r="L79" i="15"/>
  <c r="K79" i="15"/>
  <c r="J79" i="15"/>
  <c r="I79" i="15"/>
  <c r="H79" i="15"/>
  <c r="G79" i="15"/>
  <c r="F79" i="15"/>
  <c r="E79" i="15"/>
  <c r="B105" i="15" s="1"/>
  <c r="F105" i="15" s="1"/>
  <c r="D79" i="15"/>
  <c r="C105" i="15" s="1"/>
  <c r="C79" i="15"/>
  <c r="B79" i="15"/>
  <c r="F78" i="15"/>
  <c r="E77" i="15"/>
  <c r="D77" i="15"/>
  <c r="B103" i="15" s="1"/>
  <c r="O76" i="15"/>
  <c r="N76" i="15"/>
  <c r="M76" i="15"/>
  <c r="L76" i="15"/>
  <c r="K76" i="15"/>
  <c r="J76" i="15"/>
  <c r="I76" i="15"/>
  <c r="H76" i="15"/>
  <c r="G76" i="15"/>
  <c r="F76" i="15"/>
  <c r="E76" i="15"/>
  <c r="D76" i="15"/>
  <c r="B102" i="15" s="1"/>
  <c r="C76" i="15"/>
  <c r="C102" i="15" s="1"/>
  <c r="O75" i="15"/>
  <c r="N75" i="15"/>
  <c r="M75" i="15"/>
  <c r="L75" i="15"/>
  <c r="K75" i="15"/>
  <c r="J75" i="15"/>
  <c r="I75" i="15"/>
  <c r="H75" i="15"/>
  <c r="G75" i="15"/>
  <c r="F75" i="15"/>
  <c r="E75" i="15"/>
  <c r="D75" i="15"/>
  <c r="B101" i="15" s="1"/>
  <c r="F101" i="15" s="1"/>
  <c r="C75" i="15"/>
  <c r="C101" i="15" s="1"/>
  <c r="N74" i="15"/>
  <c r="M74" i="15"/>
  <c r="L74" i="15"/>
  <c r="K74" i="15"/>
  <c r="J74" i="15"/>
  <c r="I74" i="15"/>
  <c r="H74" i="15"/>
  <c r="G74" i="15"/>
  <c r="F74" i="15"/>
  <c r="E74" i="15"/>
  <c r="D74" i="15"/>
  <c r="B100" i="15" s="1"/>
  <c r="F100" i="15" s="1"/>
  <c r="C74" i="15"/>
  <c r="C100" i="15" s="1"/>
  <c r="N73" i="15"/>
  <c r="M73" i="15"/>
  <c r="L73" i="15"/>
  <c r="K73" i="15"/>
  <c r="J73" i="15"/>
  <c r="I73" i="15"/>
  <c r="H73" i="15"/>
  <c r="G73" i="15"/>
  <c r="F73" i="15"/>
  <c r="E73" i="15"/>
  <c r="D73" i="15"/>
  <c r="B99" i="15" s="1"/>
  <c r="F99" i="15" s="1"/>
  <c r="C73" i="15"/>
  <c r="C99" i="15" s="1"/>
  <c r="O72" i="15"/>
  <c r="D98" i="15" s="1"/>
  <c r="N72" i="15"/>
  <c r="M72" i="15"/>
  <c r="L72" i="15"/>
  <c r="K72" i="15"/>
  <c r="J72" i="15"/>
  <c r="I72" i="15"/>
  <c r="H72" i="15"/>
  <c r="G72" i="15"/>
  <c r="F72" i="15"/>
  <c r="E72" i="15"/>
  <c r="D72" i="15"/>
  <c r="B98" i="15" s="1"/>
  <c r="C72" i="15"/>
  <c r="C98" i="15" s="1"/>
  <c r="N71" i="15"/>
  <c r="M71" i="15"/>
  <c r="L71" i="15"/>
  <c r="K71" i="15"/>
  <c r="J71" i="15"/>
  <c r="I71" i="15"/>
  <c r="H71" i="15"/>
  <c r="G71" i="15"/>
  <c r="F71" i="15"/>
  <c r="E71" i="15"/>
  <c r="D71" i="15"/>
  <c r="B97" i="15" s="1"/>
  <c r="F97" i="15" s="1"/>
  <c r="C71" i="15"/>
  <c r="C97" i="15" s="1"/>
  <c r="N70" i="15"/>
  <c r="M70" i="15"/>
  <c r="L70" i="15"/>
  <c r="K70" i="15"/>
  <c r="J70" i="15"/>
  <c r="I70" i="15"/>
  <c r="H70" i="15"/>
  <c r="G70" i="15"/>
  <c r="F70" i="15"/>
  <c r="E70" i="15"/>
  <c r="D70" i="15"/>
  <c r="B96" i="15" s="1"/>
  <c r="F96" i="15" s="1"/>
  <c r="C70" i="15"/>
  <c r="C96" i="15" s="1"/>
  <c r="O69" i="15"/>
  <c r="D95" i="15" s="1"/>
  <c r="G95" i="15" s="1"/>
  <c r="N69" i="15"/>
  <c r="M69" i="15"/>
  <c r="L69" i="15"/>
  <c r="K69" i="15"/>
  <c r="J69" i="15"/>
  <c r="I69" i="15"/>
  <c r="H69" i="15"/>
  <c r="G69" i="15"/>
  <c r="F69" i="15"/>
  <c r="E69" i="15"/>
  <c r="D69" i="15"/>
  <c r="B95" i="15" s="1"/>
  <c r="C69" i="15"/>
  <c r="C95" i="15" s="1"/>
  <c r="N68" i="15"/>
  <c r="J68" i="15"/>
  <c r="F68" i="15"/>
  <c r="E68" i="15"/>
  <c r="D68" i="15"/>
  <c r="B94" i="15" s="1"/>
  <c r="F94" i="15" s="1"/>
  <c r="C68" i="15"/>
  <c r="C94" i="15" s="1"/>
  <c r="N67" i="15"/>
  <c r="M67" i="15"/>
  <c r="L67" i="15"/>
  <c r="K67" i="15"/>
  <c r="J67" i="15"/>
  <c r="I67" i="15"/>
  <c r="H67" i="15"/>
  <c r="G67" i="15"/>
  <c r="F67" i="15"/>
  <c r="E67" i="15"/>
  <c r="D67" i="15"/>
  <c r="B93" i="15" s="1"/>
  <c r="C67" i="15"/>
  <c r="C93" i="15" s="1"/>
  <c r="N66" i="15"/>
  <c r="M66" i="15"/>
  <c r="L66" i="15"/>
  <c r="K66" i="15"/>
  <c r="J66" i="15"/>
  <c r="I66" i="15"/>
  <c r="H66" i="15"/>
  <c r="G66" i="15"/>
  <c r="F66" i="15"/>
  <c r="E66" i="15"/>
  <c r="D66" i="15"/>
  <c r="B92" i="15" s="1"/>
  <c r="C66" i="15"/>
  <c r="C92" i="15" s="1"/>
  <c r="O65" i="15"/>
  <c r="D91" i="15" s="1"/>
  <c r="N65" i="15"/>
  <c r="M65" i="15"/>
  <c r="L65" i="15"/>
  <c r="K65" i="15"/>
  <c r="J65" i="15"/>
  <c r="I65" i="15"/>
  <c r="H65" i="15"/>
  <c r="G65" i="15"/>
  <c r="F65" i="15"/>
  <c r="E65" i="15"/>
  <c r="D65" i="15"/>
  <c r="B91" i="15" s="1"/>
  <c r="F91" i="15" s="1"/>
  <c r="C65" i="15"/>
  <c r="C91" i="15" s="1"/>
  <c r="N64" i="15"/>
  <c r="M64" i="15"/>
  <c r="L64" i="15"/>
  <c r="K64" i="15"/>
  <c r="J64" i="15"/>
  <c r="I64" i="15"/>
  <c r="H64" i="15"/>
  <c r="G64" i="15"/>
  <c r="F64" i="15"/>
  <c r="E64" i="15"/>
  <c r="B90" i="15" s="1"/>
  <c r="F90" i="15" s="1"/>
  <c r="D64" i="15"/>
  <c r="C90" i="15" s="1"/>
  <c r="C64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P53" i="15"/>
  <c r="P52" i="15"/>
  <c r="P51" i="15"/>
  <c r="P50" i="15"/>
  <c r="E99" i="15" s="1"/>
  <c r="P49" i="15"/>
  <c r="E98" i="15" s="1"/>
  <c r="P48" i="15"/>
  <c r="E97" i="15" s="1"/>
  <c r="P47" i="15"/>
  <c r="E96" i="15" s="1"/>
  <c r="P46" i="15"/>
  <c r="E95" i="15" s="1"/>
  <c r="P45" i="15"/>
  <c r="E94" i="15" s="1"/>
  <c r="P44" i="15"/>
  <c r="O44" i="15"/>
  <c r="P43" i="15"/>
  <c r="E92" i="15" s="1"/>
  <c r="P42" i="15"/>
  <c r="E91" i="15" s="1"/>
  <c r="P41" i="15"/>
  <c r="E90" i="15" s="1"/>
  <c r="N36" i="15"/>
  <c r="M36" i="15"/>
  <c r="L36" i="15"/>
  <c r="K36" i="15"/>
  <c r="J36" i="15"/>
  <c r="I36" i="15"/>
  <c r="H36" i="15"/>
  <c r="G36" i="15"/>
  <c r="F36" i="15"/>
  <c r="E36" i="15"/>
  <c r="D36" i="15"/>
  <c r="O35" i="15"/>
  <c r="N35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N6" i="15"/>
  <c r="M6" i="15"/>
  <c r="L6" i="15"/>
  <c r="K6" i="15"/>
  <c r="J6" i="15"/>
  <c r="I6" i="15"/>
  <c r="H6" i="15"/>
  <c r="G6" i="15"/>
  <c r="F6" i="15"/>
  <c r="E6" i="15"/>
  <c r="D6" i="15"/>
  <c r="C6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O86" i="43"/>
  <c r="N86" i="43"/>
  <c r="M86" i="43"/>
  <c r="L86" i="43"/>
  <c r="K86" i="43"/>
  <c r="J86" i="43"/>
  <c r="I86" i="43"/>
  <c r="H86" i="43"/>
  <c r="G86" i="43"/>
  <c r="F86" i="43"/>
  <c r="E86" i="43"/>
  <c r="D86" i="43"/>
  <c r="C86" i="43"/>
  <c r="B86" i="43"/>
  <c r="N85" i="43"/>
  <c r="M85" i="43"/>
  <c r="L85" i="43"/>
  <c r="K85" i="43"/>
  <c r="J85" i="43"/>
  <c r="I85" i="43"/>
  <c r="H85" i="43"/>
  <c r="G85" i="43"/>
  <c r="F85" i="43"/>
  <c r="E85" i="43"/>
  <c r="D85" i="43"/>
  <c r="C85" i="43"/>
  <c r="B85" i="43"/>
  <c r="O84" i="43"/>
  <c r="N84" i="43"/>
  <c r="M84" i="43"/>
  <c r="L84" i="43"/>
  <c r="K84" i="43"/>
  <c r="J84" i="43"/>
  <c r="I84" i="43"/>
  <c r="H84" i="43"/>
  <c r="G84" i="43"/>
  <c r="F84" i="43"/>
  <c r="E84" i="43"/>
  <c r="D84" i="43"/>
  <c r="C84" i="43"/>
  <c r="N83" i="43"/>
  <c r="M83" i="43"/>
  <c r="L83" i="43"/>
  <c r="K83" i="43"/>
  <c r="J83" i="43"/>
  <c r="I83" i="43"/>
  <c r="H83" i="43"/>
  <c r="G83" i="43"/>
  <c r="F83" i="43"/>
  <c r="E83" i="43"/>
  <c r="D83" i="43"/>
  <c r="C83" i="43"/>
  <c r="B83" i="43"/>
  <c r="N82" i="43"/>
  <c r="M82" i="43"/>
  <c r="L82" i="43"/>
  <c r="K82" i="43"/>
  <c r="J82" i="43"/>
  <c r="I82" i="43"/>
  <c r="H82" i="43"/>
  <c r="G82" i="43"/>
  <c r="F82" i="43"/>
  <c r="E82" i="43"/>
  <c r="D82" i="43"/>
  <c r="C82" i="43"/>
  <c r="O82" i="43" s="1"/>
  <c r="B82" i="43"/>
  <c r="N81" i="43"/>
  <c r="M81" i="43"/>
  <c r="L81" i="43"/>
  <c r="K81" i="43"/>
  <c r="J81" i="43"/>
  <c r="I81" i="43"/>
  <c r="H81" i="43"/>
  <c r="G81" i="43"/>
  <c r="F81" i="43"/>
  <c r="E81" i="43"/>
  <c r="D81" i="43"/>
  <c r="C81" i="43"/>
  <c r="B81" i="43"/>
  <c r="N80" i="43"/>
  <c r="M80" i="43"/>
  <c r="L80" i="43"/>
  <c r="K80" i="43"/>
  <c r="J80" i="43"/>
  <c r="I80" i="43"/>
  <c r="H80" i="43"/>
  <c r="G80" i="43"/>
  <c r="F80" i="43"/>
  <c r="E80" i="43"/>
  <c r="D80" i="43"/>
  <c r="C80" i="43"/>
  <c r="O80" i="43" s="1"/>
  <c r="B80" i="43"/>
  <c r="N79" i="43"/>
  <c r="M79" i="43"/>
  <c r="L79" i="43"/>
  <c r="K79" i="43"/>
  <c r="J79" i="43"/>
  <c r="I79" i="43"/>
  <c r="H79" i="43"/>
  <c r="G79" i="43"/>
  <c r="F79" i="43"/>
  <c r="E79" i="43"/>
  <c r="D79" i="43"/>
  <c r="C79" i="43"/>
  <c r="B79" i="43"/>
  <c r="O78" i="43"/>
  <c r="O77" i="43"/>
  <c r="O76" i="43"/>
  <c r="O75" i="43"/>
  <c r="O74" i="43"/>
  <c r="O73" i="43" s="1"/>
  <c r="N73" i="43"/>
  <c r="M73" i="43"/>
  <c r="M12" i="43" s="1"/>
  <c r="M11" i="43" s="1"/>
  <c r="L73" i="43"/>
  <c r="K73" i="43"/>
  <c r="J73" i="43"/>
  <c r="I73" i="43"/>
  <c r="I12" i="43" s="1"/>
  <c r="I11" i="43" s="1"/>
  <c r="H73" i="43"/>
  <c r="G73" i="43"/>
  <c r="F73" i="43"/>
  <c r="E73" i="43"/>
  <c r="D73" i="43"/>
  <c r="C73" i="43"/>
  <c r="B73" i="43"/>
  <c r="O68" i="43"/>
  <c r="O67" i="43"/>
  <c r="O66" i="43"/>
  <c r="O65" i="43"/>
  <c r="O64" i="43"/>
  <c r="O63" i="43"/>
  <c r="O62" i="43"/>
  <c r="O61" i="43"/>
  <c r="O60" i="43"/>
  <c r="O59" i="43"/>
  <c r="O58" i="43"/>
  <c r="O57" i="43"/>
  <c r="O56" i="43"/>
  <c r="O55" i="43"/>
  <c r="O54" i="43"/>
  <c r="O53" i="43"/>
  <c r="O52" i="43"/>
  <c r="O51" i="43"/>
  <c r="O50" i="43"/>
  <c r="O49" i="43"/>
  <c r="O48" i="43"/>
  <c r="O47" i="43"/>
  <c r="O45" i="43"/>
  <c r="O44" i="43"/>
  <c r="O43" i="43"/>
  <c r="O42" i="43"/>
  <c r="O41" i="43"/>
  <c r="O40" i="43"/>
  <c r="O39" i="43"/>
  <c r="O38" i="43"/>
  <c r="O37" i="43"/>
  <c r="M36" i="43"/>
  <c r="M46" i="43" s="1"/>
  <c r="I36" i="43"/>
  <c r="I46" i="43" s="1"/>
  <c r="O35" i="43"/>
  <c r="O34" i="43"/>
  <c r="O33" i="43"/>
  <c r="O32" i="43"/>
  <c r="O31" i="43"/>
  <c r="O30" i="43"/>
  <c r="O85" i="43" s="1"/>
  <c r="O29" i="43"/>
  <c r="O83" i="43" s="1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N12" i="43"/>
  <c r="L12" i="43"/>
  <c r="L11" i="43" s="1"/>
  <c r="L10" i="43" s="1"/>
  <c r="K12" i="43"/>
  <c r="K11" i="43" s="1"/>
  <c r="K10" i="43" s="1"/>
  <c r="J12" i="43"/>
  <c r="H12" i="43"/>
  <c r="H11" i="43" s="1"/>
  <c r="G12" i="43"/>
  <c r="G11" i="43" s="1"/>
  <c r="G10" i="43" s="1"/>
  <c r="F12" i="43"/>
  <c r="N11" i="43"/>
  <c r="N10" i="43" s="1"/>
  <c r="J11" i="43"/>
  <c r="J10" i="43" s="1"/>
  <c r="F11" i="43"/>
  <c r="B11" i="43"/>
  <c r="M10" i="43"/>
  <c r="I10" i="43"/>
  <c r="H10" i="43"/>
  <c r="B10" i="43"/>
  <c r="B36" i="43" s="1"/>
  <c r="B46" i="43" s="1"/>
  <c r="O9" i="43"/>
  <c r="O8" i="43"/>
  <c r="O7" i="43"/>
  <c r="O6" i="43"/>
  <c r="O5" i="43"/>
  <c r="N4" i="43"/>
  <c r="M4" i="43"/>
  <c r="M3" i="43" s="1"/>
  <c r="L4" i="43"/>
  <c r="L3" i="43" s="1"/>
  <c r="L36" i="43" s="1"/>
  <c r="L46" i="43" s="1"/>
  <c r="K4" i="43"/>
  <c r="J4" i="43"/>
  <c r="I4" i="43"/>
  <c r="I3" i="43" s="1"/>
  <c r="H4" i="43"/>
  <c r="H3" i="43" s="1"/>
  <c r="H36" i="43" s="1"/>
  <c r="H46" i="43" s="1"/>
  <c r="G4" i="43"/>
  <c r="F4" i="43"/>
  <c r="B4" i="43"/>
  <c r="B3" i="43" s="1"/>
  <c r="O3" i="43"/>
  <c r="N3" i="43"/>
  <c r="K3" i="43"/>
  <c r="J3" i="43"/>
  <c r="J36" i="43" s="1"/>
  <c r="J46" i="43" s="1"/>
  <c r="G3" i="43"/>
  <c r="F3" i="43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N85" i="42"/>
  <c r="M85" i="42"/>
  <c r="L85" i="42"/>
  <c r="K85" i="42"/>
  <c r="J85" i="42"/>
  <c r="I85" i="42"/>
  <c r="H85" i="42"/>
  <c r="G85" i="42"/>
  <c r="F85" i="42"/>
  <c r="E85" i="42"/>
  <c r="D85" i="42"/>
  <c r="C85" i="42"/>
  <c r="B85" i="42"/>
  <c r="N84" i="42"/>
  <c r="M84" i="42"/>
  <c r="L84" i="42"/>
  <c r="K84" i="42"/>
  <c r="J84" i="42"/>
  <c r="I84" i="42"/>
  <c r="H84" i="42"/>
  <c r="G84" i="42"/>
  <c r="F84" i="42"/>
  <c r="E84" i="42"/>
  <c r="D84" i="42"/>
  <c r="C84" i="42"/>
  <c r="B84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B83" i="42"/>
  <c r="N82" i="42"/>
  <c r="M82" i="42"/>
  <c r="L82" i="42"/>
  <c r="K82" i="42"/>
  <c r="J82" i="42"/>
  <c r="I82" i="42"/>
  <c r="H82" i="42"/>
  <c r="G82" i="42"/>
  <c r="F82" i="42"/>
  <c r="E82" i="42"/>
  <c r="D82" i="42"/>
  <c r="C82" i="42"/>
  <c r="O82" i="42" s="1"/>
  <c r="B82" i="42"/>
  <c r="N81" i="42"/>
  <c r="M81" i="42"/>
  <c r="L81" i="42"/>
  <c r="K81" i="42"/>
  <c r="J81" i="42"/>
  <c r="I81" i="42"/>
  <c r="H81" i="42"/>
  <c r="G81" i="42"/>
  <c r="F81" i="42"/>
  <c r="E81" i="42"/>
  <c r="D81" i="42"/>
  <c r="C81" i="42"/>
  <c r="B81" i="42"/>
  <c r="N80" i="42"/>
  <c r="M80" i="42"/>
  <c r="L80" i="42"/>
  <c r="K80" i="42"/>
  <c r="J80" i="42"/>
  <c r="I80" i="42"/>
  <c r="H80" i="42"/>
  <c r="G80" i="42"/>
  <c r="F80" i="42"/>
  <c r="E80" i="42"/>
  <c r="D80" i="42"/>
  <c r="C80" i="42"/>
  <c r="B80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O79" i="42" s="1"/>
  <c r="B79" i="42"/>
  <c r="O78" i="42"/>
  <c r="O77" i="42"/>
  <c r="O76" i="42"/>
  <c r="O75" i="42"/>
  <c r="O74" i="42"/>
  <c r="O73" i="42" s="1"/>
  <c r="N73" i="42"/>
  <c r="M73" i="42"/>
  <c r="L73" i="42"/>
  <c r="L12" i="42" s="1"/>
  <c r="L11" i="42" s="1"/>
  <c r="L10" i="42" s="1"/>
  <c r="K73" i="42"/>
  <c r="K12" i="42" s="1"/>
  <c r="J73" i="42"/>
  <c r="I73" i="42"/>
  <c r="H73" i="42"/>
  <c r="H12" i="42" s="1"/>
  <c r="H11" i="42" s="1"/>
  <c r="H10" i="42" s="1"/>
  <c r="H36" i="42" s="1"/>
  <c r="H46" i="42" s="1"/>
  <c r="H99" i="16" s="1"/>
  <c r="G73" i="42"/>
  <c r="G12" i="42" s="1"/>
  <c r="F73" i="42"/>
  <c r="E73" i="42"/>
  <c r="D73" i="42"/>
  <c r="C73" i="42"/>
  <c r="B73" i="42"/>
  <c r="O68" i="42"/>
  <c r="O67" i="42"/>
  <c r="O66" i="42"/>
  <c r="O65" i="42"/>
  <c r="O64" i="42"/>
  <c r="O63" i="42"/>
  <c r="O62" i="42"/>
  <c r="O61" i="42"/>
  <c r="O60" i="42"/>
  <c r="O59" i="42"/>
  <c r="O58" i="42"/>
  <c r="O57" i="42"/>
  <c r="O56" i="42"/>
  <c r="O55" i="42"/>
  <c r="O54" i="42"/>
  <c r="O53" i="42"/>
  <c r="O52" i="42"/>
  <c r="O51" i="42"/>
  <c r="O50" i="42"/>
  <c r="O49" i="42"/>
  <c r="O48" i="42"/>
  <c r="O47" i="42"/>
  <c r="O45" i="42"/>
  <c r="O44" i="42"/>
  <c r="O43" i="42"/>
  <c r="O42" i="42"/>
  <c r="O41" i="42"/>
  <c r="O40" i="42"/>
  <c r="O39" i="42"/>
  <c r="O38" i="42"/>
  <c r="O37" i="42"/>
  <c r="L36" i="42"/>
  <c r="L46" i="42" s="1"/>
  <c r="L99" i="16" s="1"/>
  <c r="O35" i="42"/>
  <c r="O34" i="42"/>
  <c r="O33" i="42"/>
  <c r="O32" i="42"/>
  <c r="O31" i="42"/>
  <c r="O30" i="42"/>
  <c r="O85" i="42" s="1"/>
  <c r="O29" i="42"/>
  <c r="O83" i="42" s="1"/>
  <c r="O28" i="42"/>
  <c r="O27" i="42"/>
  <c r="O26" i="42"/>
  <c r="O25" i="42"/>
  <c r="O24" i="42"/>
  <c r="O23" i="42"/>
  <c r="O22" i="42"/>
  <c r="O21" i="42"/>
  <c r="O20" i="42"/>
  <c r="O19" i="42"/>
  <c r="O18" i="42"/>
  <c r="O17" i="42"/>
  <c r="O16" i="42"/>
  <c r="O15" i="42"/>
  <c r="O14" i="42"/>
  <c r="O13" i="42"/>
  <c r="N12" i="42"/>
  <c r="N11" i="42" s="1"/>
  <c r="M12" i="42"/>
  <c r="M11" i="42" s="1"/>
  <c r="M10" i="42" s="1"/>
  <c r="J12" i="42"/>
  <c r="J11" i="42" s="1"/>
  <c r="I12" i="42"/>
  <c r="I11" i="42" s="1"/>
  <c r="I10" i="42" s="1"/>
  <c r="F12" i="42"/>
  <c r="K11" i="42"/>
  <c r="G11" i="42"/>
  <c r="G10" i="42" s="1"/>
  <c r="B11" i="42"/>
  <c r="N10" i="42"/>
  <c r="K10" i="42"/>
  <c r="J10" i="42"/>
  <c r="B10" i="42"/>
  <c r="O9" i="42"/>
  <c r="O8" i="42"/>
  <c r="O7" i="42"/>
  <c r="O6" i="42"/>
  <c r="O5" i="42"/>
  <c r="N4" i="42"/>
  <c r="M4" i="42"/>
  <c r="L4" i="42"/>
  <c r="K4" i="42"/>
  <c r="K3" i="42" s="1"/>
  <c r="J4" i="42"/>
  <c r="I4" i="42"/>
  <c r="H4" i="42"/>
  <c r="G4" i="42"/>
  <c r="G3" i="42" s="1"/>
  <c r="F4" i="42"/>
  <c r="B4" i="42"/>
  <c r="N3" i="42"/>
  <c r="N36" i="42" s="1"/>
  <c r="N46" i="42" s="1"/>
  <c r="N99" i="16" s="1"/>
  <c r="M3" i="42"/>
  <c r="L3" i="42"/>
  <c r="J3" i="42"/>
  <c r="J36" i="42" s="1"/>
  <c r="J46" i="42" s="1"/>
  <c r="J99" i="16" s="1"/>
  <c r="I3" i="42"/>
  <c r="H3" i="42"/>
  <c r="F3" i="42"/>
  <c r="B3" i="42"/>
  <c r="B36" i="42" s="1"/>
  <c r="B46" i="42" s="1"/>
  <c r="B99" i="16" s="1"/>
  <c r="N85" i="31"/>
  <c r="M85" i="31"/>
  <c r="L85" i="31"/>
  <c r="K85" i="31"/>
  <c r="J85" i="31"/>
  <c r="I85" i="31"/>
  <c r="H85" i="31"/>
  <c r="G85" i="31"/>
  <c r="F85" i="31"/>
  <c r="E85" i="31"/>
  <c r="D85" i="31"/>
  <c r="C85" i="31"/>
  <c r="B85" i="31"/>
  <c r="N83" i="31"/>
  <c r="M83" i="31"/>
  <c r="L83" i="31"/>
  <c r="K83" i="31"/>
  <c r="J83" i="31"/>
  <c r="I83" i="31"/>
  <c r="H83" i="31"/>
  <c r="G83" i="31"/>
  <c r="F83" i="31"/>
  <c r="E83" i="31"/>
  <c r="D83" i="31"/>
  <c r="C83" i="31"/>
  <c r="B83" i="31"/>
  <c r="N82" i="31"/>
  <c r="M82" i="31"/>
  <c r="L82" i="31"/>
  <c r="K82" i="31"/>
  <c r="J82" i="31"/>
  <c r="I82" i="31"/>
  <c r="H82" i="31"/>
  <c r="G82" i="31"/>
  <c r="F82" i="31"/>
  <c r="E82" i="31"/>
  <c r="D82" i="31"/>
  <c r="C82" i="31"/>
  <c r="B82" i="31"/>
  <c r="N81" i="31"/>
  <c r="M81" i="31"/>
  <c r="L81" i="31"/>
  <c r="K81" i="31"/>
  <c r="J81" i="31"/>
  <c r="I81" i="31"/>
  <c r="H81" i="31"/>
  <c r="G81" i="31"/>
  <c r="F81" i="31"/>
  <c r="E81" i="31"/>
  <c r="D81" i="31"/>
  <c r="C81" i="31"/>
  <c r="B81" i="31"/>
  <c r="N80" i="31"/>
  <c r="M80" i="31"/>
  <c r="L80" i="31"/>
  <c r="K80" i="31"/>
  <c r="J80" i="31"/>
  <c r="I80" i="31"/>
  <c r="H80" i="31"/>
  <c r="G80" i="31"/>
  <c r="F80" i="31"/>
  <c r="E80" i="31"/>
  <c r="D80" i="31"/>
  <c r="C80" i="31"/>
  <c r="O80" i="31" s="1"/>
  <c r="B80" i="31"/>
  <c r="N79" i="31"/>
  <c r="M79" i="31"/>
  <c r="L79" i="31"/>
  <c r="K79" i="31"/>
  <c r="J79" i="31"/>
  <c r="I79" i="31"/>
  <c r="H79" i="31"/>
  <c r="G79" i="31"/>
  <c r="F79" i="31"/>
  <c r="E79" i="31"/>
  <c r="D79" i="31"/>
  <c r="C79" i="31"/>
  <c r="B79" i="31"/>
  <c r="O78" i="31"/>
  <c r="O77" i="31"/>
  <c r="O76" i="31"/>
  <c r="O75" i="31"/>
  <c r="O74" i="31"/>
  <c r="O73" i="31"/>
  <c r="N73" i="31"/>
  <c r="M73" i="31"/>
  <c r="L73" i="31"/>
  <c r="K73" i="31"/>
  <c r="K12" i="31" s="1"/>
  <c r="K11" i="31" s="1"/>
  <c r="J73" i="31"/>
  <c r="I73" i="31"/>
  <c r="H73" i="31"/>
  <c r="G73" i="31"/>
  <c r="G12" i="31" s="1"/>
  <c r="G11" i="31" s="1"/>
  <c r="G10" i="31" s="1"/>
  <c r="G42" i="41" s="1"/>
  <c r="F73" i="31"/>
  <c r="E73" i="31"/>
  <c r="D73" i="31"/>
  <c r="C73" i="31"/>
  <c r="C12" i="31" s="1"/>
  <c r="B73" i="31"/>
  <c r="O68" i="31"/>
  <c r="O67" i="31"/>
  <c r="O66" i="31"/>
  <c r="O65" i="31"/>
  <c r="O64" i="31"/>
  <c r="O63" i="31"/>
  <c r="O62" i="31"/>
  <c r="O61" i="31"/>
  <c r="O60" i="31"/>
  <c r="O59" i="31"/>
  <c r="O58" i="31"/>
  <c r="O57" i="31"/>
  <c r="O56" i="31"/>
  <c r="O55" i="31"/>
  <c r="O54" i="31"/>
  <c r="O53" i="31"/>
  <c r="O52" i="31"/>
  <c r="O51" i="31"/>
  <c r="O50" i="31"/>
  <c r="O49" i="31"/>
  <c r="O48" i="31"/>
  <c r="O47" i="31"/>
  <c r="O45" i="31"/>
  <c r="O44" i="31"/>
  <c r="O43" i="31"/>
  <c r="O42" i="31"/>
  <c r="O41" i="31"/>
  <c r="O40" i="31"/>
  <c r="O39" i="31"/>
  <c r="O38" i="31"/>
  <c r="O37" i="31"/>
  <c r="O35" i="31"/>
  <c r="O34" i="31"/>
  <c r="O33" i="31"/>
  <c r="O32" i="31"/>
  <c r="O31" i="31"/>
  <c r="O30" i="31"/>
  <c r="O85" i="31" s="1"/>
  <c r="O29" i="31"/>
  <c r="O83" i="31" s="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O14" i="31"/>
  <c r="O13" i="31"/>
  <c r="N12" i="31"/>
  <c r="M12" i="31"/>
  <c r="L12" i="31"/>
  <c r="J12" i="31"/>
  <c r="I12" i="31"/>
  <c r="H12" i="31"/>
  <c r="H11" i="31" s="1"/>
  <c r="H10" i="31" s="1"/>
  <c r="H42" i="41" s="1"/>
  <c r="F12" i="31"/>
  <c r="E12" i="31"/>
  <c r="D12" i="31"/>
  <c r="N11" i="31"/>
  <c r="M11" i="31"/>
  <c r="M10" i="31" s="1"/>
  <c r="M42" i="41" s="1"/>
  <c r="L11" i="31"/>
  <c r="L10" i="31" s="1"/>
  <c r="L42" i="41" s="1"/>
  <c r="J11" i="31"/>
  <c r="I11" i="31"/>
  <c r="I10" i="31" s="1"/>
  <c r="I42" i="41" s="1"/>
  <c r="F11" i="31"/>
  <c r="E11" i="31"/>
  <c r="E10" i="31" s="1"/>
  <c r="E42" i="41" s="1"/>
  <c r="D11" i="31"/>
  <c r="D10" i="31" s="1"/>
  <c r="D42" i="41" s="1"/>
  <c r="B11" i="31"/>
  <c r="N10" i="31"/>
  <c r="N42" i="41" s="1"/>
  <c r="K10" i="31"/>
  <c r="K42" i="41" s="1"/>
  <c r="J10" i="31"/>
  <c r="J42" i="41" s="1"/>
  <c r="F10" i="31"/>
  <c r="F42" i="41" s="1"/>
  <c r="B10" i="31"/>
  <c r="O9" i="31"/>
  <c r="O8" i="31"/>
  <c r="O7" i="31"/>
  <c r="O6" i="31"/>
  <c r="O5" i="31"/>
  <c r="AC92" i="21" s="1"/>
  <c r="N4" i="31"/>
  <c r="N3" i="31" s="1"/>
  <c r="N92" i="21" s="1"/>
  <c r="N84" i="15" s="1"/>
  <c r="M4" i="31"/>
  <c r="M3" i="31" s="1"/>
  <c r="L4" i="31"/>
  <c r="K4" i="31"/>
  <c r="J4" i="31"/>
  <c r="J3" i="31" s="1"/>
  <c r="J92" i="21" s="1"/>
  <c r="J84" i="15" s="1"/>
  <c r="I4" i="31"/>
  <c r="I3" i="31" s="1"/>
  <c r="H4" i="31"/>
  <c r="G4" i="31"/>
  <c r="F4" i="31"/>
  <c r="F3" i="31" s="1"/>
  <c r="F92" i="21" s="1"/>
  <c r="F84" i="15" s="1"/>
  <c r="E4" i="31"/>
  <c r="E3" i="31" s="1"/>
  <c r="D4" i="31"/>
  <c r="C4" i="31"/>
  <c r="B4" i="31"/>
  <c r="B3" i="31" s="1"/>
  <c r="B92" i="21" s="1"/>
  <c r="L3" i="31"/>
  <c r="K3" i="31"/>
  <c r="K92" i="21" s="1"/>
  <c r="K84" i="15" s="1"/>
  <c r="H3" i="31"/>
  <c r="G3" i="31"/>
  <c r="D3" i="31"/>
  <c r="C3" i="31"/>
  <c r="C92" i="21" s="1"/>
  <c r="N86" i="26"/>
  <c r="M86" i="26"/>
  <c r="L86" i="26"/>
  <c r="K86" i="26"/>
  <c r="J86" i="26"/>
  <c r="I86" i="26"/>
  <c r="H86" i="26"/>
  <c r="G86" i="26"/>
  <c r="F86" i="26"/>
  <c r="E86" i="26"/>
  <c r="D86" i="26"/>
  <c r="C86" i="26"/>
  <c r="B86" i="26"/>
  <c r="O85" i="26"/>
  <c r="N85" i="26"/>
  <c r="M85" i="26"/>
  <c r="L85" i="26"/>
  <c r="K85" i="26"/>
  <c r="J85" i="26"/>
  <c r="I85" i="26"/>
  <c r="H85" i="26"/>
  <c r="G85" i="26"/>
  <c r="F85" i="26"/>
  <c r="E85" i="26"/>
  <c r="D85" i="26"/>
  <c r="C85" i="26"/>
  <c r="B85" i="26"/>
  <c r="N84" i="26"/>
  <c r="M84" i="26"/>
  <c r="L84" i="26"/>
  <c r="K84" i="26"/>
  <c r="J84" i="26"/>
  <c r="I84" i="26"/>
  <c r="H84" i="26"/>
  <c r="G84" i="26"/>
  <c r="F84" i="26"/>
  <c r="E84" i="26"/>
  <c r="D84" i="26"/>
  <c r="C84" i="26"/>
  <c r="B84" i="26"/>
  <c r="O83" i="26"/>
  <c r="N83" i="26"/>
  <c r="M83" i="26"/>
  <c r="L83" i="26"/>
  <c r="K83" i="26"/>
  <c r="J83" i="26"/>
  <c r="I83" i="26"/>
  <c r="H83" i="26"/>
  <c r="G83" i="26"/>
  <c r="F83" i="26"/>
  <c r="E83" i="26"/>
  <c r="D83" i="26"/>
  <c r="C83" i="26"/>
  <c r="B83" i="26"/>
  <c r="N82" i="26"/>
  <c r="M82" i="26"/>
  <c r="L82" i="26"/>
  <c r="K82" i="26"/>
  <c r="J82" i="26"/>
  <c r="I82" i="26"/>
  <c r="H82" i="26"/>
  <c r="G82" i="26"/>
  <c r="F82" i="26"/>
  <c r="E82" i="26"/>
  <c r="D82" i="26"/>
  <c r="C82" i="26"/>
  <c r="O82" i="26" s="1"/>
  <c r="B82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O81" i="26" s="1"/>
  <c r="B81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N79" i="26"/>
  <c r="M79" i="26"/>
  <c r="L79" i="26"/>
  <c r="K79" i="26"/>
  <c r="J79" i="26"/>
  <c r="I79" i="26"/>
  <c r="H79" i="26"/>
  <c r="G79" i="26"/>
  <c r="F79" i="26"/>
  <c r="E79" i="26"/>
  <c r="D79" i="26"/>
  <c r="C79" i="26"/>
  <c r="O79" i="26" s="1"/>
  <c r="B79" i="26"/>
  <c r="O78" i="26"/>
  <c r="O77" i="26"/>
  <c r="O76" i="26"/>
  <c r="O75" i="26"/>
  <c r="O74" i="26"/>
  <c r="O73" i="26"/>
  <c r="N73" i="26"/>
  <c r="M73" i="26"/>
  <c r="L73" i="26"/>
  <c r="K73" i="26"/>
  <c r="K12" i="26" s="1"/>
  <c r="K11" i="26" s="1"/>
  <c r="K10" i="26" s="1"/>
  <c r="K40" i="41" s="1"/>
  <c r="J73" i="26"/>
  <c r="I73" i="26"/>
  <c r="H73" i="26"/>
  <c r="G73" i="26"/>
  <c r="G12" i="26" s="1"/>
  <c r="F73" i="26"/>
  <c r="E73" i="26"/>
  <c r="D73" i="26"/>
  <c r="C73" i="26"/>
  <c r="B73" i="26"/>
  <c r="O68" i="26"/>
  <c r="O67" i="26"/>
  <c r="O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53" i="26"/>
  <c r="O52" i="26"/>
  <c r="O51" i="26"/>
  <c r="O50" i="26"/>
  <c r="O49" i="26"/>
  <c r="O48" i="26"/>
  <c r="O47" i="26"/>
  <c r="O45" i="26"/>
  <c r="O44" i="26"/>
  <c r="O43" i="26"/>
  <c r="O42" i="26"/>
  <c r="O41" i="26"/>
  <c r="O40" i="26"/>
  <c r="O39" i="26"/>
  <c r="O38" i="26"/>
  <c r="O37" i="26"/>
  <c r="M36" i="26"/>
  <c r="M46" i="26" s="1"/>
  <c r="M95" i="16" s="1"/>
  <c r="I36" i="26"/>
  <c r="I46" i="26" s="1"/>
  <c r="I95" i="16" s="1"/>
  <c r="O35" i="26"/>
  <c r="O34" i="26"/>
  <c r="O33" i="26"/>
  <c r="O32" i="26"/>
  <c r="O31" i="26"/>
  <c r="O86" i="26" s="1"/>
  <c r="O30" i="26"/>
  <c r="O84" i="26" s="1"/>
  <c r="O29" i="26"/>
  <c r="O28" i="26"/>
  <c r="O27" i="26"/>
  <c r="O26" i="26"/>
  <c r="O25" i="26"/>
  <c r="O24" i="26"/>
  <c r="O23" i="26"/>
  <c r="O22" i="26"/>
  <c r="O21" i="26"/>
  <c r="O20" i="26"/>
  <c r="O19" i="26"/>
  <c r="O18" i="26"/>
  <c r="O17" i="26"/>
  <c r="O16" i="26"/>
  <c r="O15" i="26"/>
  <c r="O14" i="26"/>
  <c r="O13" i="26"/>
  <c r="N12" i="26"/>
  <c r="N11" i="26" s="1"/>
  <c r="N10" i="26" s="1"/>
  <c r="N40" i="41" s="1"/>
  <c r="M12" i="26"/>
  <c r="L12" i="26"/>
  <c r="J12" i="26"/>
  <c r="J11" i="26" s="1"/>
  <c r="I12" i="26"/>
  <c r="H12" i="26"/>
  <c r="M11" i="26"/>
  <c r="L11" i="26"/>
  <c r="L10" i="26" s="1"/>
  <c r="L40" i="41" s="1"/>
  <c r="I11" i="26"/>
  <c r="H11" i="26"/>
  <c r="H10" i="26" s="1"/>
  <c r="H40" i="41" s="1"/>
  <c r="G11" i="26"/>
  <c r="G10" i="26" s="1"/>
  <c r="B11" i="26"/>
  <c r="M10" i="26"/>
  <c r="M40" i="41" s="1"/>
  <c r="J10" i="26"/>
  <c r="J40" i="41" s="1"/>
  <c r="I10" i="26"/>
  <c r="I40" i="41" s="1"/>
  <c r="B10" i="26"/>
  <c r="O9" i="26"/>
  <c r="O8" i="26"/>
  <c r="O7" i="26"/>
  <c r="O6" i="26"/>
  <c r="O5" i="26"/>
  <c r="AC90" i="21" s="1"/>
  <c r="N4" i="26"/>
  <c r="M4" i="26"/>
  <c r="M3" i="26" s="1"/>
  <c r="M90" i="21" s="1"/>
  <c r="M82" i="15" s="1"/>
  <c r="L4" i="26"/>
  <c r="L3" i="26" s="1"/>
  <c r="K4" i="26"/>
  <c r="J4" i="26"/>
  <c r="I4" i="26"/>
  <c r="I3" i="26" s="1"/>
  <c r="I90" i="21" s="1"/>
  <c r="I82" i="15" s="1"/>
  <c r="H4" i="26"/>
  <c r="H3" i="26" s="1"/>
  <c r="G4" i="26"/>
  <c r="B4" i="26"/>
  <c r="N3" i="26"/>
  <c r="K3" i="26"/>
  <c r="J3" i="26"/>
  <c r="G3" i="26"/>
  <c r="B3" i="26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B85" i="30"/>
  <c r="N84" i="30"/>
  <c r="M84" i="30"/>
  <c r="L84" i="30"/>
  <c r="K84" i="30"/>
  <c r="J84" i="30"/>
  <c r="I84" i="30"/>
  <c r="H84" i="30"/>
  <c r="G84" i="30"/>
  <c r="F84" i="30"/>
  <c r="E84" i="30"/>
  <c r="D84" i="30"/>
  <c r="C84" i="30"/>
  <c r="B84" i="30"/>
  <c r="O83" i="30"/>
  <c r="N83" i="30"/>
  <c r="M83" i="30"/>
  <c r="L83" i="30"/>
  <c r="K83" i="30"/>
  <c r="J83" i="30"/>
  <c r="I83" i="30"/>
  <c r="H83" i="30"/>
  <c r="G83" i="30"/>
  <c r="F83" i="30"/>
  <c r="E83" i="30"/>
  <c r="D83" i="30"/>
  <c r="C83" i="30"/>
  <c r="B83" i="30"/>
  <c r="N82" i="30"/>
  <c r="M82" i="30"/>
  <c r="L82" i="30"/>
  <c r="K82" i="30"/>
  <c r="J82" i="30"/>
  <c r="I82" i="30"/>
  <c r="H82" i="30"/>
  <c r="G82" i="30"/>
  <c r="F82" i="30"/>
  <c r="E82" i="30"/>
  <c r="D82" i="30"/>
  <c r="C82" i="30"/>
  <c r="B82" i="30"/>
  <c r="N81" i="30"/>
  <c r="M81" i="30"/>
  <c r="L81" i="30"/>
  <c r="K81" i="30"/>
  <c r="J81" i="30"/>
  <c r="I81" i="30"/>
  <c r="H81" i="30"/>
  <c r="G81" i="30"/>
  <c r="F81" i="30"/>
  <c r="E81" i="30"/>
  <c r="D81" i="30"/>
  <c r="C81" i="30"/>
  <c r="O81" i="30" s="1"/>
  <c r="B81" i="30"/>
  <c r="N80" i="30"/>
  <c r="M80" i="30"/>
  <c r="L80" i="30"/>
  <c r="K80" i="30"/>
  <c r="J80" i="30"/>
  <c r="I80" i="30"/>
  <c r="H80" i="30"/>
  <c r="G80" i="30"/>
  <c r="F80" i="30"/>
  <c r="E80" i="30"/>
  <c r="D80" i="30"/>
  <c r="C80" i="30"/>
  <c r="B80" i="30"/>
  <c r="N79" i="30"/>
  <c r="M79" i="30"/>
  <c r="L79" i="30"/>
  <c r="K79" i="30"/>
  <c r="J79" i="30"/>
  <c r="I79" i="30"/>
  <c r="H79" i="30"/>
  <c r="G79" i="30"/>
  <c r="F79" i="30"/>
  <c r="E79" i="30"/>
  <c r="D79" i="30"/>
  <c r="C79" i="30"/>
  <c r="B79" i="30"/>
  <c r="O78" i="30"/>
  <c r="O77" i="30"/>
  <c r="O76" i="30"/>
  <c r="O75" i="30"/>
  <c r="O74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B73" i="30"/>
  <c r="O68" i="30"/>
  <c r="O67" i="30"/>
  <c r="O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5" i="30"/>
  <c r="O44" i="30"/>
  <c r="O43" i="30"/>
  <c r="O42" i="30"/>
  <c r="O41" i="30"/>
  <c r="O40" i="30"/>
  <c r="O39" i="30"/>
  <c r="O38" i="30"/>
  <c r="O37" i="30"/>
  <c r="L36" i="30"/>
  <c r="L46" i="30" s="1"/>
  <c r="L94" i="16" s="1"/>
  <c r="H36" i="30"/>
  <c r="H46" i="30" s="1"/>
  <c r="H94" i="16" s="1"/>
  <c r="O35" i="30"/>
  <c r="O34" i="30"/>
  <c r="O33" i="30"/>
  <c r="O32" i="30"/>
  <c r="O31" i="30"/>
  <c r="O86" i="30" s="1"/>
  <c r="O30" i="30"/>
  <c r="O84" i="30" s="1"/>
  <c r="O29" i="30"/>
  <c r="O28" i="30"/>
  <c r="O27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3" i="30"/>
  <c r="N12" i="30"/>
  <c r="N11" i="30" s="1"/>
  <c r="N10" i="30" s="1"/>
  <c r="N39" i="41" s="1"/>
  <c r="M12" i="30"/>
  <c r="M11" i="30" s="1"/>
  <c r="L12" i="30"/>
  <c r="K12" i="30"/>
  <c r="J12" i="30"/>
  <c r="J11" i="30" s="1"/>
  <c r="J10" i="30" s="1"/>
  <c r="J39" i="41" s="1"/>
  <c r="I12" i="30"/>
  <c r="I11" i="30" s="1"/>
  <c r="H12" i="30"/>
  <c r="G12" i="30"/>
  <c r="O11" i="30"/>
  <c r="L11" i="30"/>
  <c r="K11" i="30"/>
  <c r="K10" i="30" s="1"/>
  <c r="K39" i="41" s="1"/>
  <c r="H11" i="30"/>
  <c r="G11" i="30"/>
  <c r="G10" i="30" s="1"/>
  <c r="B11" i="30"/>
  <c r="B10" i="30" s="1"/>
  <c r="M10" i="30"/>
  <c r="M39" i="41" s="1"/>
  <c r="L10" i="30"/>
  <c r="L39" i="41" s="1"/>
  <c r="I10" i="30"/>
  <c r="I39" i="41" s="1"/>
  <c r="H10" i="30"/>
  <c r="H39" i="41" s="1"/>
  <c r="O9" i="30"/>
  <c r="O8" i="30"/>
  <c r="O7" i="30"/>
  <c r="O6" i="30"/>
  <c r="O5" i="30"/>
  <c r="AC89" i="21" s="1"/>
  <c r="N4" i="30"/>
  <c r="M4" i="30"/>
  <c r="L4" i="30"/>
  <c r="L3" i="30" s="1"/>
  <c r="L89" i="21" s="1"/>
  <c r="L81" i="15" s="1"/>
  <c r="K4" i="30"/>
  <c r="K3" i="30" s="1"/>
  <c r="J4" i="30"/>
  <c r="I4" i="30"/>
  <c r="H4" i="30"/>
  <c r="H3" i="30" s="1"/>
  <c r="H89" i="21" s="1"/>
  <c r="H81" i="15" s="1"/>
  <c r="G4" i="30"/>
  <c r="G3" i="30" s="1"/>
  <c r="B4" i="30"/>
  <c r="N3" i="30"/>
  <c r="M3" i="30"/>
  <c r="J3" i="30"/>
  <c r="I3" i="30"/>
  <c r="B3" i="30"/>
  <c r="O86" i="22"/>
  <c r="N86" i="22"/>
  <c r="M86" i="22"/>
  <c r="L86" i="22"/>
  <c r="K86" i="22"/>
  <c r="J86" i="22"/>
  <c r="I86" i="22"/>
  <c r="H86" i="22"/>
  <c r="G86" i="22"/>
  <c r="F86" i="22"/>
  <c r="E86" i="22"/>
  <c r="D86" i="22"/>
  <c r="C86" i="22"/>
  <c r="B86" i="22"/>
  <c r="N85" i="22"/>
  <c r="M85" i="22"/>
  <c r="L85" i="22"/>
  <c r="K85" i="22"/>
  <c r="J85" i="22"/>
  <c r="I85" i="22"/>
  <c r="H85" i="22"/>
  <c r="G85" i="22"/>
  <c r="F85" i="22"/>
  <c r="E85" i="22"/>
  <c r="D85" i="22"/>
  <c r="C85" i="22"/>
  <c r="B85" i="22"/>
  <c r="N84" i="22"/>
  <c r="M84" i="22"/>
  <c r="L84" i="22"/>
  <c r="K84" i="22"/>
  <c r="J84" i="22"/>
  <c r="I84" i="22"/>
  <c r="H84" i="22"/>
  <c r="G84" i="22"/>
  <c r="F84" i="22"/>
  <c r="E84" i="22"/>
  <c r="D84" i="22"/>
  <c r="C84" i="22"/>
  <c r="B84" i="22"/>
  <c r="N83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N82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N81" i="22"/>
  <c r="M81" i="22"/>
  <c r="L81" i="22"/>
  <c r="K81" i="22"/>
  <c r="J81" i="22"/>
  <c r="I81" i="22"/>
  <c r="H81" i="22"/>
  <c r="G81" i="22"/>
  <c r="F81" i="22"/>
  <c r="E81" i="22"/>
  <c r="D81" i="22"/>
  <c r="C81" i="22"/>
  <c r="B81" i="22"/>
  <c r="N80" i="22"/>
  <c r="M80" i="22"/>
  <c r="L80" i="22"/>
  <c r="K80" i="22"/>
  <c r="J80" i="22"/>
  <c r="I80" i="22"/>
  <c r="H80" i="22"/>
  <c r="G80" i="22"/>
  <c r="F80" i="22"/>
  <c r="E80" i="22"/>
  <c r="D80" i="22"/>
  <c r="C80" i="22"/>
  <c r="O80" i="22" s="1"/>
  <c r="B80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B79" i="22"/>
  <c r="O78" i="22"/>
  <c r="O77" i="22"/>
  <c r="O76" i="22"/>
  <c r="O75" i="22"/>
  <c r="O74" i="22"/>
  <c r="O73" i="22"/>
  <c r="N73" i="22"/>
  <c r="M73" i="22"/>
  <c r="L73" i="22"/>
  <c r="K73" i="22"/>
  <c r="K12" i="22" s="1"/>
  <c r="K11" i="22" s="1"/>
  <c r="K10" i="22" s="1"/>
  <c r="K38" i="41" s="1"/>
  <c r="K41" i="41" s="1"/>
  <c r="J73" i="22"/>
  <c r="I73" i="22"/>
  <c r="H73" i="22"/>
  <c r="G73" i="22"/>
  <c r="G12" i="22" s="1"/>
  <c r="F73" i="22"/>
  <c r="E73" i="22"/>
  <c r="D73" i="22"/>
  <c r="C73" i="22"/>
  <c r="B73" i="22"/>
  <c r="O68" i="22"/>
  <c r="O67" i="22"/>
  <c r="O66" i="22"/>
  <c r="O65" i="22"/>
  <c r="O64" i="22"/>
  <c r="O63" i="22"/>
  <c r="O62" i="22"/>
  <c r="O61" i="22"/>
  <c r="O60" i="22"/>
  <c r="O59" i="22"/>
  <c r="O58" i="22"/>
  <c r="O57" i="22"/>
  <c r="O56" i="22"/>
  <c r="O55" i="22"/>
  <c r="O54" i="22"/>
  <c r="O53" i="22"/>
  <c r="O52" i="22"/>
  <c r="O51" i="22"/>
  <c r="O50" i="22"/>
  <c r="O49" i="22"/>
  <c r="O48" i="22"/>
  <c r="O47" i="22"/>
  <c r="O45" i="22"/>
  <c r="O44" i="22"/>
  <c r="O43" i="22"/>
  <c r="O42" i="22"/>
  <c r="O41" i="22"/>
  <c r="O40" i="22"/>
  <c r="O39" i="22"/>
  <c r="O38" i="22"/>
  <c r="O37" i="22"/>
  <c r="J36" i="22"/>
  <c r="J46" i="22" s="1"/>
  <c r="J93" i="16" s="1"/>
  <c r="O35" i="22"/>
  <c r="O34" i="22"/>
  <c r="O33" i="22"/>
  <c r="O32" i="22"/>
  <c r="O31" i="22"/>
  <c r="O30" i="22"/>
  <c r="O29" i="22"/>
  <c r="O83" i="22" s="1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N12" i="22"/>
  <c r="M12" i="22"/>
  <c r="M11" i="22" s="1"/>
  <c r="M10" i="22" s="1"/>
  <c r="M38" i="41" s="1"/>
  <c r="M41" i="41" s="1"/>
  <c r="L12" i="22"/>
  <c r="J12" i="22"/>
  <c r="I12" i="22"/>
  <c r="I11" i="22" s="1"/>
  <c r="I10" i="22" s="1"/>
  <c r="I38" i="41" s="1"/>
  <c r="I41" i="41" s="1"/>
  <c r="H12" i="22"/>
  <c r="N11" i="22"/>
  <c r="L11" i="22"/>
  <c r="L10" i="22" s="1"/>
  <c r="J11" i="22"/>
  <c r="H11" i="22"/>
  <c r="B11" i="22"/>
  <c r="N10" i="22"/>
  <c r="N38" i="41" s="1"/>
  <c r="J10" i="22"/>
  <c r="J38" i="41" s="1"/>
  <c r="H10" i="22"/>
  <c r="H38" i="41" s="1"/>
  <c r="H41" i="41" s="1"/>
  <c r="B10" i="22"/>
  <c r="O9" i="22"/>
  <c r="O8" i="22"/>
  <c r="O7" i="22"/>
  <c r="O6" i="22"/>
  <c r="O5" i="22"/>
  <c r="AC88" i="21" s="1"/>
  <c r="N4" i="22"/>
  <c r="N3" i="22" s="1"/>
  <c r="N88" i="21" s="1"/>
  <c r="M4" i="22"/>
  <c r="M3" i="22" s="1"/>
  <c r="L4" i="22"/>
  <c r="K4" i="22"/>
  <c r="J4" i="22"/>
  <c r="J3" i="22" s="1"/>
  <c r="J88" i="21" s="1"/>
  <c r="I4" i="22"/>
  <c r="I3" i="22" s="1"/>
  <c r="H4" i="22"/>
  <c r="G4" i="22"/>
  <c r="B4" i="22"/>
  <c r="B3" i="22" s="1"/>
  <c r="B88" i="21" s="1"/>
  <c r="L3" i="22"/>
  <c r="L88" i="21" s="1"/>
  <c r="K3" i="22"/>
  <c r="H3" i="22"/>
  <c r="H88" i="21" s="1"/>
  <c r="G3" i="22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N82" i="9"/>
  <c r="M82" i="9"/>
  <c r="L82" i="9"/>
  <c r="K82" i="9"/>
  <c r="J82" i="9"/>
  <c r="I82" i="9"/>
  <c r="H82" i="9"/>
  <c r="G82" i="9"/>
  <c r="F82" i="9"/>
  <c r="E82" i="9"/>
  <c r="D82" i="9"/>
  <c r="C82" i="9"/>
  <c r="O82" i="9" s="1"/>
  <c r="B82" i="9"/>
  <c r="N81" i="9"/>
  <c r="M81" i="9"/>
  <c r="L81" i="9"/>
  <c r="K81" i="9"/>
  <c r="J81" i="9"/>
  <c r="I81" i="9"/>
  <c r="H81" i="9"/>
  <c r="G81" i="9"/>
  <c r="F81" i="9"/>
  <c r="E81" i="9"/>
  <c r="D81" i="9"/>
  <c r="C81" i="9"/>
  <c r="O81" i="9" s="1"/>
  <c r="B81" i="9"/>
  <c r="N80" i="9"/>
  <c r="M80" i="9"/>
  <c r="L80" i="9"/>
  <c r="K80" i="9"/>
  <c r="J80" i="9"/>
  <c r="I80" i="9"/>
  <c r="H80" i="9"/>
  <c r="G80" i="9"/>
  <c r="F80" i="9"/>
  <c r="E80" i="9"/>
  <c r="D80" i="9"/>
  <c r="C80" i="9"/>
  <c r="O80" i="9" s="1"/>
  <c r="B80" i="9"/>
  <c r="N79" i="9"/>
  <c r="M79" i="9"/>
  <c r="L79" i="9"/>
  <c r="K79" i="9"/>
  <c r="J79" i="9"/>
  <c r="I79" i="9"/>
  <c r="H79" i="9"/>
  <c r="G79" i="9"/>
  <c r="F79" i="9"/>
  <c r="E79" i="9"/>
  <c r="D79" i="9"/>
  <c r="C79" i="9"/>
  <c r="O79" i="9" s="1"/>
  <c r="B79" i="9"/>
  <c r="O78" i="9"/>
  <c r="O77" i="9"/>
  <c r="O76" i="9"/>
  <c r="O75" i="9"/>
  <c r="O74" i="9"/>
  <c r="O73" i="9" s="1"/>
  <c r="N73" i="9"/>
  <c r="N12" i="9" s="1"/>
  <c r="N11" i="9" s="1"/>
  <c r="N10" i="9" s="1"/>
  <c r="N36" i="41" s="1"/>
  <c r="M73" i="9"/>
  <c r="L73" i="9"/>
  <c r="K73" i="9"/>
  <c r="J73" i="9"/>
  <c r="J12" i="9" s="1"/>
  <c r="J11" i="9" s="1"/>
  <c r="J10" i="9" s="1"/>
  <c r="J36" i="41" s="1"/>
  <c r="I73" i="9"/>
  <c r="H73" i="9"/>
  <c r="G73" i="9"/>
  <c r="F73" i="9"/>
  <c r="E73" i="9"/>
  <c r="D73" i="9"/>
  <c r="C73" i="9"/>
  <c r="B73" i="9"/>
  <c r="B12" i="9" s="1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5" i="9"/>
  <c r="O44" i="9"/>
  <c r="O43" i="9"/>
  <c r="O42" i="9"/>
  <c r="O41" i="9"/>
  <c r="O40" i="9"/>
  <c r="O39" i="9"/>
  <c r="O38" i="9"/>
  <c r="O37" i="9"/>
  <c r="I36" i="9"/>
  <c r="I46" i="9" s="1"/>
  <c r="I91" i="16" s="1"/>
  <c r="O35" i="9"/>
  <c r="O34" i="9"/>
  <c r="O33" i="9"/>
  <c r="O32" i="9"/>
  <c r="O31" i="9"/>
  <c r="O30" i="9"/>
  <c r="O29" i="9"/>
  <c r="O83" i="9" s="1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M12" i="9"/>
  <c r="L12" i="9"/>
  <c r="K12" i="9"/>
  <c r="K11" i="9" s="1"/>
  <c r="K10" i="9" s="1"/>
  <c r="K36" i="41" s="1"/>
  <c r="I12" i="9"/>
  <c r="H12" i="9"/>
  <c r="G12" i="9"/>
  <c r="O12" i="9" s="1"/>
  <c r="M11" i="9"/>
  <c r="M10" i="9" s="1"/>
  <c r="M36" i="41" s="1"/>
  <c r="L11" i="9"/>
  <c r="L10" i="9" s="1"/>
  <c r="L36" i="41" s="1"/>
  <c r="I11" i="9"/>
  <c r="I10" i="9" s="1"/>
  <c r="I36" i="41" s="1"/>
  <c r="H11" i="9"/>
  <c r="B11" i="9"/>
  <c r="B10" i="9" s="1"/>
  <c r="H10" i="9"/>
  <c r="H36" i="41" s="1"/>
  <c r="O9" i="9"/>
  <c r="O8" i="9"/>
  <c r="O7" i="9"/>
  <c r="O6" i="9"/>
  <c r="O5" i="9"/>
  <c r="N4" i="9"/>
  <c r="N3" i="9" s="1"/>
  <c r="M4" i="9"/>
  <c r="L4" i="9"/>
  <c r="K4" i="9"/>
  <c r="J4" i="9"/>
  <c r="J3" i="9" s="1"/>
  <c r="I4" i="9"/>
  <c r="H4" i="9"/>
  <c r="G4" i="9"/>
  <c r="O4" i="9" s="1"/>
  <c r="B4" i="9"/>
  <c r="B3" i="9" s="1"/>
  <c r="M3" i="9"/>
  <c r="M84" i="21" s="1"/>
  <c r="L3" i="9"/>
  <c r="L84" i="21" s="1"/>
  <c r="K3" i="9"/>
  <c r="I3" i="9"/>
  <c r="I84" i="21" s="1"/>
  <c r="H3" i="9"/>
  <c r="H84" i="21" s="1"/>
  <c r="G3" i="9"/>
  <c r="G84" i="21" s="1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N82" i="8"/>
  <c r="M82" i="8"/>
  <c r="L82" i="8"/>
  <c r="K82" i="8"/>
  <c r="J82" i="8"/>
  <c r="I82" i="8"/>
  <c r="H82" i="8"/>
  <c r="G82" i="8"/>
  <c r="F82" i="8"/>
  <c r="E82" i="8"/>
  <c r="D82" i="8"/>
  <c r="C82" i="8"/>
  <c r="O82" i="8" s="1"/>
  <c r="B82" i="8"/>
  <c r="N81" i="8"/>
  <c r="M81" i="8"/>
  <c r="L81" i="8"/>
  <c r="K81" i="8"/>
  <c r="J81" i="8"/>
  <c r="I81" i="8"/>
  <c r="H81" i="8"/>
  <c r="G81" i="8"/>
  <c r="F81" i="8"/>
  <c r="E81" i="8"/>
  <c r="D81" i="8"/>
  <c r="C81" i="8"/>
  <c r="O81" i="8" s="1"/>
  <c r="B81" i="8"/>
  <c r="N80" i="8"/>
  <c r="M80" i="8"/>
  <c r="L80" i="8"/>
  <c r="K80" i="8"/>
  <c r="J80" i="8"/>
  <c r="I80" i="8"/>
  <c r="H80" i="8"/>
  <c r="G80" i="8"/>
  <c r="F80" i="8"/>
  <c r="E80" i="8"/>
  <c r="D80" i="8"/>
  <c r="C80" i="8"/>
  <c r="O80" i="8" s="1"/>
  <c r="B80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O78" i="8"/>
  <c r="O77" i="8"/>
  <c r="O76" i="8"/>
  <c r="O75" i="8"/>
  <c r="O74" i="8"/>
  <c r="O73" i="8" s="1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5" i="8"/>
  <c r="O44" i="8"/>
  <c r="O43" i="8"/>
  <c r="O42" i="8"/>
  <c r="O41" i="8"/>
  <c r="O40" i="8"/>
  <c r="O39" i="8"/>
  <c r="O38" i="8"/>
  <c r="O37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N12" i="8"/>
  <c r="M12" i="8"/>
  <c r="L12" i="8"/>
  <c r="L11" i="8" s="1"/>
  <c r="L10" i="8" s="1"/>
  <c r="L35" i="41" s="1"/>
  <c r="K12" i="8"/>
  <c r="K11" i="8" s="1"/>
  <c r="K10" i="8" s="1"/>
  <c r="K35" i="41" s="1"/>
  <c r="J12" i="8"/>
  <c r="I12" i="8"/>
  <c r="H12" i="8"/>
  <c r="G12" i="8"/>
  <c r="B12" i="8"/>
  <c r="B11" i="8" s="1"/>
  <c r="B10" i="8" s="1"/>
  <c r="N11" i="8"/>
  <c r="N10" i="8" s="1"/>
  <c r="N35" i="41" s="1"/>
  <c r="M11" i="8"/>
  <c r="M10" i="8" s="1"/>
  <c r="M35" i="41" s="1"/>
  <c r="J11" i="8"/>
  <c r="I11" i="8"/>
  <c r="I10" i="8" s="1"/>
  <c r="I35" i="41" s="1"/>
  <c r="H11" i="8"/>
  <c r="H10" i="8" s="1"/>
  <c r="H35" i="41" s="1"/>
  <c r="J10" i="8"/>
  <c r="J35" i="41" s="1"/>
  <c r="O9" i="8"/>
  <c r="O8" i="8"/>
  <c r="O7" i="8"/>
  <c r="O6" i="8"/>
  <c r="O5" i="8"/>
  <c r="N4" i="8"/>
  <c r="N3" i="8" s="1"/>
  <c r="M4" i="8"/>
  <c r="L4" i="8"/>
  <c r="K4" i="8"/>
  <c r="K3" i="8" s="1"/>
  <c r="K83" i="21" s="1"/>
  <c r="J4" i="8"/>
  <c r="J3" i="8" s="1"/>
  <c r="I4" i="8"/>
  <c r="H4" i="8"/>
  <c r="G4" i="8"/>
  <c r="G3" i="8" s="1"/>
  <c r="B4" i="8"/>
  <c r="B3" i="8" s="1"/>
  <c r="M3" i="8"/>
  <c r="M83" i="21" s="1"/>
  <c r="L3" i="8"/>
  <c r="L83" i="21" s="1"/>
  <c r="I3" i="8"/>
  <c r="I83" i="21" s="1"/>
  <c r="H3" i="8"/>
  <c r="H83" i="21" s="1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N82" i="7"/>
  <c r="M82" i="7"/>
  <c r="L82" i="7"/>
  <c r="K82" i="7"/>
  <c r="J82" i="7"/>
  <c r="I82" i="7"/>
  <c r="H82" i="7"/>
  <c r="G82" i="7"/>
  <c r="F82" i="7"/>
  <c r="E82" i="7"/>
  <c r="D82" i="7"/>
  <c r="C82" i="7"/>
  <c r="O82" i="7" s="1"/>
  <c r="B82" i="7"/>
  <c r="N81" i="7"/>
  <c r="M81" i="7"/>
  <c r="L81" i="7"/>
  <c r="K81" i="7"/>
  <c r="J81" i="7"/>
  <c r="I81" i="7"/>
  <c r="H81" i="7"/>
  <c r="G81" i="7"/>
  <c r="F81" i="7"/>
  <c r="E81" i="7"/>
  <c r="D81" i="7"/>
  <c r="C81" i="7"/>
  <c r="O81" i="7" s="1"/>
  <c r="B81" i="7"/>
  <c r="N80" i="7"/>
  <c r="M80" i="7"/>
  <c r="L80" i="7"/>
  <c r="K80" i="7"/>
  <c r="J80" i="7"/>
  <c r="I80" i="7"/>
  <c r="H80" i="7"/>
  <c r="G80" i="7"/>
  <c r="F80" i="7"/>
  <c r="E80" i="7"/>
  <c r="D80" i="7"/>
  <c r="C80" i="7"/>
  <c r="O80" i="7" s="1"/>
  <c r="B80" i="7"/>
  <c r="N79" i="7"/>
  <c r="M79" i="7"/>
  <c r="L79" i="7"/>
  <c r="K79" i="7"/>
  <c r="J79" i="7"/>
  <c r="I79" i="7"/>
  <c r="H79" i="7"/>
  <c r="G79" i="7"/>
  <c r="F79" i="7"/>
  <c r="E79" i="7"/>
  <c r="D79" i="7"/>
  <c r="C79" i="7"/>
  <c r="O79" i="7" s="1"/>
  <c r="B79" i="7"/>
  <c r="O78" i="7"/>
  <c r="O77" i="7"/>
  <c r="O76" i="7"/>
  <c r="O75" i="7"/>
  <c r="O74" i="7"/>
  <c r="N73" i="7"/>
  <c r="M73" i="7"/>
  <c r="L73" i="7"/>
  <c r="L12" i="7" s="1"/>
  <c r="L11" i="7" s="1"/>
  <c r="L10" i="7" s="1"/>
  <c r="L34" i="41" s="1"/>
  <c r="K73" i="7"/>
  <c r="J73" i="7"/>
  <c r="I73" i="7"/>
  <c r="H73" i="7"/>
  <c r="H12" i="7" s="1"/>
  <c r="H11" i="7" s="1"/>
  <c r="H10" i="7" s="1"/>
  <c r="H34" i="41" s="1"/>
  <c r="G73" i="7"/>
  <c r="F73" i="7"/>
  <c r="E73" i="7"/>
  <c r="D73" i="7"/>
  <c r="C73" i="7"/>
  <c r="B73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5" i="7"/>
  <c r="O44" i="7"/>
  <c r="O43" i="7"/>
  <c r="O42" i="7"/>
  <c r="O41" i="7"/>
  <c r="O40" i="7"/>
  <c r="O39" i="7"/>
  <c r="O38" i="7"/>
  <c r="O37" i="7"/>
  <c r="M36" i="7"/>
  <c r="M46" i="7" s="1"/>
  <c r="M89" i="16" s="1"/>
  <c r="O35" i="7"/>
  <c r="O34" i="7"/>
  <c r="O33" i="7"/>
  <c r="O32" i="7"/>
  <c r="O31" i="7"/>
  <c r="O86" i="7" s="1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N12" i="7"/>
  <c r="M12" i="7"/>
  <c r="K12" i="7"/>
  <c r="K11" i="7" s="1"/>
  <c r="K10" i="7" s="1"/>
  <c r="K34" i="41" s="1"/>
  <c r="J12" i="7"/>
  <c r="I12" i="7"/>
  <c r="G12" i="7"/>
  <c r="B12" i="7"/>
  <c r="B11" i="7" s="1"/>
  <c r="B10" i="7" s="1"/>
  <c r="N11" i="7"/>
  <c r="N10" i="7" s="1"/>
  <c r="N34" i="41" s="1"/>
  <c r="M11" i="7"/>
  <c r="M10" i="7" s="1"/>
  <c r="M34" i="41" s="1"/>
  <c r="J11" i="7"/>
  <c r="J10" i="7" s="1"/>
  <c r="J34" i="41" s="1"/>
  <c r="I11" i="7"/>
  <c r="I10" i="7" s="1"/>
  <c r="I34" i="41" s="1"/>
  <c r="O9" i="7"/>
  <c r="O8" i="7"/>
  <c r="O7" i="7"/>
  <c r="O6" i="7"/>
  <c r="O5" i="7"/>
  <c r="N4" i="7"/>
  <c r="N3" i="7" s="1"/>
  <c r="M4" i="7"/>
  <c r="L4" i="7"/>
  <c r="K4" i="7"/>
  <c r="J4" i="7"/>
  <c r="J3" i="7" s="1"/>
  <c r="I4" i="7"/>
  <c r="H4" i="7"/>
  <c r="G4" i="7"/>
  <c r="O4" i="7" s="1"/>
  <c r="B4" i="7"/>
  <c r="B3" i="7" s="1"/>
  <c r="M3" i="7"/>
  <c r="M82" i="21" s="1"/>
  <c r="L3" i="7"/>
  <c r="L82" i="21" s="1"/>
  <c r="K3" i="7"/>
  <c r="K82" i="21" s="1"/>
  <c r="I3" i="7"/>
  <c r="I82" i="21" s="1"/>
  <c r="H3" i="7"/>
  <c r="H82" i="21" s="1"/>
  <c r="G3" i="7"/>
  <c r="G82" i="21" s="1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N81" i="6"/>
  <c r="M81" i="6"/>
  <c r="L81" i="6"/>
  <c r="K81" i="6"/>
  <c r="J81" i="6"/>
  <c r="I81" i="6"/>
  <c r="H81" i="6"/>
  <c r="G81" i="6"/>
  <c r="F81" i="6"/>
  <c r="E81" i="6"/>
  <c r="D81" i="6"/>
  <c r="C81" i="6"/>
  <c r="O81" i="6" s="1"/>
  <c r="B81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O78" i="6"/>
  <c r="O77" i="6"/>
  <c r="O76" i="6"/>
  <c r="O75" i="6"/>
  <c r="O73" i="6" s="1"/>
  <c r="O74" i="6"/>
  <c r="N73" i="6"/>
  <c r="M73" i="6"/>
  <c r="M12" i="6" s="1"/>
  <c r="M11" i="6" s="1"/>
  <c r="M10" i="6" s="1"/>
  <c r="M33" i="41" s="1"/>
  <c r="L73" i="6"/>
  <c r="K73" i="6"/>
  <c r="J73" i="6"/>
  <c r="I73" i="6"/>
  <c r="I12" i="6" s="1"/>
  <c r="I11" i="6" s="1"/>
  <c r="H73" i="6"/>
  <c r="G73" i="6"/>
  <c r="F73" i="6"/>
  <c r="E73" i="6"/>
  <c r="D73" i="6"/>
  <c r="C73" i="6"/>
  <c r="B73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5" i="6"/>
  <c r="O44" i="6"/>
  <c r="O43" i="6"/>
  <c r="O42" i="6"/>
  <c r="O41" i="6"/>
  <c r="O40" i="6"/>
  <c r="O39" i="6"/>
  <c r="O38" i="6"/>
  <c r="O37" i="6"/>
  <c r="L36" i="6"/>
  <c r="L46" i="6" s="1"/>
  <c r="L88" i="16" s="1"/>
  <c r="O35" i="6"/>
  <c r="O34" i="6"/>
  <c r="O33" i="6"/>
  <c r="O32" i="6"/>
  <c r="O31" i="6"/>
  <c r="O30" i="6"/>
  <c r="O29" i="6"/>
  <c r="O83" i="6" s="1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N12" i="6"/>
  <c r="L12" i="6"/>
  <c r="L11" i="6" s="1"/>
  <c r="L10" i="6" s="1"/>
  <c r="L33" i="41" s="1"/>
  <c r="K12" i="6"/>
  <c r="J12" i="6"/>
  <c r="H12" i="6"/>
  <c r="H11" i="6" s="1"/>
  <c r="H10" i="6" s="1"/>
  <c r="H33" i="41" s="1"/>
  <c r="G12" i="6"/>
  <c r="O12" i="6" s="1"/>
  <c r="B12" i="6"/>
  <c r="N11" i="6"/>
  <c r="N10" i="6" s="1"/>
  <c r="N33" i="41" s="1"/>
  <c r="K11" i="6"/>
  <c r="K10" i="6" s="1"/>
  <c r="K33" i="41" s="1"/>
  <c r="J11" i="6"/>
  <c r="J10" i="6" s="1"/>
  <c r="J33" i="41" s="1"/>
  <c r="G11" i="6"/>
  <c r="O11" i="6" s="1"/>
  <c r="B11" i="6"/>
  <c r="B10" i="6" s="1"/>
  <c r="I10" i="6"/>
  <c r="I33" i="41" s="1"/>
  <c r="O9" i="6"/>
  <c r="O8" i="6"/>
  <c r="O7" i="6"/>
  <c r="O6" i="6"/>
  <c r="O5" i="6"/>
  <c r="N4" i="6"/>
  <c r="M4" i="6"/>
  <c r="L4" i="6"/>
  <c r="K4" i="6"/>
  <c r="K3" i="6" s="1"/>
  <c r="J4" i="6"/>
  <c r="I4" i="6"/>
  <c r="H4" i="6"/>
  <c r="G4" i="6"/>
  <c r="B4" i="6"/>
  <c r="B3" i="6" s="1"/>
  <c r="N3" i="6"/>
  <c r="M3" i="6"/>
  <c r="M81" i="21" s="1"/>
  <c r="L3" i="6"/>
  <c r="L81" i="21" s="1"/>
  <c r="J3" i="6"/>
  <c r="J81" i="21" s="1"/>
  <c r="I3" i="6"/>
  <c r="I81" i="21" s="1"/>
  <c r="H3" i="6"/>
  <c r="H81" i="21" s="1"/>
  <c r="K92" i="34"/>
  <c r="K91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C85" i="34"/>
  <c r="B85" i="34"/>
  <c r="N84" i="34"/>
  <c r="M84" i="34"/>
  <c r="L84" i="34"/>
  <c r="K84" i="34"/>
  <c r="J84" i="34"/>
  <c r="I84" i="34"/>
  <c r="H84" i="34"/>
  <c r="G84" i="34"/>
  <c r="F84" i="34"/>
  <c r="E84" i="34"/>
  <c r="D84" i="34"/>
  <c r="C84" i="34"/>
  <c r="B84" i="34"/>
  <c r="N83" i="34"/>
  <c r="M83" i="34"/>
  <c r="L83" i="34"/>
  <c r="K83" i="34"/>
  <c r="J83" i="34"/>
  <c r="I83" i="34"/>
  <c r="H83" i="34"/>
  <c r="G83" i="34"/>
  <c r="F83" i="34"/>
  <c r="E83" i="34"/>
  <c r="D83" i="34"/>
  <c r="C83" i="34"/>
  <c r="B83" i="34"/>
  <c r="N82" i="34"/>
  <c r="M82" i="34"/>
  <c r="L82" i="34"/>
  <c r="K82" i="34"/>
  <c r="J82" i="34"/>
  <c r="I82" i="34"/>
  <c r="H82" i="34"/>
  <c r="G82" i="34"/>
  <c r="F82" i="34"/>
  <c r="E82" i="34"/>
  <c r="D82" i="34"/>
  <c r="C82" i="34"/>
  <c r="B82" i="34"/>
  <c r="N81" i="34"/>
  <c r="M81" i="34"/>
  <c r="L81" i="34"/>
  <c r="K81" i="34"/>
  <c r="J81" i="34"/>
  <c r="I81" i="34"/>
  <c r="H81" i="34"/>
  <c r="G81" i="34"/>
  <c r="F81" i="34"/>
  <c r="E81" i="34"/>
  <c r="D81" i="34"/>
  <c r="C81" i="34"/>
  <c r="B81" i="34"/>
  <c r="N80" i="34"/>
  <c r="M80" i="34"/>
  <c r="L80" i="34"/>
  <c r="K80" i="34"/>
  <c r="J80" i="34"/>
  <c r="I80" i="34"/>
  <c r="H80" i="34"/>
  <c r="G80" i="34"/>
  <c r="F80" i="34"/>
  <c r="E80" i="34"/>
  <c r="D80" i="34"/>
  <c r="C80" i="34"/>
  <c r="B80" i="34"/>
  <c r="N79" i="34"/>
  <c r="M79" i="34"/>
  <c r="L79" i="34"/>
  <c r="K79" i="34"/>
  <c r="J79" i="34"/>
  <c r="I79" i="34"/>
  <c r="H79" i="34"/>
  <c r="G79" i="34"/>
  <c r="F79" i="34"/>
  <c r="E79" i="34"/>
  <c r="D79" i="34"/>
  <c r="C79" i="34"/>
  <c r="O79" i="34" s="1"/>
  <c r="B79" i="34"/>
  <c r="O78" i="34"/>
  <c r="O77" i="34"/>
  <c r="O76" i="34"/>
  <c r="O75" i="34"/>
  <c r="E75" i="34"/>
  <c r="E32" i="36" s="1"/>
  <c r="O32" i="36" s="1"/>
  <c r="O74" i="34"/>
  <c r="O73" i="34" s="1"/>
  <c r="N73" i="34"/>
  <c r="N12" i="34" s="1"/>
  <c r="N11" i="34" s="1"/>
  <c r="N10" i="34" s="1"/>
  <c r="N32" i="41" s="1"/>
  <c r="M73" i="34"/>
  <c r="L73" i="34"/>
  <c r="K73" i="34"/>
  <c r="J73" i="34"/>
  <c r="J12" i="34" s="1"/>
  <c r="J11" i="34" s="1"/>
  <c r="J10" i="34" s="1"/>
  <c r="J32" i="41" s="1"/>
  <c r="I73" i="34"/>
  <c r="H73" i="34"/>
  <c r="G73" i="34"/>
  <c r="F73" i="34"/>
  <c r="F12" i="34" s="1"/>
  <c r="F11" i="34" s="1"/>
  <c r="F10" i="34" s="1"/>
  <c r="F32" i="41" s="1"/>
  <c r="E73" i="34"/>
  <c r="D73" i="34"/>
  <c r="C73" i="34"/>
  <c r="B73" i="34"/>
  <c r="B12" i="34" s="1"/>
  <c r="B11" i="34" s="1"/>
  <c r="B10" i="34" s="1"/>
  <c r="O68" i="34"/>
  <c r="O67" i="34"/>
  <c r="O66" i="34"/>
  <c r="O65" i="34"/>
  <c r="O64" i="34"/>
  <c r="O63" i="34"/>
  <c r="O62" i="34"/>
  <c r="O61" i="34"/>
  <c r="O60" i="34"/>
  <c r="O59" i="34"/>
  <c r="O58" i="34"/>
  <c r="O57" i="34"/>
  <c r="O56" i="34"/>
  <c r="O55" i="34"/>
  <c r="O54" i="34"/>
  <c r="O53" i="34"/>
  <c r="O52" i="34"/>
  <c r="O51" i="34"/>
  <c r="O50" i="34"/>
  <c r="O49" i="34"/>
  <c r="O48" i="34"/>
  <c r="O47" i="34"/>
  <c r="O45" i="34"/>
  <c r="O43" i="34"/>
  <c r="O42" i="34"/>
  <c r="O41" i="34"/>
  <c r="O40" i="34"/>
  <c r="O39" i="34"/>
  <c r="O38" i="34"/>
  <c r="O37" i="34"/>
  <c r="M36" i="34"/>
  <c r="M46" i="34" s="1"/>
  <c r="M87" i="16" s="1"/>
  <c r="E36" i="34"/>
  <c r="E46" i="34" s="1"/>
  <c r="E87" i="16" s="1"/>
  <c r="O35" i="34"/>
  <c r="O34" i="34"/>
  <c r="O33" i="34"/>
  <c r="O32" i="34"/>
  <c r="O31" i="34"/>
  <c r="O86" i="34" s="1"/>
  <c r="O30" i="34"/>
  <c r="O84" i="34" s="1"/>
  <c r="O29" i="34"/>
  <c r="O83" i="34" s="1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5" i="34"/>
  <c r="O14" i="34"/>
  <c r="O13" i="34"/>
  <c r="M12" i="34"/>
  <c r="L12" i="34"/>
  <c r="K12" i="34"/>
  <c r="K11" i="34" s="1"/>
  <c r="K10" i="34" s="1"/>
  <c r="K32" i="41" s="1"/>
  <c r="I12" i="34"/>
  <c r="H12" i="34"/>
  <c r="G12" i="34"/>
  <c r="G11" i="34" s="1"/>
  <c r="E12" i="34"/>
  <c r="D12" i="34"/>
  <c r="D11" i="34" s="1"/>
  <c r="D10" i="34" s="1"/>
  <c r="D32" i="41" s="1"/>
  <c r="C12" i="34"/>
  <c r="M11" i="34"/>
  <c r="L11" i="34"/>
  <c r="L10" i="34" s="1"/>
  <c r="L32" i="41" s="1"/>
  <c r="I11" i="34"/>
  <c r="H11" i="34"/>
  <c r="H10" i="34" s="1"/>
  <c r="H32" i="41" s="1"/>
  <c r="E11" i="34"/>
  <c r="M10" i="34"/>
  <c r="M32" i="41" s="1"/>
  <c r="I10" i="34"/>
  <c r="I32" i="41" s="1"/>
  <c r="G10" i="34"/>
  <c r="G32" i="41" s="1"/>
  <c r="E10" i="34"/>
  <c r="E32" i="41" s="1"/>
  <c r="O9" i="34"/>
  <c r="O8" i="34"/>
  <c r="O7" i="34"/>
  <c r="O6" i="34"/>
  <c r="O5" i="34"/>
  <c r="N4" i="34"/>
  <c r="N3" i="34" s="1"/>
  <c r="M4" i="34"/>
  <c r="L4" i="34"/>
  <c r="K4" i="34"/>
  <c r="K3" i="34" s="1"/>
  <c r="K80" i="21" s="1"/>
  <c r="J4" i="34"/>
  <c r="J3" i="34" s="1"/>
  <c r="I4" i="34"/>
  <c r="H4" i="34"/>
  <c r="G4" i="34"/>
  <c r="G3" i="34" s="1"/>
  <c r="G80" i="21" s="1"/>
  <c r="F4" i="34"/>
  <c r="F3" i="34" s="1"/>
  <c r="E4" i="34"/>
  <c r="D4" i="34"/>
  <c r="D3" i="34" s="1"/>
  <c r="C4" i="34"/>
  <c r="B4" i="34"/>
  <c r="B3" i="34" s="1"/>
  <c r="M3" i="34"/>
  <c r="M80" i="21" s="1"/>
  <c r="L3" i="34"/>
  <c r="I3" i="34"/>
  <c r="I80" i="21" s="1"/>
  <c r="H3" i="34"/>
  <c r="E3" i="34"/>
  <c r="E80" i="21" s="1"/>
  <c r="K92" i="35"/>
  <c r="K91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B86" i="35"/>
  <c r="N85" i="35"/>
  <c r="M85" i="35"/>
  <c r="L85" i="35"/>
  <c r="K85" i="35"/>
  <c r="J85" i="35"/>
  <c r="I85" i="35"/>
  <c r="H85" i="35"/>
  <c r="G85" i="35"/>
  <c r="F85" i="35"/>
  <c r="E85" i="35"/>
  <c r="D85" i="35"/>
  <c r="C85" i="35"/>
  <c r="B85" i="35"/>
  <c r="N84" i="35"/>
  <c r="M84" i="35"/>
  <c r="L84" i="35"/>
  <c r="K84" i="35"/>
  <c r="J84" i="35"/>
  <c r="I84" i="35"/>
  <c r="H84" i="35"/>
  <c r="G84" i="35"/>
  <c r="F84" i="35"/>
  <c r="E84" i="35"/>
  <c r="D84" i="35"/>
  <c r="C84" i="35"/>
  <c r="B84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C83" i="35"/>
  <c r="B83" i="35"/>
  <c r="N82" i="35"/>
  <c r="M82" i="35"/>
  <c r="L82" i="35"/>
  <c r="K82" i="35"/>
  <c r="J82" i="35"/>
  <c r="I82" i="35"/>
  <c r="H82" i="35"/>
  <c r="G82" i="35"/>
  <c r="F82" i="35"/>
  <c r="E82" i="35"/>
  <c r="D82" i="35"/>
  <c r="C82" i="35"/>
  <c r="B82" i="35"/>
  <c r="N81" i="35"/>
  <c r="M81" i="35"/>
  <c r="L81" i="35"/>
  <c r="K81" i="35"/>
  <c r="J81" i="35"/>
  <c r="I81" i="35"/>
  <c r="H81" i="35"/>
  <c r="G81" i="35"/>
  <c r="F81" i="35"/>
  <c r="E81" i="35"/>
  <c r="D81" i="35"/>
  <c r="C81" i="35"/>
  <c r="B81" i="35"/>
  <c r="N80" i="35"/>
  <c r="M80" i="35"/>
  <c r="L80" i="35"/>
  <c r="K80" i="35"/>
  <c r="J80" i="35"/>
  <c r="I80" i="35"/>
  <c r="H80" i="35"/>
  <c r="G80" i="35"/>
  <c r="F80" i="35"/>
  <c r="E80" i="35"/>
  <c r="D80" i="35"/>
  <c r="C80" i="35"/>
  <c r="B80" i="35"/>
  <c r="N79" i="35"/>
  <c r="M79" i="35"/>
  <c r="L79" i="35"/>
  <c r="K79" i="35"/>
  <c r="J79" i="35"/>
  <c r="I79" i="35"/>
  <c r="H79" i="35"/>
  <c r="G79" i="35"/>
  <c r="F79" i="35"/>
  <c r="E79" i="35"/>
  <c r="D79" i="35"/>
  <c r="C79" i="35"/>
  <c r="O79" i="35" s="1"/>
  <c r="H100" i="10" s="1"/>
  <c r="B79" i="35"/>
  <c r="O78" i="35"/>
  <c r="O77" i="35"/>
  <c r="O76" i="35"/>
  <c r="O75" i="35"/>
  <c r="H97" i="10" s="1"/>
  <c r="O74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C73" i="35"/>
  <c r="B73" i="35"/>
  <c r="O68" i="35"/>
  <c r="O67" i="35"/>
  <c r="O66" i="35"/>
  <c r="O65" i="35"/>
  <c r="O64" i="35"/>
  <c r="O63" i="35"/>
  <c r="O62" i="35"/>
  <c r="O61" i="35"/>
  <c r="O60" i="35"/>
  <c r="O59" i="35"/>
  <c r="O58" i="35"/>
  <c r="O57" i="35"/>
  <c r="O56" i="35"/>
  <c r="O55" i="35"/>
  <c r="O54" i="35"/>
  <c r="O53" i="35"/>
  <c r="O52" i="35"/>
  <c r="O51" i="35"/>
  <c r="O50" i="35"/>
  <c r="O49" i="35"/>
  <c r="O48" i="35"/>
  <c r="O47" i="35"/>
  <c r="O45" i="35"/>
  <c r="O43" i="35"/>
  <c r="O42" i="35"/>
  <c r="O41" i="35"/>
  <c r="O40" i="35"/>
  <c r="O39" i="35"/>
  <c r="O38" i="35"/>
  <c r="O37" i="35"/>
  <c r="L36" i="35"/>
  <c r="L46" i="35" s="1"/>
  <c r="L86" i="16" s="1"/>
  <c r="J36" i="35"/>
  <c r="J46" i="35" s="1"/>
  <c r="J86" i="16" s="1"/>
  <c r="D36" i="35"/>
  <c r="D46" i="35" s="1"/>
  <c r="D86" i="16" s="1"/>
  <c r="B114" i="16" s="1"/>
  <c r="B36" i="35"/>
  <c r="B46" i="35" s="1"/>
  <c r="B86" i="16" s="1"/>
  <c r="O35" i="35"/>
  <c r="O34" i="35"/>
  <c r="O33" i="35"/>
  <c r="O32" i="35"/>
  <c r="O31" i="35"/>
  <c r="O86" i="35" s="1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N12" i="35"/>
  <c r="N11" i="35" s="1"/>
  <c r="M12" i="35"/>
  <c r="L12" i="35"/>
  <c r="K12" i="35"/>
  <c r="J12" i="35"/>
  <c r="J11" i="35" s="1"/>
  <c r="I12" i="35"/>
  <c r="H12" i="35"/>
  <c r="G12" i="35"/>
  <c r="G11" i="35" s="1"/>
  <c r="F12" i="35"/>
  <c r="F11" i="35" s="1"/>
  <c r="E12" i="35"/>
  <c r="E11" i="35" s="1"/>
  <c r="E10" i="35" s="1"/>
  <c r="E31" i="41" s="1"/>
  <c r="D12" i="35"/>
  <c r="C12" i="35"/>
  <c r="C11" i="35" s="1"/>
  <c r="B12" i="35"/>
  <c r="B11" i="35" s="1"/>
  <c r="M11" i="35"/>
  <c r="M10" i="35" s="1"/>
  <c r="M31" i="41" s="1"/>
  <c r="L11" i="35"/>
  <c r="I11" i="35"/>
  <c r="I10" i="35" s="1"/>
  <c r="I31" i="41" s="1"/>
  <c r="H11" i="35"/>
  <c r="D11" i="35"/>
  <c r="N10" i="35"/>
  <c r="N31" i="41" s="1"/>
  <c r="L10" i="35"/>
  <c r="L31" i="41" s="1"/>
  <c r="J10" i="35"/>
  <c r="J31" i="41" s="1"/>
  <c r="H10" i="35"/>
  <c r="F10" i="35"/>
  <c r="F31" i="41" s="1"/>
  <c r="D10" i="35"/>
  <c r="D31" i="41" s="1"/>
  <c r="B10" i="35"/>
  <c r="O9" i="35"/>
  <c r="O8" i="35"/>
  <c r="O7" i="35"/>
  <c r="O6" i="35"/>
  <c r="O5" i="35"/>
  <c r="N4" i="35"/>
  <c r="N3" i="35" s="1"/>
  <c r="N79" i="21" s="1"/>
  <c r="M4" i="35"/>
  <c r="M4" i="5" s="1"/>
  <c r="L4" i="35"/>
  <c r="K4" i="35"/>
  <c r="J4" i="35"/>
  <c r="J3" i="35" s="1"/>
  <c r="J79" i="21" s="1"/>
  <c r="I4" i="35"/>
  <c r="H4" i="35"/>
  <c r="G4" i="35"/>
  <c r="F4" i="35"/>
  <c r="F3" i="35" s="1"/>
  <c r="F79" i="21" s="1"/>
  <c r="E4" i="35"/>
  <c r="E3" i="35" s="1"/>
  <c r="D4" i="35"/>
  <c r="C4" i="35"/>
  <c r="O4" i="35" s="1"/>
  <c r="B4" i="35"/>
  <c r="B3" i="35" s="1"/>
  <c r="B79" i="21" s="1"/>
  <c r="M3" i="35"/>
  <c r="L3" i="35"/>
  <c r="L79" i="21" s="1"/>
  <c r="K3" i="35"/>
  <c r="I3" i="35"/>
  <c r="H3" i="35"/>
  <c r="H79" i="21" s="1"/>
  <c r="G3" i="35"/>
  <c r="D3" i="35"/>
  <c r="D79" i="21" s="1"/>
  <c r="C3" i="35"/>
  <c r="K92" i="33"/>
  <c r="K91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O86" i="33" s="1"/>
  <c r="B86" i="33"/>
  <c r="N85" i="33"/>
  <c r="M85" i="33"/>
  <c r="L85" i="33"/>
  <c r="K85" i="33"/>
  <c r="J85" i="33"/>
  <c r="I85" i="33"/>
  <c r="H85" i="33"/>
  <c r="G85" i="33"/>
  <c r="F85" i="33"/>
  <c r="E85" i="33"/>
  <c r="D85" i="33"/>
  <c r="C85" i="33"/>
  <c r="O85" i="33" s="1"/>
  <c r="B85" i="33"/>
  <c r="N84" i="33"/>
  <c r="M84" i="33"/>
  <c r="L84" i="33"/>
  <c r="K84" i="33"/>
  <c r="J84" i="33"/>
  <c r="I84" i="33"/>
  <c r="H84" i="33"/>
  <c r="G84" i="33"/>
  <c r="F84" i="33"/>
  <c r="E84" i="33"/>
  <c r="D84" i="33"/>
  <c r="C84" i="33"/>
  <c r="O84" i="33" s="1"/>
  <c r="B84" i="33"/>
  <c r="N83" i="33"/>
  <c r="M83" i="33"/>
  <c r="L83" i="33"/>
  <c r="K83" i="33"/>
  <c r="J83" i="33"/>
  <c r="I83" i="33"/>
  <c r="H83" i="33"/>
  <c r="G83" i="33"/>
  <c r="F83" i="33"/>
  <c r="E83" i="33"/>
  <c r="D83" i="33"/>
  <c r="C83" i="33"/>
  <c r="O83" i="33" s="1"/>
  <c r="B83" i="33"/>
  <c r="N82" i="33"/>
  <c r="M82" i="33"/>
  <c r="L82" i="33"/>
  <c r="K82" i="33"/>
  <c r="J82" i="33"/>
  <c r="I82" i="33"/>
  <c r="H82" i="33"/>
  <c r="G82" i="33"/>
  <c r="F82" i="33"/>
  <c r="E82" i="33"/>
  <c r="D82" i="33"/>
  <c r="C82" i="33"/>
  <c r="O82" i="33" s="1"/>
  <c r="B82" i="33"/>
  <c r="N81" i="33"/>
  <c r="M81" i="33"/>
  <c r="L81" i="33"/>
  <c r="K81" i="33"/>
  <c r="J81" i="33"/>
  <c r="I81" i="33"/>
  <c r="H81" i="33"/>
  <c r="G81" i="33"/>
  <c r="F81" i="33"/>
  <c r="E81" i="33"/>
  <c r="D81" i="33"/>
  <c r="C81" i="33"/>
  <c r="O81" i="33" s="1"/>
  <c r="B81" i="33"/>
  <c r="N80" i="33"/>
  <c r="M80" i="33"/>
  <c r="L80" i="33"/>
  <c r="K80" i="33"/>
  <c r="J80" i="33"/>
  <c r="I80" i="33"/>
  <c r="H80" i="33"/>
  <c r="G80" i="33"/>
  <c r="F80" i="33"/>
  <c r="E80" i="33"/>
  <c r="D80" i="33"/>
  <c r="C80" i="33"/>
  <c r="O80" i="33" s="1"/>
  <c r="B80" i="33"/>
  <c r="N79" i="33"/>
  <c r="M79" i="33"/>
  <c r="L79" i="33"/>
  <c r="K79" i="33"/>
  <c r="J79" i="33"/>
  <c r="I79" i="33"/>
  <c r="H79" i="33"/>
  <c r="G79" i="33"/>
  <c r="F79" i="33"/>
  <c r="E79" i="33"/>
  <c r="D79" i="33"/>
  <c r="C79" i="33"/>
  <c r="O79" i="33" s="1"/>
  <c r="B79" i="33"/>
  <c r="O78" i="33"/>
  <c r="O77" i="33"/>
  <c r="O76" i="33"/>
  <c r="O75" i="33"/>
  <c r="O74" i="33"/>
  <c r="O73" i="33" s="1"/>
  <c r="N73" i="33"/>
  <c r="N12" i="33" s="1"/>
  <c r="N11" i="33" s="1"/>
  <c r="N10" i="33" s="1"/>
  <c r="N30" i="41" s="1"/>
  <c r="M73" i="33"/>
  <c r="L73" i="33"/>
  <c r="K73" i="33"/>
  <c r="J73" i="33"/>
  <c r="J12" i="33" s="1"/>
  <c r="J11" i="33" s="1"/>
  <c r="J10" i="33" s="1"/>
  <c r="J30" i="41" s="1"/>
  <c r="I73" i="33"/>
  <c r="H73" i="33"/>
  <c r="G73" i="33"/>
  <c r="F73" i="33"/>
  <c r="F12" i="33" s="1"/>
  <c r="F11" i="33" s="1"/>
  <c r="F10" i="33" s="1"/>
  <c r="E73" i="33"/>
  <c r="D73" i="33"/>
  <c r="C73" i="33"/>
  <c r="B73" i="33"/>
  <c r="B12" i="33" s="1"/>
  <c r="B11" i="33" s="1"/>
  <c r="B10" i="33" s="1"/>
  <c r="E68" i="33"/>
  <c r="O68" i="33" s="1"/>
  <c r="E67" i="33"/>
  <c r="O67" i="33" s="1"/>
  <c r="E66" i="33"/>
  <c r="O66" i="33" s="1"/>
  <c r="E65" i="33"/>
  <c r="O65" i="33" s="1"/>
  <c r="E64" i="33"/>
  <c r="O64" i="33" s="1"/>
  <c r="E63" i="33"/>
  <c r="O63" i="33" s="1"/>
  <c r="E62" i="33"/>
  <c r="O62" i="33" s="1"/>
  <c r="E61" i="33"/>
  <c r="O61" i="33" s="1"/>
  <c r="E60" i="33"/>
  <c r="O60" i="33" s="1"/>
  <c r="E59" i="33"/>
  <c r="O59" i="33" s="1"/>
  <c r="E58" i="33"/>
  <c r="O58" i="33" s="1"/>
  <c r="E57" i="33"/>
  <c r="O57" i="33" s="1"/>
  <c r="E56" i="33"/>
  <c r="O56" i="33" s="1"/>
  <c r="E55" i="33"/>
  <c r="O55" i="33" s="1"/>
  <c r="E54" i="33"/>
  <c r="O54" i="33" s="1"/>
  <c r="E53" i="33"/>
  <c r="O53" i="33" s="1"/>
  <c r="E52" i="33"/>
  <c r="O52" i="33" s="1"/>
  <c r="E51" i="33"/>
  <c r="O51" i="33" s="1"/>
  <c r="E50" i="33"/>
  <c r="O50" i="33" s="1"/>
  <c r="E49" i="33"/>
  <c r="O49" i="33" s="1"/>
  <c r="O48" i="33"/>
  <c r="O47" i="33"/>
  <c r="O45" i="33"/>
  <c r="O43" i="33"/>
  <c r="O42" i="33"/>
  <c r="O41" i="33"/>
  <c r="O40" i="33"/>
  <c r="O39" i="33"/>
  <c r="O38" i="33"/>
  <c r="O37" i="33"/>
  <c r="M36" i="33"/>
  <c r="M46" i="33" s="1"/>
  <c r="M85" i="16" s="1"/>
  <c r="O35" i="33"/>
  <c r="O34" i="33"/>
  <c r="O33" i="33"/>
  <c r="O3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6" i="33"/>
  <c r="O15" i="33"/>
  <c r="O14" i="33"/>
  <c r="O13" i="33"/>
  <c r="M12" i="33"/>
  <c r="M11" i="33" s="1"/>
  <c r="M10" i="33" s="1"/>
  <c r="L12" i="33"/>
  <c r="K12" i="33"/>
  <c r="I12" i="33"/>
  <c r="I11" i="33" s="1"/>
  <c r="H12" i="33"/>
  <c r="H11" i="33" s="1"/>
  <c r="H10" i="33" s="1"/>
  <c r="H30" i="41" s="1"/>
  <c r="G12" i="33"/>
  <c r="E12" i="33"/>
  <c r="E11" i="33" s="1"/>
  <c r="E10" i="33" s="1"/>
  <c r="E30" i="41" s="1"/>
  <c r="D12" i="33"/>
  <c r="D11" i="33" s="1"/>
  <c r="D10" i="33" s="1"/>
  <c r="D30" i="41" s="1"/>
  <c r="C12" i="33"/>
  <c r="L11" i="33"/>
  <c r="L10" i="33" s="1"/>
  <c r="L30" i="41" s="1"/>
  <c r="K11" i="33"/>
  <c r="G11" i="33"/>
  <c r="C11" i="33"/>
  <c r="K10" i="33"/>
  <c r="K30" i="41" s="1"/>
  <c r="I10" i="33"/>
  <c r="I30" i="41" s="1"/>
  <c r="G10" i="33"/>
  <c r="C10" i="33"/>
  <c r="C30" i="41" s="1"/>
  <c r="O9" i="33"/>
  <c r="O8" i="33"/>
  <c r="O7" i="33"/>
  <c r="O6" i="33"/>
  <c r="O5" i="33"/>
  <c r="N4" i="33"/>
  <c r="N3" i="33" s="1"/>
  <c r="M4" i="33"/>
  <c r="M3" i="33" s="1"/>
  <c r="M78" i="21" s="1"/>
  <c r="L4" i="33"/>
  <c r="K4" i="33"/>
  <c r="J4" i="33"/>
  <c r="I4" i="33"/>
  <c r="I3" i="33" s="1"/>
  <c r="I78" i="21" s="1"/>
  <c r="H4" i="33"/>
  <c r="H3" i="33" s="1"/>
  <c r="G4" i="33"/>
  <c r="F4" i="33"/>
  <c r="F3" i="33" s="1"/>
  <c r="E4" i="33"/>
  <c r="E3" i="33" s="1"/>
  <c r="E78" i="21" s="1"/>
  <c r="D4" i="33"/>
  <c r="C4" i="33"/>
  <c r="B4" i="33"/>
  <c r="B3" i="33" s="1"/>
  <c r="L3" i="33"/>
  <c r="K3" i="33"/>
  <c r="K78" i="21" s="1"/>
  <c r="J3" i="33"/>
  <c r="G3" i="33"/>
  <c r="G78" i="21" s="1"/>
  <c r="D3" i="33"/>
  <c r="C3" i="33"/>
  <c r="C78" i="21" s="1"/>
  <c r="L91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O86" i="32" s="1"/>
  <c r="B86" i="32"/>
  <c r="N85" i="32"/>
  <c r="M85" i="32"/>
  <c r="L85" i="32"/>
  <c r="K85" i="32"/>
  <c r="J85" i="32"/>
  <c r="I85" i="32"/>
  <c r="H85" i="32"/>
  <c r="G85" i="32"/>
  <c r="F85" i="32"/>
  <c r="E85" i="32"/>
  <c r="D85" i="32"/>
  <c r="C85" i="32"/>
  <c r="O85" i="32" s="1"/>
  <c r="B85" i="32"/>
  <c r="N84" i="32"/>
  <c r="M84" i="32"/>
  <c r="L84" i="32"/>
  <c r="K84" i="32"/>
  <c r="J84" i="32"/>
  <c r="I84" i="32"/>
  <c r="H84" i="32"/>
  <c r="G84" i="32"/>
  <c r="F84" i="32"/>
  <c r="E84" i="32"/>
  <c r="D84" i="32"/>
  <c r="C84" i="32"/>
  <c r="O84" i="32" s="1"/>
  <c r="B84" i="32"/>
  <c r="N83" i="32"/>
  <c r="M83" i="32"/>
  <c r="L83" i="32"/>
  <c r="K83" i="32"/>
  <c r="J83" i="32"/>
  <c r="I83" i="32"/>
  <c r="H83" i="32"/>
  <c r="G83" i="32"/>
  <c r="F83" i="32"/>
  <c r="E83" i="32"/>
  <c r="D83" i="32"/>
  <c r="C83" i="32"/>
  <c r="B83" i="32"/>
  <c r="N82" i="32"/>
  <c r="M82" i="32"/>
  <c r="L82" i="32"/>
  <c r="K82" i="32"/>
  <c r="J82" i="32"/>
  <c r="I82" i="32"/>
  <c r="H82" i="32"/>
  <c r="G82" i="32"/>
  <c r="F82" i="32"/>
  <c r="E82" i="32"/>
  <c r="D82" i="32"/>
  <c r="C82" i="32"/>
  <c r="O82" i="32" s="1"/>
  <c r="B82" i="32"/>
  <c r="N81" i="32"/>
  <c r="M81" i="32"/>
  <c r="L81" i="32"/>
  <c r="K81" i="32"/>
  <c r="J81" i="32"/>
  <c r="I81" i="32"/>
  <c r="H81" i="32"/>
  <c r="G81" i="32"/>
  <c r="F81" i="32"/>
  <c r="E81" i="32"/>
  <c r="D81" i="32"/>
  <c r="C81" i="32"/>
  <c r="B81" i="32"/>
  <c r="N80" i="32"/>
  <c r="M80" i="32"/>
  <c r="L80" i="32"/>
  <c r="K80" i="32"/>
  <c r="J80" i="32"/>
  <c r="I80" i="32"/>
  <c r="H80" i="32"/>
  <c r="G80" i="32"/>
  <c r="O80" i="32" s="1"/>
  <c r="F80" i="32"/>
  <c r="D80" i="32"/>
  <c r="C80" i="32"/>
  <c r="B80" i="32"/>
  <c r="N79" i="32"/>
  <c r="M79" i="32"/>
  <c r="L79" i="32"/>
  <c r="K79" i="32"/>
  <c r="J79" i="32"/>
  <c r="I79" i="32"/>
  <c r="H79" i="32"/>
  <c r="G79" i="32"/>
  <c r="F79" i="32"/>
  <c r="D79" i="32"/>
  <c r="C79" i="32"/>
  <c r="O79" i="32" s="1"/>
  <c r="B79" i="32"/>
  <c r="O78" i="32"/>
  <c r="O77" i="32"/>
  <c r="O76" i="32"/>
  <c r="O75" i="32"/>
  <c r="O74" i="32"/>
  <c r="N73" i="32"/>
  <c r="M73" i="32"/>
  <c r="L73" i="32"/>
  <c r="L12" i="32" s="1"/>
  <c r="K73" i="32"/>
  <c r="J73" i="32"/>
  <c r="I73" i="32"/>
  <c r="H73" i="32"/>
  <c r="H12" i="32" s="1"/>
  <c r="G73" i="32"/>
  <c r="F73" i="32"/>
  <c r="E73" i="32"/>
  <c r="D73" i="32"/>
  <c r="D12" i="32" s="1"/>
  <c r="D11" i="32" s="1"/>
  <c r="D10" i="32" s="1"/>
  <c r="D29" i="41" s="1"/>
  <c r="C73" i="32"/>
  <c r="B73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5" i="32"/>
  <c r="O44" i="32"/>
  <c r="O43" i="32"/>
  <c r="O42" i="32"/>
  <c r="O41" i="32"/>
  <c r="O40" i="32"/>
  <c r="O39" i="32"/>
  <c r="O38" i="32"/>
  <c r="O37" i="32"/>
  <c r="I36" i="32"/>
  <c r="I46" i="32" s="1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N12" i="32"/>
  <c r="M12" i="32"/>
  <c r="K12" i="32"/>
  <c r="K11" i="32" s="1"/>
  <c r="J12" i="32"/>
  <c r="I12" i="32"/>
  <c r="G12" i="32"/>
  <c r="G11" i="32" s="1"/>
  <c r="F12" i="32"/>
  <c r="F11" i="32" s="1"/>
  <c r="F10" i="32" s="1"/>
  <c r="F29" i="41" s="1"/>
  <c r="E12" i="32"/>
  <c r="C12" i="32"/>
  <c r="C11" i="32" s="1"/>
  <c r="B12" i="32"/>
  <c r="N11" i="32"/>
  <c r="M11" i="32"/>
  <c r="J11" i="32"/>
  <c r="I11" i="32"/>
  <c r="E11" i="32"/>
  <c r="M10" i="32"/>
  <c r="M29" i="41" s="1"/>
  <c r="K10" i="32"/>
  <c r="I10" i="32"/>
  <c r="I29" i="41" s="1"/>
  <c r="G10" i="32"/>
  <c r="G29" i="41" s="1"/>
  <c r="E10" i="32"/>
  <c r="E29" i="41" s="1"/>
  <c r="C10" i="32"/>
  <c r="O9" i="32"/>
  <c r="O8" i="32"/>
  <c r="O7" i="32"/>
  <c r="O6" i="32"/>
  <c r="O5" i="32"/>
  <c r="N4" i="32"/>
  <c r="M4" i="32"/>
  <c r="L4" i="32"/>
  <c r="K4" i="32"/>
  <c r="K3" i="32" s="1"/>
  <c r="K77" i="21" s="1"/>
  <c r="J4" i="32"/>
  <c r="I4" i="32"/>
  <c r="H4" i="32"/>
  <c r="H4" i="5" s="1"/>
  <c r="G4" i="32"/>
  <c r="G3" i="32" s="1"/>
  <c r="G77" i="21" s="1"/>
  <c r="F4" i="32"/>
  <c r="F3" i="32" s="1"/>
  <c r="E4" i="32"/>
  <c r="D4" i="32"/>
  <c r="D3" i="32" s="1"/>
  <c r="C4" i="32"/>
  <c r="C3" i="32" s="1"/>
  <c r="B4" i="32"/>
  <c r="N3" i="32"/>
  <c r="M3" i="32"/>
  <c r="M77" i="21" s="1"/>
  <c r="J3" i="32"/>
  <c r="I3" i="32"/>
  <c r="I77" i="21" s="1"/>
  <c r="E3" i="32"/>
  <c r="E77" i="21" s="1"/>
  <c r="B3" i="32"/>
  <c r="K86" i="5"/>
  <c r="I86" i="5"/>
  <c r="F86" i="5"/>
  <c r="E86" i="5"/>
  <c r="D86" i="5"/>
  <c r="C86" i="5"/>
  <c r="M85" i="5"/>
  <c r="K85" i="5"/>
  <c r="F85" i="5"/>
  <c r="E85" i="5"/>
  <c r="D85" i="5"/>
  <c r="C85" i="5"/>
  <c r="G84" i="5"/>
  <c r="F84" i="5"/>
  <c r="E84" i="5"/>
  <c r="D84" i="5"/>
  <c r="C84" i="5"/>
  <c r="G83" i="5"/>
  <c r="F83" i="5"/>
  <c r="E83" i="5"/>
  <c r="D83" i="5"/>
  <c r="C83" i="5"/>
  <c r="K82" i="5"/>
  <c r="F82" i="5"/>
  <c r="E82" i="5"/>
  <c r="D82" i="5"/>
  <c r="C82" i="5"/>
  <c r="K81" i="5"/>
  <c r="F81" i="5"/>
  <c r="E81" i="5"/>
  <c r="D81" i="5"/>
  <c r="C81" i="5"/>
  <c r="G80" i="5"/>
  <c r="F80" i="5"/>
  <c r="E80" i="5"/>
  <c r="D80" i="5"/>
  <c r="C80" i="5"/>
  <c r="G79" i="5"/>
  <c r="F79" i="5"/>
  <c r="E79" i="5"/>
  <c r="D79" i="5"/>
  <c r="C79" i="5"/>
  <c r="N78" i="5"/>
  <c r="M78" i="5"/>
  <c r="M78" i="10" s="1"/>
  <c r="L78" i="5"/>
  <c r="K78" i="5"/>
  <c r="J78" i="5"/>
  <c r="I78" i="5"/>
  <c r="I78" i="10" s="1"/>
  <c r="H78" i="5"/>
  <c r="G78" i="5"/>
  <c r="F78" i="5"/>
  <c r="E78" i="5"/>
  <c r="E78" i="10" s="1"/>
  <c r="D78" i="5"/>
  <c r="C78" i="5"/>
  <c r="O78" i="5" s="1"/>
  <c r="O78" i="10" s="1"/>
  <c r="B78" i="5"/>
  <c r="N77" i="5"/>
  <c r="M77" i="5"/>
  <c r="L77" i="5"/>
  <c r="K77" i="5"/>
  <c r="K77" i="10" s="1"/>
  <c r="J77" i="5"/>
  <c r="I77" i="5"/>
  <c r="H77" i="5"/>
  <c r="G77" i="5"/>
  <c r="G77" i="10" s="1"/>
  <c r="F77" i="5"/>
  <c r="E77" i="5"/>
  <c r="D77" i="5"/>
  <c r="C77" i="5"/>
  <c r="C77" i="10" s="1"/>
  <c r="B77" i="5"/>
  <c r="N76" i="5"/>
  <c r="M76" i="5"/>
  <c r="M76" i="10" s="1"/>
  <c r="L76" i="5"/>
  <c r="K76" i="5"/>
  <c r="J76" i="5"/>
  <c r="I76" i="5"/>
  <c r="I76" i="10" s="1"/>
  <c r="H76" i="5"/>
  <c r="G76" i="5"/>
  <c r="F76" i="5"/>
  <c r="E76" i="5"/>
  <c r="E76" i="10" s="1"/>
  <c r="D76" i="5"/>
  <c r="C76" i="5"/>
  <c r="O76" i="5" s="1"/>
  <c r="B76" i="5"/>
  <c r="N75" i="5"/>
  <c r="N28" i="36" s="1"/>
  <c r="M75" i="5"/>
  <c r="M28" i="36" s="1"/>
  <c r="M37" i="36" s="1"/>
  <c r="M43" i="36" s="1"/>
  <c r="L75" i="5"/>
  <c r="L28" i="36" s="1"/>
  <c r="L37" i="36" s="1"/>
  <c r="L43" i="36" s="1"/>
  <c r="K75" i="5"/>
  <c r="K28" i="36" s="1"/>
  <c r="J75" i="5"/>
  <c r="J28" i="36" s="1"/>
  <c r="I75" i="5"/>
  <c r="I28" i="36" s="1"/>
  <c r="I37" i="36" s="1"/>
  <c r="I43" i="36" s="1"/>
  <c r="H75" i="5"/>
  <c r="H28" i="36" s="1"/>
  <c r="H37" i="36" s="1"/>
  <c r="H43" i="36" s="1"/>
  <c r="G75" i="5"/>
  <c r="G28" i="36" s="1"/>
  <c r="F75" i="5"/>
  <c r="F28" i="36" s="1"/>
  <c r="E75" i="5"/>
  <c r="E28" i="36" s="1"/>
  <c r="E37" i="36" s="1"/>
  <c r="E43" i="36" s="1"/>
  <c r="D75" i="5"/>
  <c r="D28" i="36" s="1"/>
  <c r="D37" i="36" s="1"/>
  <c r="D43" i="36" s="1"/>
  <c r="C75" i="5"/>
  <c r="C28" i="36" s="1"/>
  <c r="B75" i="5"/>
  <c r="B28" i="36" s="1"/>
  <c r="N74" i="5"/>
  <c r="N49" i="27" s="1"/>
  <c r="M74" i="5"/>
  <c r="M49" i="27" s="1"/>
  <c r="M58" i="27" s="1"/>
  <c r="M64" i="27" s="1"/>
  <c r="L74" i="5"/>
  <c r="L49" i="27" s="1"/>
  <c r="K74" i="5"/>
  <c r="K49" i="27" s="1"/>
  <c r="J74" i="5"/>
  <c r="J49" i="27" s="1"/>
  <c r="I74" i="5"/>
  <c r="I49" i="27" s="1"/>
  <c r="H74" i="5"/>
  <c r="H49" i="27" s="1"/>
  <c r="G74" i="5"/>
  <c r="G49" i="27" s="1"/>
  <c r="F74" i="5"/>
  <c r="F49" i="27" s="1"/>
  <c r="E74" i="5"/>
  <c r="E49" i="27" s="1"/>
  <c r="E58" i="27" s="1"/>
  <c r="E64" i="27" s="1"/>
  <c r="D74" i="5"/>
  <c r="D49" i="27" s="1"/>
  <c r="C74" i="5"/>
  <c r="C49" i="27" s="1"/>
  <c r="B74" i="5"/>
  <c r="B49" i="27" s="1"/>
  <c r="N73" i="5"/>
  <c r="J73" i="5"/>
  <c r="I73" i="5"/>
  <c r="F73" i="5"/>
  <c r="E73" i="5"/>
  <c r="C73" i="5"/>
  <c r="B73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N48" i="5"/>
  <c r="M48" i="5"/>
  <c r="M48" i="10" s="1"/>
  <c r="L48" i="5"/>
  <c r="K48" i="5"/>
  <c r="K48" i="10" s="1"/>
  <c r="J48" i="5"/>
  <c r="I48" i="5"/>
  <c r="I48" i="10" s="1"/>
  <c r="H48" i="5"/>
  <c r="G48" i="5"/>
  <c r="G48" i="10" s="1"/>
  <c r="B48" i="5"/>
  <c r="N47" i="5"/>
  <c r="M47" i="5"/>
  <c r="M47" i="10" s="1"/>
  <c r="L47" i="5"/>
  <c r="K47" i="5"/>
  <c r="K47" i="10" s="1"/>
  <c r="J47" i="5"/>
  <c r="I47" i="5"/>
  <c r="I47" i="10" s="1"/>
  <c r="H47" i="5"/>
  <c r="G47" i="5"/>
  <c r="G47" i="10" s="1"/>
  <c r="B47" i="5"/>
  <c r="N45" i="5"/>
  <c r="M45" i="5"/>
  <c r="M45" i="10" s="1"/>
  <c r="L45" i="5"/>
  <c r="K45" i="5"/>
  <c r="K45" i="10" s="1"/>
  <c r="J45" i="5"/>
  <c r="I45" i="5"/>
  <c r="I45" i="10" s="1"/>
  <c r="H45" i="5"/>
  <c r="G45" i="5"/>
  <c r="G45" i="10" s="1"/>
  <c r="B45" i="5"/>
  <c r="N44" i="5"/>
  <c r="M44" i="5"/>
  <c r="L44" i="5"/>
  <c r="K44" i="5"/>
  <c r="K44" i="10" s="1"/>
  <c r="J44" i="5"/>
  <c r="I44" i="5"/>
  <c r="H44" i="5"/>
  <c r="G44" i="5"/>
  <c r="G44" i="10" s="1"/>
  <c r="B44" i="5"/>
  <c r="N43" i="5"/>
  <c r="M43" i="5"/>
  <c r="M43" i="10" s="1"/>
  <c r="L43" i="5"/>
  <c r="K43" i="5"/>
  <c r="K43" i="10" s="1"/>
  <c r="J43" i="5"/>
  <c r="I43" i="5"/>
  <c r="H43" i="5"/>
  <c r="G43" i="5"/>
  <c r="G43" i="10" s="1"/>
  <c r="B43" i="5"/>
  <c r="N42" i="5"/>
  <c r="M42" i="5"/>
  <c r="M42" i="10" s="1"/>
  <c r="M86" i="10" s="1"/>
  <c r="L42" i="5"/>
  <c r="K42" i="5"/>
  <c r="J42" i="5"/>
  <c r="I42" i="5"/>
  <c r="I42" i="10" s="1"/>
  <c r="I86" i="10" s="1"/>
  <c r="H42" i="5"/>
  <c r="G42" i="5"/>
  <c r="O42" i="5" s="1"/>
  <c r="B42" i="5"/>
  <c r="N41" i="5"/>
  <c r="M41" i="5"/>
  <c r="L41" i="5"/>
  <c r="K41" i="5"/>
  <c r="K41" i="10" s="1"/>
  <c r="J41" i="5"/>
  <c r="I41" i="5"/>
  <c r="H41" i="5"/>
  <c r="G41" i="5"/>
  <c r="G41" i="10" s="1"/>
  <c r="B41" i="5"/>
  <c r="N40" i="5"/>
  <c r="N86" i="5" s="1"/>
  <c r="M40" i="5"/>
  <c r="M40" i="10" s="1"/>
  <c r="L40" i="5"/>
  <c r="L86" i="5" s="1"/>
  <c r="K40" i="5"/>
  <c r="J40" i="5"/>
  <c r="J86" i="5" s="1"/>
  <c r="I40" i="5"/>
  <c r="I40" i="10" s="1"/>
  <c r="H40" i="5"/>
  <c r="H86" i="5" s="1"/>
  <c r="G40" i="5"/>
  <c r="G86" i="5" s="1"/>
  <c r="B40" i="5"/>
  <c r="B86" i="5" s="1"/>
  <c r="N39" i="5"/>
  <c r="M39" i="5"/>
  <c r="L39" i="5"/>
  <c r="K39" i="5"/>
  <c r="K39" i="10" s="1"/>
  <c r="J39" i="5"/>
  <c r="I39" i="5"/>
  <c r="H39" i="5"/>
  <c r="G39" i="5"/>
  <c r="G39" i="10" s="1"/>
  <c r="B39" i="5"/>
  <c r="N38" i="5"/>
  <c r="M38" i="5"/>
  <c r="M38" i="10" s="1"/>
  <c r="L38" i="5"/>
  <c r="K38" i="5"/>
  <c r="J38" i="5"/>
  <c r="I38" i="5"/>
  <c r="I38" i="10" s="1"/>
  <c r="H38" i="5"/>
  <c r="G38" i="5"/>
  <c r="O38" i="5" s="1"/>
  <c r="B38" i="5"/>
  <c r="N37" i="5"/>
  <c r="N85" i="5" s="1"/>
  <c r="M37" i="5"/>
  <c r="L37" i="5"/>
  <c r="L85" i="5" s="1"/>
  <c r="K37" i="5"/>
  <c r="K37" i="10" s="1"/>
  <c r="K85" i="10" s="1"/>
  <c r="J37" i="5"/>
  <c r="J85" i="5" s="1"/>
  <c r="I37" i="5"/>
  <c r="I85" i="5" s="1"/>
  <c r="H37" i="5"/>
  <c r="H85" i="5" s="1"/>
  <c r="G37" i="5"/>
  <c r="G37" i="10" s="1"/>
  <c r="G85" i="10" s="1"/>
  <c r="B37" i="5"/>
  <c r="B85" i="5" s="1"/>
  <c r="N35" i="5"/>
  <c r="N84" i="5" s="1"/>
  <c r="M35" i="5"/>
  <c r="M35" i="10" s="1"/>
  <c r="M84" i="10" s="1"/>
  <c r="L35" i="5"/>
  <c r="L84" i="5" s="1"/>
  <c r="K35" i="5"/>
  <c r="K84" i="5" s="1"/>
  <c r="J35" i="5"/>
  <c r="J84" i="5" s="1"/>
  <c r="I35" i="5"/>
  <c r="H35" i="5"/>
  <c r="H84" i="5" s="1"/>
  <c r="G35" i="5"/>
  <c r="B35" i="5"/>
  <c r="B35" i="43" s="1"/>
  <c r="B84" i="43" s="1"/>
  <c r="N34" i="5"/>
  <c r="M34" i="5"/>
  <c r="L34" i="5"/>
  <c r="K34" i="5"/>
  <c r="K34" i="10" s="1"/>
  <c r="J34" i="5"/>
  <c r="I34" i="5"/>
  <c r="H34" i="5"/>
  <c r="G34" i="5"/>
  <c r="G34" i="10" s="1"/>
  <c r="B34" i="5"/>
  <c r="N33" i="5"/>
  <c r="M33" i="5"/>
  <c r="M33" i="10" s="1"/>
  <c r="L33" i="5"/>
  <c r="K33" i="5"/>
  <c r="J33" i="5"/>
  <c r="I33" i="5"/>
  <c r="I33" i="10" s="1"/>
  <c r="H33" i="5"/>
  <c r="G33" i="5"/>
  <c r="O33" i="5" s="1"/>
  <c r="B33" i="5"/>
  <c r="N32" i="5"/>
  <c r="M32" i="5"/>
  <c r="L32" i="5"/>
  <c r="K32" i="5"/>
  <c r="K32" i="10" s="1"/>
  <c r="J32" i="5"/>
  <c r="I32" i="5"/>
  <c r="H32" i="5"/>
  <c r="G32" i="5"/>
  <c r="G32" i="10" s="1"/>
  <c r="B32" i="5"/>
  <c r="N31" i="5"/>
  <c r="M31" i="5"/>
  <c r="M31" i="10" s="1"/>
  <c r="L31" i="5"/>
  <c r="K31" i="5"/>
  <c r="J31" i="5"/>
  <c r="I31" i="5"/>
  <c r="I31" i="10" s="1"/>
  <c r="H31" i="5"/>
  <c r="G31" i="5"/>
  <c r="O31" i="5" s="1"/>
  <c r="O86" i="5" s="1"/>
  <c r="B31" i="5"/>
  <c r="N30" i="5"/>
  <c r="M30" i="5"/>
  <c r="L30" i="5"/>
  <c r="K30" i="5"/>
  <c r="K30" i="10" s="1"/>
  <c r="J30" i="5"/>
  <c r="I30" i="5"/>
  <c r="H30" i="5"/>
  <c r="G30" i="5"/>
  <c r="G30" i="10" s="1"/>
  <c r="B30" i="5"/>
  <c r="N29" i="5"/>
  <c r="N83" i="5" s="1"/>
  <c r="M29" i="5"/>
  <c r="L29" i="5"/>
  <c r="L83" i="5" s="1"/>
  <c r="K29" i="5"/>
  <c r="K83" i="5" s="1"/>
  <c r="J29" i="5"/>
  <c r="J83" i="5" s="1"/>
  <c r="I29" i="5"/>
  <c r="H29" i="5"/>
  <c r="H83" i="5" s="1"/>
  <c r="G29" i="5"/>
  <c r="B29" i="5"/>
  <c r="B83" i="5" s="1"/>
  <c r="N28" i="5"/>
  <c r="M28" i="5"/>
  <c r="L28" i="5"/>
  <c r="K28" i="5"/>
  <c r="K28" i="10" s="1"/>
  <c r="J28" i="5"/>
  <c r="I28" i="5"/>
  <c r="H28" i="5"/>
  <c r="G28" i="5"/>
  <c r="G28" i="10" s="1"/>
  <c r="B28" i="5"/>
  <c r="N27" i="5"/>
  <c r="M27" i="5"/>
  <c r="M27" i="10" s="1"/>
  <c r="L27" i="5"/>
  <c r="K27" i="5"/>
  <c r="J27" i="5"/>
  <c r="I27" i="5"/>
  <c r="I27" i="10" s="1"/>
  <c r="H27" i="5"/>
  <c r="G27" i="5"/>
  <c r="B27" i="5"/>
  <c r="N26" i="5"/>
  <c r="M26" i="5"/>
  <c r="L26" i="5"/>
  <c r="K26" i="5"/>
  <c r="K26" i="10" s="1"/>
  <c r="J26" i="5"/>
  <c r="I26" i="5"/>
  <c r="H26" i="5"/>
  <c r="G26" i="5"/>
  <c r="G26" i="10" s="1"/>
  <c r="B26" i="5"/>
  <c r="N25" i="5"/>
  <c r="N82" i="5" s="1"/>
  <c r="M25" i="5"/>
  <c r="L25" i="5"/>
  <c r="L82" i="5" s="1"/>
  <c r="K25" i="5"/>
  <c r="J25" i="5"/>
  <c r="J82" i="5" s="1"/>
  <c r="I25" i="5"/>
  <c r="I25" i="10" s="1"/>
  <c r="I82" i="10" s="1"/>
  <c r="H25" i="5"/>
  <c r="H82" i="5" s="1"/>
  <c r="G25" i="5"/>
  <c r="G82" i="5" s="1"/>
  <c r="B25" i="5"/>
  <c r="B82" i="5" s="1"/>
  <c r="N24" i="5"/>
  <c r="M24" i="5"/>
  <c r="L24" i="5"/>
  <c r="K24" i="5"/>
  <c r="K24" i="10" s="1"/>
  <c r="J24" i="5"/>
  <c r="I24" i="5"/>
  <c r="H24" i="5"/>
  <c r="G24" i="5"/>
  <c r="G24" i="10" s="1"/>
  <c r="B24" i="5"/>
  <c r="N23" i="5"/>
  <c r="N81" i="5" s="1"/>
  <c r="M23" i="5"/>
  <c r="L23" i="5"/>
  <c r="L81" i="5" s="1"/>
  <c r="K23" i="5"/>
  <c r="J23" i="5"/>
  <c r="J81" i="5" s="1"/>
  <c r="I23" i="5"/>
  <c r="H23" i="5"/>
  <c r="H81" i="5" s="1"/>
  <c r="G23" i="5"/>
  <c r="G81" i="5" s="1"/>
  <c r="B23" i="5"/>
  <c r="B81" i="5" s="1"/>
  <c r="N22" i="5"/>
  <c r="M22" i="5"/>
  <c r="L22" i="5"/>
  <c r="K22" i="5"/>
  <c r="K22" i="10" s="1"/>
  <c r="J22" i="5"/>
  <c r="I22" i="5"/>
  <c r="H22" i="5"/>
  <c r="G22" i="5"/>
  <c r="G22" i="10" s="1"/>
  <c r="B22" i="5"/>
  <c r="N21" i="5"/>
  <c r="N80" i="5" s="1"/>
  <c r="M21" i="5"/>
  <c r="M21" i="10" s="1"/>
  <c r="M80" i="10" s="1"/>
  <c r="L21" i="5"/>
  <c r="L80" i="5" s="1"/>
  <c r="K21" i="5"/>
  <c r="K80" i="5" s="1"/>
  <c r="J21" i="5"/>
  <c r="J80" i="5" s="1"/>
  <c r="I21" i="5"/>
  <c r="H21" i="5"/>
  <c r="H80" i="5" s="1"/>
  <c r="G21" i="5"/>
  <c r="B21" i="5"/>
  <c r="B80" i="5" s="1"/>
  <c r="N20" i="5"/>
  <c r="M20" i="5"/>
  <c r="L20" i="5"/>
  <c r="K20" i="5"/>
  <c r="K20" i="10" s="1"/>
  <c r="J20" i="5"/>
  <c r="I20" i="5"/>
  <c r="H20" i="5"/>
  <c r="G20" i="5"/>
  <c r="G20" i="10" s="1"/>
  <c r="B20" i="5"/>
  <c r="N19" i="5"/>
  <c r="M19" i="5"/>
  <c r="M19" i="10" s="1"/>
  <c r="L19" i="5"/>
  <c r="K19" i="5"/>
  <c r="J19" i="5"/>
  <c r="I19" i="5"/>
  <c r="I19" i="10" s="1"/>
  <c r="H19" i="5"/>
  <c r="G19" i="5"/>
  <c r="B19" i="5"/>
  <c r="N18" i="5"/>
  <c r="M18" i="5"/>
  <c r="L18" i="5"/>
  <c r="K18" i="5"/>
  <c r="K18" i="10" s="1"/>
  <c r="J18" i="5"/>
  <c r="I18" i="5"/>
  <c r="H18" i="5"/>
  <c r="G18" i="5"/>
  <c r="G18" i="10" s="1"/>
  <c r="B18" i="5"/>
  <c r="N17" i="5"/>
  <c r="M17" i="5"/>
  <c r="M17" i="10" s="1"/>
  <c r="L17" i="5"/>
  <c r="K17" i="5"/>
  <c r="J17" i="5"/>
  <c r="I17" i="5"/>
  <c r="I17" i="10" s="1"/>
  <c r="H17" i="5"/>
  <c r="G17" i="5"/>
  <c r="O17" i="5" s="1"/>
  <c r="B17" i="5"/>
  <c r="N16" i="5"/>
  <c r="M16" i="5"/>
  <c r="L16" i="5"/>
  <c r="K16" i="5"/>
  <c r="K16" i="10" s="1"/>
  <c r="J16" i="5"/>
  <c r="I16" i="5"/>
  <c r="H16" i="5"/>
  <c r="G16" i="5"/>
  <c r="G16" i="10" s="1"/>
  <c r="B16" i="5"/>
  <c r="N15" i="5"/>
  <c r="M15" i="5"/>
  <c r="M15" i="10" s="1"/>
  <c r="L15" i="5"/>
  <c r="K15" i="5"/>
  <c r="J15" i="5"/>
  <c r="I15" i="5"/>
  <c r="I15" i="10" s="1"/>
  <c r="H15" i="5"/>
  <c r="G15" i="5"/>
  <c r="O15" i="5" s="1"/>
  <c r="B15" i="5"/>
  <c r="N14" i="5"/>
  <c r="M14" i="5"/>
  <c r="L14" i="5"/>
  <c r="K14" i="5"/>
  <c r="K14" i="10" s="1"/>
  <c r="J14" i="5"/>
  <c r="I14" i="5"/>
  <c r="H14" i="5"/>
  <c r="G14" i="5"/>
  <c r="G14" i="10" s="1"/>
  <c r="B14" i="5"/>
  <c r="N13" i="5"/>
  <c r="N79" i="5" s="1"/>
  <c r="M13" i="5"/>
  <c r="L13" i="5"/>
  <c r="L79" i="5" s="1"/>
  <c r="K13" i="5"/>
  <c r="K79" i="5" s="1"/>
  <c r="J13" i="5"/>
  <c r="J79" i="5" s="1"/>
  <c r="I13" i="5"/>
  <c r="H13" i="5"/>
  <c r="H79" i="5" s="1"/>
  <c r="G13" i="5"/>
  <c r="B13" i="5"/>
  <c r="B79" i="5" s="1"/>
  <c r="M12" i="5"/>
  <c r="I12" i="5"/>
  <c r="G12" i="5"/>
  <c r="I11" i="5"/>
  <c r="N9" i="5"/>
  <c r="M9" i="5"/>
  <c r="L9" i="5"/>
  <c r="K9" i="5"/>
  <c r="K9" i="10" s="1"/>
  <c r="J9" i="5"/>
  <c r="I9" i="5"/>
  <c r="H9" i="5"/>
  <c r="G9" i="5"/>
  <c r="G9" i="10" s="1"/>
  <c r="B9" i="5"/>
  <c r="N8" i="5"/>
  <c r="M8" i="5"/>
  <c r="M8" i="10" s="1"/>
  <c r="L8" i="5"/>
  <c r="K8" i="5"/>
  <c r="J8" i="5"/>
  <c r="I8" i="5"/>
  <c r="I8" i="10" s="1"/>
  <c r="H8" i="5"/>
  <c r="G8" i="5"/>
  <c r="O8" i="5" s="1"/>
  <c r="B8" i="5"/>
  <c r="N7" i="5"/>
  <c r="M7" i="5"/>
  <c r="L7" i="5"/>
  <c r="K7" i="5"/>
  <c r="K7" i="10" s="1"/>
  <c r="J7" i="5"/>
  <c r="I7" i="5"/>
  <c r="H7" i="5"/>
  <c r="G7" i="5"/>
  <c r="O7" i="5" s="1"/>
  <c r="B7" i="5"/>
  <c r="N6" i="5"/>
  <c r="M6" i="5"/>
  <c r="M6" i="10" s="1"/>
  <c r="L6" i="5"/>
  <c r="K6" i="5"/>
  <c r="J6" i="5"/>
  <c r="I6" i="5"/>
  <c r="I6" i="10" s="1"/>
  <c r="H6" i="5"/>
  <c r="G6" i="5"/>
  <c r="O6" i="5" s="1"/>
  <c r="B6" i="5"/>
  <c r="N5" i="5"/>
  <c r="AB76" i="21" s="1"/>
  <c r="AB86" i="21" s="1"/>
  <c r="N78" i="15" s="1"/>
  <c r="M5" i="5"/>
  <c r="AA76" i="21" s="1"/>
  <c r="M68" i="15" s="1"/>
  <c r="L5" i="5"/>
  <c r="Z76" i="21" s="1"/>
  <c r="K5" i="5"/>
  <c r="Y76" i="21" s="1"/>
  <c r="J5" i="5"/>
  <c r="X76" i="21" s="1"/>
  <c r="X86" i="21" s="1"/>
  <c r="J78" i="15" s="1"/>
  <c r="I5" i="5"/>
  <c r="W76" i="21" s="1"/>
  <c r="I68" i="15" s="1"/>
  <c r="H5" i="5"/>
  <c r="V76" i="21" s="1"/>
  <c r="H68" i="15" s="1"/>
  <c r="G5" i="5"/>
  <c r="U76" i="21" s="1"/>
  <c r="B5" i="5"/>
  <c r="P76" i="21" s="1"/>
  <c r="P86" i="21" s="1"/>
  <c r="B78" i="15" s="1"/>
  <c r="K4" i="5"/>
  <c r="I4" i="5"/>
  <c r="G4" i="5"/>
  <c r="K3" i="5"/>
  <c r="K76" i="21" s="1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N82" i="4"/>
  <c r="M82" i="4"/>
  <c r="L82" i="4"/>
  <c r="K82" i="4"/>
  <c r="J82" i="4"/>
  <c r="I82" i="4"/>
  <c r="H82" i="4"/>
  <c r="G82" i="4"/>
  <c r="F82" i="4"/>
  <c r="E82" i="4"/>
  <c r="D82" i="4"/>
  <c r="C82" i="4"/>
  <c r="O82" i="4" s="1"/>
  <c r="B82" i="4"/>
  <c r="N81" i="4"/>
  <c r="M81" i="4"/>
  <c r="L81" i="4"/>
  <c r="K81" i="4"/>
  <c r="J81" i="4"/>
  <c r="I81" i="4"/>
  <c r="H81" i="4"/>
  <c r="G81" i="4"/>
  <c r="F81" i="4"/>
  <c r="E81" i="4"/>
  <c r="D81" i="4"/>
  <c r="C81" i="4"/>
  <c r="O81" i="4" s="1"/>
  <c r="B81" i="4"/>
  <c r="N80" i="4"/>
  <c r="M80" i="4"/>
  <c r="L80" i="4"/>
  <c r="K80" i="4"/>
  <c r="J80" i="4"/>
  <c r="I80" i="4"/>
  <c r="H80" i="4"/>
  <c r="G80" i="4"/>
  <c r="F80" i="4"/>
  <c r="E80" i="4"/>
  <c r="D80" i="4"/>
  <c r="C80" i="4"/>
  <c r="O80" i="4" s="1"/>
  <c r="B80" i="4"/>
  <c r="N79" i="4"/>
  <c r="M79" i="4"/>
  <c r="L79" i="4"/>
  <c r="K79" i="4"/>
  <c r="J79" i="4"/>
  <c r="I79" i="4"/>
  <c r="H79" i="4"/>
  <c r="G79" i="4"/>
  <c r="F79" i="4"/>
  <c r="E79" i="4"/>
  <c r="D79" i="4"/>
  <c r="C79" i="4"/>
  <c r="O79" i="4" s="1"/>
  <c r="G100" i="10" s="1"/>
  <c r="B79" i="4"/>
  <c r="O78" i="4"/>
  <c r="G99" i="10" s="1"/>
  <c r="F99" i="10" s="1"/>
  <c r="O77" i="4"/>
  <c r="O76" i="4"/>
  <c r="O75" i="4"/>
  <c r="O74" i="4"/>
  <c r="O73" i="4" s="1"/>
  <c r="N73" i="4"/>
  <c r="N12" i="4" s="1"/>
  <c r="N11" i="4" s="1"/>
  <c r="N10" i="4" s="1"/>
  <c r="N27" i="41" s="1"/>
  <c r="M73" i="4"/>
  <c r="L73" i="4"/>
  <c r="K73" i="4"/>
  <c r="J73" i="4"/>
  <c r="J12" i="4" s="1"/>
  <c r="J11" i="4" s="1"/>
  <c r="J10" i="4" s="1"/>
  <c r="J27" i="41" s="1"/>
  <c r="I73" i="4"/>
  <c r="H73" i="4"/>
  <c r="G73" i="4"/>
  <c r="F73" i="4"/>
  <c r="E73" i="4"/>
  <c r="D73" i="4"/>
  <c r="C73" i="4"/>
  <c r="B73" i="4"/>
  <c r="B12" i="4" s="1"/>
  <c r="B11" i="4" s="1"/>
  <c r="B10" i="4" s="1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5" i="4"/>
  <c r="O44" i="4"/>
  <c r="O43" i="4"/>
  <c r="O42" i="4"/>
  <c r="O41" i="4"/>
  <c r="O40" i="4"/>
  <c r="O39" i="4"/>
  <c r="O38" i="4"/>
  <c r="O37" i="4"/>
  <c r="I36" i="4"/>
  <c r="I46" i="4" s="1"/>
  <c r="I82" i="16" s="1"/>
  <c r="O35" i="4"/>
  <c r="O34" i="4"/>
  <c r="O33" i="4"/>
  <c r="O32" i="4"/>
  <c r="O31" i="4"/>
  <c r="O30" i="4"/>
  <c r="O29" i="4"/>
  <c r="O83" i="4" s="1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M12" i="4"/>
  <c r="M11" i="4" s="1"/>
  <c r="M10" i="4" s="1"/>
  <c r="M27" i="41" s="1"/>
  <c r="L12" i="4"/>
  <c r="K12" i="4"/>
  <c r="I12" i="4"/>
  <c r="I11" i="4" s="1"/>
  <c r="I10" i="4" s="1"/>
  <c r="I27" i="41" s="1"/>
  <c r="H12" i="4"/>
  <c r="H11" i="4" s="1"/>
  <c r="H10" i="4" s="1"/>
  <c r="H27" i="41" s="1"/>
  <c r="G12" i="4"/>
  <c r="L11" i="4"/>
  <c r="L10" i="4" s="1"/>
  <c r="L27" i="41" s="1"/>
  <c r="K11" i="4"/>
  <c r="K10" i="4" s="1"/>
  <c r="K27" i="41" s="1"/>
  <c r="G11" i="4"/>
  <c r="G10" i="4" s="1"/>
  <c r="O9" i="4"/>
  <c r="O8" i="4"/>
  <c r="O7" i="4"/>
  <c r="O6" i="4"/>
  <c r="O5" i="4"/>
  <c r="N4" i="4"/>
  <c r="M4" i="4"/>
  <c r="L4" i="4"/>
  <c r="L3" i="4" s="1"/>
  <c r="K4" i="4"/>
  <c r="J4" i="4"/>
  <c r="I4" i="4"/>
  <c r="H4" i="4"/>
  <c r="H3" i="4" s="1"/>
  <c r="G4" i="4"/>
  <c r="O4" i="4" s="1"/>
  <c r="B4" i="4"/>
  <c r="N3" i="4"/>
  <c r="N75" i="21" s="1"/>
  <c r="M3" i="4"/>
  <c r="M75" i="21" s="1"/>
  <c r="K3" i="4"/>
  <c r="J3" i="4"/>
  <c r="J75" i="21" s="1"/>
  <c r="I3" i="4"/>
  <c r="I75" i="21" s="1"/>
  <c r="G3" i="4"/>
  <c r="G75" i="21" s="1"/>
  <c r="B3" i="4"/>
  <c r="B75" i="21" s="1"/>
  <c r="M91" i="3"/>
  <c r="M89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N82" i="3"/>
  <c r="M82" i="3"/>
  <c r="L82" i="3"/>
  <c r="K82" i="3"/>
  <c r="J82" i="3"/>
  <c r="I82" i="3"/>
  <c r="H82" i="3"/>
  <c r="G82" i="3"/>
  <c r="F82" i="3"/>
  <c r="E82" i="3"/>
  <c r="D82" i="3"/>
  <c r="C82" i="3"/>
  <c r="O82" i="3" s="1"/>
  <c r="B82" i="3"/>
  <c r="N81" i="3"/>
  <c r="M81" i="3"/>
  <c r="L81" i="3"/>
  <c r="K81" i="3"/>
  <c r="J81" i="3"/>
  <c r="I81" i="3"/>
  <c r="H81" i="3"/>
  <c r="G81" i="3"/>
  <c r="F81" i="3"/>
  <c r="E81" i="3"/>
  <c r="D81" i="3"/>
  <c r="C81" i="3"/>
  <c r="O81" i="3" s="1"/>
  <c r="B81" i="3"/>
  <c r="N80" i="3"/>
  <c r="M80" i="3"/>
  <c r="L80" i="3"/>
  <c r="K80" i="3"/>
  <c r="J80" i="3"/>
  <c r="I80" i="3"/>
  <c r="H80" i="3"/>
  <c r="G80" i="3"/>
  <c r="F80" i="3"/>
  <c r="E80" i="3"/>
  <c r="D80" i="3"/>
  <c r="C80" i="3"/>
  <c r="O80" i="3" s="1"/>
  <c r="B80" i="3"/>
  <c r="N79" i="3"/>
  <c r="M79" i="3"/>
  <c r="L79" i="3"/>
  <c r="K79" i="3"/>
  <c r="J79" i="3"/>
  <c r="I79" i="3"/>
  <c r="H79" i="3"/>
  <c r="G79" i="3"/>
  <c r="F79" i="3"/>
  <c r="E79" i="3"/>
  <c r="D79" i="3"/>
  <c r="C79" i="3"/>
  <c r="O79" i="3" s="1"/>
  <c r="B79" i="3"/>
  <c r="O78" i="3"/>
  <c r="O77" i="3"/>
  <c r="O76" i="3"/>
  <c r="O75" i="3"/>
  <c r="O74" i="3"/>
  <c r="O73" i="3" s="1"/>
  <c r="N73" i="3"/>
  <c r="N12" i="3" s="1"/>
  <c r="N11" i="3" s="1"/>
  <c r="N10" i="3" s="1"/>
  <c r="N26" i="41" s="1"/>
  <c r="M73" i="3"/>
  <c r="L73" i="3"/>
  <c r="K73" i="3"/>
  <c r="J73" i="3"/>
  <c r="J12" i="3" s="1"/>
  <c r="J11" i="3" s="1"/>
  <c r="J10" i="3" s="1"/>
  <c r="J26" i="41" s="1"/>
  <c r="I73" i="3"/>
  <c r="H73" i="3"/>
  <c r="G73" i="3"/>
  <c r="F73" i="3"/>
  <c r="E73" i="3"/>
  <c r="D73" i="3"/>
  <c r="C73" i="3"/>
  <c r="B73" i="3"/>
  <c r="B12" i="3" s="1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5" i="3"/>
  <c r="O44" i="3"/>
  <c r="O43" i="3"/>
  <c r="O42" i="3"/>
  <c r="O41" i="3"/>
  <c r="O40" i="3"/>
  <c r="O39" i="3"/>
  <c r="O38" i="3"/>
  <c r="O37" i="3"/>
  <c r="I36" i="3"/>
  <c r="I46" i="3" s="1"/>
  <c r="I81" i="16" s="1"/>
  <c r="O35" i="3"/>
  <c r="O34" i="3"/>
  <c r="O33" i="3"/>
  <c r="O32" i="3"/>
  <c r="O31" i="3"/>
  <c r="O30" i="3"/>
  <c r="O29" i="3"/>
  <c r="O83" i="3" s="1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M12" i="3"/>
  <c r="L12" i="3"/>
  <c r="K12" i="3"/>
  <c r="K11" i="3" s="1"/>
  <c r="K10" i="3" s="1"/>
  <c r="K26" i="41" s="1"/>
  <c r="I12" i="3"/>
  <c r="H12" i="3"/>
  <c r="G12" i="3"/>
  <c r="G11" i="3" s="1"/>
  <c r="M11" i="3"/>
  <c r="M10" i="3" s="1"/>
  <c r="M26" i="41" s="1"/>
  <c r="L11" i="3"/>
  <c r="L10" i="3" s="1"/>
  <c r="L26" i="41" s="1"/>
  <c r="I11" i="3"/>
  <c r="I10" i="3" s="1"/>
  <c r="I26" i="41" s="1"/>
  <c r="H11" i="3"/>
  <c r="B11" i="3"/>
  <c r="B10" i="3" s="1"/>
  <c r="H10" i="3"/>
  <c r="O9" i="3"/>
  <c r="O8" i="3"/>
  <c r="O7" i="3"/>
  <c r="O6" i="3"/>
  <c r="O5" i="3"/>
  <c r="N4" i="3"/>
  <c r="N3" i="3" s="1"/>
  <c r="M4" i="3"/>
  <c r="M3" i="3" s="1"/>
  <c r="L4" i="3"/>
  <c r="K4" i="3"/>
  <c r="J4" i="3"/>
  <c r="J3" i="3" s="1"/>
  <c r="I4" i="3"/>
  <c r="H4" i="3"/>
  <c r="G4" i="3"/>
  <c r="O4" i="3" s="1"/>
  <c r="B4" i="3"/>
  <c r="B3" i="3" s="1"/>
  <c r="L3" i="3"/>
  <c r="L74" i="21" s="1"/>
  <c r="K3" i="3"/>
  <c r="I3" i="3"/>
  <c r="I74" i="21" s="1"/>
  <c r="H3" i="3"/>
  <c r="H74" i="21" s="1"/>
  <c r="M91" i="2"/>
  <c r="M89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N81" i="2"/>
  <c r="M81" i="2"/>
  <c r="L81" i="2"/>
  <c r="K81" i="2"/>
  <c r="J81" i="2"/>
  <c r="I81" i="2"/>
  <c r="H81" i="2"/>
  <c r="G81" i="2"/>
  <c r="F81" i="2"/>
  <c r="E81" i="2"/>
  <c r="D81" i="2"/>
  <c r="C81" i="2"/>
  <c r="O81" i="2" s="1"/>
  <c r="B81" i="2"/>
  <c r="N80" i="2"/>
  <c r="M80" i="2"/>
  <c r="L80" i="2"/>
  <c r="K80" i="2"/>
  <c r="J80" i="2"/>
  <c r="I80" i="2"/>
  <c r="H80" i="2"/>
  <c r="G80" i="2"/>
  <c r="F80" i="2"/>
  <c r="E80" i="2"/>
  <c r="D80" i="2"/>
  <c r="C80" i="2"/>
  <c r="O80" i="2" s="1"/>
  <c r="B80" i="2"/>
  <c r="N79" i="2"/>
  <c r="M79" i="2"/>
  <c r="L79" i="2"/>
  <c r="K79" i="2"/>
  <c r="J79" i="2"/>
  <c r="I79" i="2"/>
  <c r="H79" i="2"/>
  <c r="G79" i="2"/>
  <c r="F79" i="2"/>
  <c r="E79" i="2"/>
  <c r="D79" i="2"/>
  <c r="C79" i="2"/>
  <c r="O79" i="2" s="1"/>
  <c r="B79" i="2"/>
  <c r="O78" i="2"/>
  <c r="O77" i="2"/>
  <c r="O76" i="2"/>
  <c r="O75" i="2"/>
  <c r="O74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5" i="2"/>
  <c r="O44" i="2"/>
  <c r="O43" i="2"/>
  <c r="O42" i="2"/>
  <c r="O41" i="2"/>
  <c r="O40" i="2"/>
  <c r="O39" i="2"/>
  <c r="O38" i="2"/>
  <c r="O37" i="2"/>
  <c r="G36" i="2"/>
  <c r="G46" i="2" s="1"/>
  <c r="O35" i="2"/>
  <c r="O34" i="2"/>
  <c r="O33" i="2"/>
  <c r="O32" i="2"/>
  <c r="O31" i="2"/>
  <c r="O86" i="2" s="1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N12" i="2"/>
  <c r="N11" i="2" s="1"/>
  <c r="M12" i="2"/>
  <c r="M11" i="2" s="1"/>
  <c r="M10" i="2" s="1"/>
  <c r="M25" i="41" s="1"/>
  <c r="L12" i="2"/>
  <c r="K12" i="2"/>
  <c r="J12" i="2"/>
  <c r="I12" i="2"/>
  <c r="I11" i="2" s="1"/>
  <c r="I10" i="2" s="1"/>
  <c r="I25" i="41" s="1"/>
  <c r="H12" i="2"/>
  <c r="G12" i="2"/>
  <c r="B12" i="2"/>
  <c r="B11" i="2" s="1"/>
  <c r="L11" i="2"/>
  <c r="K11" i="2"/>
  <c r="K10" i="2" s="1"/>
  <c r="K25" i="41" s="1"/>
  <c r="H11" i="2"/>
  <c r="G11" i="2"/>
  <c r="G10" i="2" s="1"/>
  <c r="L10" i="2"/>
  <c r="L25" i="41" s="1"/>
  <c r="H10" i="2"/>
  <c r="H25" i="41" s="1"/>
  <c r="B10" i="2"/>
  <c r="O9" i="2"/>
  <c r="O8" i="2"/>
  <c r="O7" i="2"/>
  <c r="O6" i="2"/>
  <c r="O5" i="2"/>
  <c r="N4" i="2"/>
  <c r="M4" i="2"/>
  <c r="M3" i="2" s="1"/>
  <c r="L4" i="2"/>
  <c r="L3" i="2" s="1"/>
  <c r="K4" i="2"/>
  <c r="J4" i="2"/>
  <c r="I4" i="2"/>
  <c r="I3" i="2" s="1"/>
  <c r="O3" i="2" s="1"/>
  <c r="H4" i="2"/>
  <c r="H3" i="2" s="1"/>
  <c r="G4" i="2"/>
  <c r="B4" i="2"/>
  <c r="N3" i="2"/>
  <c r="N73" i="21" s="1"/>
  <c r="K3" i="2"/>
  <c r="K73" i="21" s="1"/>
  <c r="J3" i="2"/>
  <c r="J73" i="21" s="1"/>
  <c r="G3" i="2"/>
  <c r="G73" i="21" s="1"/>
  <c r="B3" i="2"/>
  <c r="B73" i="21" s="1"/>
  <c r="M91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N80" i="1"/>
  <c r="M80" i="1"/>
  <c r="L80" i="1"/>
  <c r="K80" i="1"/>
  <c r="J80" i="1"/>
  <c r="I80" i="1"/>
  <c r="H80" i="1"/>
  <c r="G80" i="1"/>
  <c r="F80" i="1"/>
  <c r="E80" i="1"/>
  <c r="D80" i="1"/>
  <c r="C80" i="1"/>
  <c r="O80" i="1" s="1"/>
  <c r="B80" i="1"/>
  <c r="N79" i="1"/>
  <c r="M79" i="1"/>
  <c r="L79" i="1"/>
  <c r="K79" i="1"/>
  <c r="J79" i="1"/>
  <c r="I79" i="1"/>
  <c r="H79" i="1"/>
  <c r="G79" i="1"/>
  <c r="F79" i="1"/>
  <c r="E79" i="1"/>
  <c r="D79" i="1"/>
  <c r="C79" i="1"/>
  <c r="O79" i="1" s="1"/>
  <c r="B79" i="1"/>
  <c r="O78" i="1"/>
  <c r="O77" i="1"/>
  <c r="O76" i="1"/>
  <c r="O75" i="1"/>
  <c r="O73" i="1" s="1"/>
  <c r="O74" i="1"/>
  <c r="N73" i="1"/>
  <c r="M73" i="1"/>
  <c r="M12" i="1" s="1"/>
  <c r="L73" i="1"/>
  <c r="K73" i="1"/>
  <c r="J73" i="1"/>
  <c r="I73" i="1"/>
  <c r="I12" i="1" s="1"/>
  <c r="H73" i="1"/>
  <c r="G73" i="1"/>
  <c r="F73" i="1"/>
  <c r="E73" i="1"/>
  <c r="D73" i="1"/>
  <c r="C73" i="1"/>
  <c r="B73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B46" i="1"/>
  <c r="O45" i="1"/>
  <c r="O44" i="1"/>
  <c r="O43" i="1"/>
  <c r="O42" i="1"/>
  <c r="O41" i="1"/>
  <c r="O40" i="1"/>
  <c r="O39" i="1"/>
  <c r="O38" i="1"/>
  <c r="O37" i="1"/>
  <c r="B36" i="1"/>
  <c r="O35" i="1"/>
  <c r="O34" i="1"/>
  <c r="O33" i="1"/>
  <c r="O32" i="1"/>
  <c r="O31" i="1"/>
  <c r="O86" i="1" s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N12" i="1"/>
  <c r="N11" i="1" s="1"/>
  <c r="L12" i="1"/>
  <c r="K12" i="1"/>
  <c r="J12" i="1"/>
  <c r="J11" i="1" s="1"/>
  <c r="H12" i="1"/>
  <c r="G12" i="1"/>
  <c r="B12" i="1"/>
  <c r="B11" i="1" s="1"/>
  <c r="L11" i="1"/>
  <c r="L10" i="1" s="1"/>
  <c r="H11" i="1"/>
  <c r="H10" i="1" s="1"/>
  <c r="H24" i="41" s="1"/>
  <c r="G11" i="1"/>
  <c r="N10" i="1"/>
  <c r="N24" i="41" s="1"/>
  <c r="J10" i="1"/>
  <c r="J24" i="41" s="1"/>
  <c r="B10" i="1"/>
  <c r="O9" i="1"/>
  <c r="O8" i="1"/>
  <c r="O7" i="1"/>
  <c r="O6" i="1"/>
  <c r="O5" i="1"/>
  <c r="N4" i="1"/>
  <c r="M4" i="1"/>
  <c r="M3" i="1" s="1"/>
  <c r="M72" i="21" s="1"/>
  <c r="L4" i="1"/>
  <c r="L3" i="1" s="1"/>
  <c r="L36" i="1" s="1"/>
  <c r="K4" i="1"/>
  <c r="J4" i="1"/>
  <c r="I4" i="1"/>
  <c r="I3" i="1" s="1"/>
  <c r="I72" i="21" s="1"/>
  <c r="H4" i="1"/>
  <c r="G4" i="1"/>
  <c r="B4" i="1"/>
  <c r="N3" i="1"/>
  <c r="K3" i="1"/>
  <c r="J3" i="1"/>
  <c r="J72" i="21" s="1"/>
  <c r="H3" i="1"/>
  <c r="G3" i="1"/>
  <c r="B3" i="1"/>
  <c r="B72" i="21" s="1"/>
  <c r="F110" i="10"/>
  <c r="G109" i="10"/>
  <c r="F107" i="10"/>
  <c r="F106" i="10"/>
  <c r="F105" i="10"/>
  <c r="F104" i="10"/>
  <c r="F103" i="10"/>
  <c r="I100" i="10"/>
  <c r="I99" i="10"/>
  <c r="H99" i="10"/>
  <c r="I98" i="10"/>
  <c r="F98" i="10" s="1"/>
  <c r="H98" i="10"/>
  <c r="G98" i="10"/>
  <c r="I97" i="10"/>
  <c r="G97" i="10"/>
  <c r="F97" i="10" s="1"/>
  <c r="H96" i="10"/>
  <c r="G96" i="10"/>
  <c r="G94" i="10"/>
  <c r="G93" i="10"/>
  <c r="I92" i="10"/>
  <c r="H92" i="10"/>
  <c r="G92" i="10"/>
  <c r="B92" i="10"/>
  <c r="N86" i="10"/>
  <c r="H86" i="10"/>
  <c r="D86" i="10"/>
  <c r="C86" i="10"/>
  <c r="L85" i="10"/>
  <c r="F85" i="10"/>
  <c r="B85" i="10"/>
  <c r="K84" i="10"/>
  <c r="J84" i="10"/>
  <c r="F84" i="10"/>
  <c r="N83" i="10"/>
  <c r="B83" i="10"/>
  <c r="K82" i="10"/>
  <c r="G82" i="10"/>
  <c r="F82" i="10"/>
  <c r="B82" i="10"/>
  <c r="N81" i="10"/>
  <c r="J81" i="10"/>
  <c r="N80" i="10"/>
  <c r="L80" i="10"/>
  <c r="G80" i="10"/>
  <c r="C80" i="10"/>
  <c r="B80" i="10"/>
  <c r="J79" i="10"/>
  <c r="F79" i="10"/>
  <c r="E79" i="10"/>
  <c r="Q78" i="10"/>
  <c r="Q73" i="10" s="1"/>
  <c r="Q10" i="10" s="1"/>
  <c r="N78" i="10"/>
  <c r="L78" i="10"/>
  <c r="K78" i="10"/>
  <c r="J78" i="10"/>
  <c r="H78" i="10"/>
  <c r="G78" i="10"/>
  <c r="F78" i="10"/>
  <c r="D78" i="10"/>
  <c r="C78" i="10"/>
  <c r="B78" i="10"/>
  <c r="N77" i="10"/>
  <c r="M77" i="10"/>
  <c r="L77" i="10"/>
  <c r="J77" i="10"/>
  <c r="I77" i="10"/>
  <c r="H77" i="10"/>
  <c r="F77" i="10"/>
  <c r="E77" i="10"/>
  <c r="D77" i="10"/>
  <c r="B77" i="10"/>
  <c r="O76" i="10"/>
  <c r="N76" i="10"/>
  <c r="L76" i="10"/>
  <c r="K76" i="10"/>
  <c r="J76" i="10"/>
  <c r="H76" i="10"/>
  <c r="G76" i="10"/>
  <c r="F76" i="10"/>
  <c r="D76" i="10"/>
  <c r="C76" i="10"/>
  <c r="B76" i="10"/>
  <c r="N75" i="10"/>
  <c r="M75" i="10"/>
  <c r="L75" i="10"/>
  <c r="J75" i="10"/>
  <c r="I75" i="10"/>
  <c r="H75" i="10"/>
  <c r="F75" i="10"/>
  <c r="F73" i="10" s="1"/>
  <c r="E75" i="10"/>
  <c r="D75" i="10"/>
  <c r="B75" i="10"/>
  <c r="B73" i="10" s="1"/>
  <c r="N74" i="10"/>
  <c r="L74" i="10"/>
  <c r="L73" i="10" s="1"/>
  <c r="K74" i="10"/>
  <c r="J74" i="10"/>
  <c r="H74" i="10"/>
  <c r="G74" i="10"/>
  <c r="F74" i="10"/>
  <c r="D74" i="10"/>
  <c r="C74" i="10"/>
  <c r="B74" i="10"/>
  <c r="N73" i="10"/>
  <c r="J73" i="10"/>
  <c r="H73" i="10"/>
  <c r="D73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O65" i="10" s="1"/>
  <c r="N64" i="10"/>
  <c r="M64" i="10"/>
  <c r="L64" i="10"/>
  <c r="K64" i="10"/>
  <c r="J64" i="10"/>
  <c r="I64" i="10"/>
  <c r="H64" i="10"/>
  <c r="G64" i="10"/>
  <c r="F64" i="10"/>
  <c r="E64" i="10"/>
  <c r="D64" i="10"/>
  <c r="C64" i="10"/>
  <c r="O64" i="10" s="1"/>
  <c r="N63" i="10"/>
  <c r="M63" i="10"/>
  <c r="L63" i="10"/>
  <c r="K63" i="10"/>
  <c r="J63" i="10"/>
  <c r="I63" i="10"/>
  <c r="H63" i="10"/>
  <c r="G63" i="10"/>
  <c r="F63" i="10"/>
  <c r="E63" i="10"/>
  <c r="D63" i="10"/>
  <c r="C63" i="10"/>
  <c r="O63" i="10" s="1"/>
  <c r="N62" i="10"/>
  <c r="M62" i="10"/>
  <c r="L62" i="10"/>
  <c r="K62" i="10"/>
  <c r="J62" i="10"/>
  <c r="I62" i="10"/>
  <c r="H62" i="10"/>
  <c r="G62" i="10"/>
  <c r="F62" i="10"/>
  <c r="E62" i="10"/>
  <c r="D62" i="10"/>
  <c r="C62" i="10"/>
  <c r="O62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O61" i="10" s="1"/>
  <c r="N60" i="10"/>
  <c r="M60" i="10"/>
  <c r="L60" i="10"/>
  <c r="K60" i="10"/>
  <c r="J60" i="10"/>
  <c r="I60" i="10"/>
  <c r="H60" i="10"/>
  <c r="G60" i="10"/>
  <c r="F60" i="10"/>
  <c r="E60" i="10"/>
  <c r="D60" i="10"/>
  <c r="C60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O59" i="10" s="1"/>
  <c r="N58" i="10"/>
  <c r="M58" i="10"/>
  <c r="L58" i="10"/>
  <c r="K58" i="10"/>
  <c r="J58" i="10"/>
  <c r="I58" i="10"/>
  <c r="H58" i="10"/>
  <c r="G58" i="10"/>
  <c r="F58" i="10"/>
  <c r="E58" i="10"/>
  <c r="D58" i="10"/>
  <c r="C58" i="10"/>
  <c r="O58" i="10" s="1"/>
  <c r="N57" i="10"/>
  <c r="M57" i="10"/>
  <c r="L57" i="10"/>
  <c r="K57" i="10"/>
  <c r="J57" i="10"/>
  <c r="I57" i="10"/>
  <c r="H57" i="10"/>
  <c r="G57" i="10"/>
  <c r="F57" i="10"/>
  <c r="E57" i="10"/>
  <c r="D57" i="10"/>
  <c r="C57" i="10"/>
  <c r="O57" i="10" s="1"/>
  <c r="N56" i="10"/>
  <c r="M56" i="10"/>
  <c r="L56" i="10"/>
  <c r="K56" i="10"/>
  <c r="J56" i="10"/>
  <c r="I56" i="10"/>
  <c r="H56" i="10"/>
  <c r="G56" i="10"/>
  <c r="F56" i="10"/>
  <c r="E56" i="10"/>
  <c r="D56" i="10"/>
  <c r="C56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O55" i="10" s="1"/>
  <c r="N54" i="10"/>
  <c r="M54" i="10"/>
  <c r="L54" i="10"/>
  <c r="K54" i="10"/>
  <c r="J54" i="10"/>
  <c r="I54" i="10"/>
  <c r="H54" i="10"/>
  <c r="G54" i="10"/>
  <c r="F54" i="10"/>
  <c r="E54" i="10"/>
  <c r="D54" i="10"/>
  <c r="C54" i="10"/>
  <c r="O54" i="10" s="1"/>
  <c r="N53" i="10"/>
  <c r="M53" i="10"/>
  <c r="L53" i="10"/>
  <c r="K53" i="10"/>
  <c r="J53" i="10"/>
  <c r="I53" i="10"/>
  <c r="H53" i="10"/>
  <c r="G53" i="10"/>
  <c r="F53" i="10"/>
  <c r="E53" i="10"/>
  <c r="D53" i="10"/>
  <c r="C53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O50" i="10" s="1"/>
  <c r="N49" i="10"/>
  <c r="M49" i="10"/>
  <c r="L49" i="10"/>
  <c r="K49" i="10"/>
  <c r="J49" i="10"/>
  <c r="I49" i="10"/>
  <c r="H49" i="10"/>
  <c r="G49" i="10"/>
  <c r="F49" i="10"/>
  <c r="E49" i="10"/>
  <c r="D49" i="10"/>
  <c r="C49" i="10"/>
  <c r="O49" i="10" s="1"/>
  <c r="N48" i="10"/>
  <c r="L48" i="10"/>
  <c r="J48" i="10"/>
  <c r="H48" i="10"/>
  <c r="F48" i="10"/>
  <c r="E48" i="10"/>
  <c r="D48" i="10"/>
  <c r="C48" i="10"/>
  <c r="B48" i="10"/>
  <c r="O47" i="10"/>
  <c r="N47" i="10"/>
  <c r="L47" i="10"/>
  <c r="J47" i="10"/>
  <c r="H47" i="10"/>
  <c r="F47" i="10"/>
  <c r="E47" i="10"/>
  <c r="D47" i="10"/>
  <c r="C47" i="10"/>
  <c r="B47" i="10"/>
  <c r="F46" i="10"/>
  <c r="E46" i="10"/>
  <c r="D46" i="10"/>
  <c r="C46" i="10"/>
  <c r="N45" i="10"/>
  <c r="L45" i="10"/>
  <c r="J45" i="10"/>
  <c r="H45" i="10"/>
  <c r="F45" i="10"/>
  <c r="E45" i="10"/>
  <c r="D45" i="10"/>
  <c r="C45" i="10"/>
  <c r="B45" i="10"/>
  <c r="N44" i="10"/>
  <c r="M44" i="10"/>
  <c r="L44" i="10"/>
  <c r="J44" i="10"/>
  <c r="I44" i="10"/>
  <c r="H44" i="10"/>
  <c r="F44" i="10"/>
  <c r="E44" i="10"/>
  <c r="D44" i="10"/>
  <c r="C44" i="10"/>
  <c r="O44" i="10" s="1"/>
  <c r="B44" i="10"/>
  <c r="N43" i="10"/>
  <c r="L43" i="10"/>
  <c r="J43" i="10"/>
  <c r="I43" i="10"/>
  <c r="H43" i="10"/>
  <c r="F43" i="10"/>
  <c r="E43" i="10"/>
  <c r="D43" i="10"/>
  <c r="C43" i="10"/>
  <c r="B43" i="10"/>
  <c r="N42" i="10"/>
  <c r="L42" i="10"/>
  <c r="L86" i="10" s="1"/>
  <c r="K42" i="10"/>
  <c r="K86" i="10" s="1"/>
  <c r="J42" i="10"/>
  <c r="J86" i="10" s="1"/>
  <c r="H42" i="10"/>
  <c r="G42" i="10"/>
  <c r="G86" i="10" s="1"/>
  <c r="F42" i="10"/>
  <c r="F86" i="10" s="1"/>
  <c r="E42" i="10"/>
  <c r="E86" i="10" s="1"/>
  <c r="D42" i="10"/>
  <c r="C42" i="10"/>
  <c r="B42" i="10"/>
  <c r="B86" i="10" s="1"/>
  <c r="N41" i="10"/>
  <c r="M41" i="10"/>
  <c r="L41" i="10"/>
  <c r="J41" i="10"/>
  <c r="I41" i="10"/>
  <c r="H41" i="10"/>
  <c r="F41" i="10"/>
  <c r="E41" i="10"/>
  <c r="D41" i="10"/>
  <c r="C41" i="10"/>
  <c r="B41" i="10"/>
  <c r="N40" i="10"/>
  <c r="L40" i="10"/>
  <c r="K40" i="10"/>
  <c r="J40" i="10"/>
  <c r="H40" i="10"/>
  <c r="G40" i="10"/>
  <c r="F40" i="10"/>
  <c r="E40" i="10"/>
  <c r="D40" i="10"/>
  <c r="C40" i="10"/>
  <c r="B40" i="10"/>
  <c r="N39" i="10"/>
  <c r="M39" i="10"/>
  <c r="L39" i="10"/>
  <c r="J39" i="10"/>
  <c r="I39" i="10"/>
  <c r="H39" i="10"/>
  <c r="F39" i="10"/>
  <c r="E39" i="10"/>
  <c r="D39" i="10"/>
  <c r="C39" i="10"/>
  <c r="O39" i="10" s="1"/>
  <c r="B39" i="10"/>
  <c r="N38" i="10"/>
  <c r="L38" i="10"/>
  <c r="K38" i="10"/>
  <c r="J38" i="10"/>
  <c r="H38" i="10"/>
  <c r="G38" i="10"/>
  <c r="F38" i="10"/>
  <c r="E38" i="10"/>
  <c r="D38" i="10"/>
  <c r="C38" i="10"/>
  <c r="B38" i="10"/>
  <c r="N37" i="10"/>
  <c r="N85" i="10" s="1"/>
  <c r="M37" i="10"/>
  <c r="M85" i="10" s="1"/>
  <c r="L37" i="10"/>
  <c r="J37" i="10"/>
  <c r="J85" i="10" s="1"/>
  <c r="I37" i="10"/>
  <c r="I85" i="10" s="1"/>
  <c r="H37" i="10"/>
  <c r="H85" i="10" s="1"/>
  <c r="F37" i="10"/>
  <c r="E37" i="10"/>
  <c r="E85" i="10" s="1"/>
  <c r="D37" i="10"/>
  <c r="D85" i="10" s="1"/>
  <c r="C37" i="10"/>
  <c r="C85" i="10" s="1"/>
  <c r="B37" i="10"/>
  <c r="F36" i="10"/>
  <c r="E36" i="10"/>
  <c r="D36" i="10"/>
  <c r="C36" i="10"/>
  <c r="N35" i="10"/>
  <c r="N84" i="10" s="1"/>
  <c r="L35" i="10"/>
  <c r="L84" i="10" s="1"/>
  <c r="K35" i="10"/>
  <c r="J35" i="10"/>
  <c r="H35" i="10"/>
  <c r="H84" i="10" s="1"/>
  <c r="G35" i="10"/>
  <c r="G84" i="10" s="1"/>
  <c r="F35" i="10"/>
  <c r="E35" i="10"/>
  <c r="E84" i="10" s="1"/>
  <c r="D35" i="10"/>
  <c r="D84" i="10" s="1"/>
  <c r="C35" i="10"/>
  <c r="C84" i="10" s="1"/>
  <c r="B35" i="10"/>
  <c r="B84" i="10" s="1"/>
  <c r="N34" i="10"/>
  <c r="M34" i="10"/>
  <c r="L34" i="10"/>
  <c r="J34" i="10"/>
  <c r="I34" i="10"/>
  <c r="H34" i="10"/>
  <c r="F34" i="10"/>
  <c r="E34" i="10"/>
  <c r="D34" i="10"/>
  <c r="C34" i="10"/>
  <c r="B34" i="10"/>
  <c r="N33" i="10"/>
  <c r="L33" i="10"/>
  <c r="K33" i="10"/>
  <c r="J33" i="10"/>
  <c r="H33" i="10"/>
  <c r="G33" i="10"/>
  <c r="F33" i="10"/>
  <c r="E33" i="10"/>
  <c r="D33" i="10"/>
  <c r="C33" i="10"/>
  <c r="B33" i="10"/>
  <c r="N32" i="10"/>
  <c r="M32" i="10"/>
  <c r="L32" i="10"/>
  <c r="J32" i="10"/>
  <c r="I32" i="10"/>
  <c r="H32" i="10"/>
  <c r="F32" i="10"/>
  <c r="E32" i="10"/>
  <c r="D32" i="10"/>
  <c r="C32" i="10"/>
  <c r="B32" i="10"/>
  <c r="N31" i="10"/>
  <c r="L31" i="10"/>
  <c r="K31" i="10"/>
  <c r="J31" i="10"/>
  <c r="H31" i="10"/>
  <c r="G31" i="10"/>
  <c r="F31" i="10"/>
  <c r="E31" i="10"/>
  <c r="D31" i="10"/>
  <c r="C31" i="10"/>
  <c r="O31" i="10" s="1"/>
  <c r="B31" i="10"/>
  <c r="N30" i="10"/>
  <c r="M30" i="10"/>
  <c r="L30" i="10"/>
  <c r="J30" i="10"/>
  <c r="I30" i="10"/>
  <c r="H30" i="10"/>
  <c r="F30" i="10"/>
  <c r="E30" i="10"/>
  <c r="D30" i="10"/>
  <c r="C30" i="10"/>
  <c r="B30" i="10"/>
  <c r="N29" i="10"/>
  <c r="L29" i="10"/>
  <c r="L83" i="10" s="1"/>
  <c r="K29" i="10"/>
  <c r="K83" i="10" s="1"/>
  <c r="J29" i="10"/>
  <c r="J83" i="10" s="1"/>
  <c r="H29" i="10"/>
  <c r="H83" i="10" s="1"/>
  <c r="G29" i="10"/>
  <c r="G83" i="10" s="1"/>
  <c r="F29" i="10"/>
  <c r="F83" i="10" s="1"/>
  <c r="E29" i="10"/>
  <c r="E83" i="10" s="1"/>
  <c r="D29" i="10"/>
  <c r="D83" i="10" s="1"/>
  <c r="C29" i="10"/>
  <c r="C83" i="10" s="1"/>
  <c r="B29" i="10"/>
  <c r="N28" i="10"/>
  <c r="M28" i="10"/>
  <c r="L28" i="10"/>
  <c r="J28" i="10"/>
  <c r="I28" i="10"/>
  <c r="H28" i="10"/>
  <c r="F28" i="10"/>
  <c r="E28" i="10"/>
  <c r="D28" i="10"/>
  <c r="C28" i="10"/>
  <c r="B28" i="10"/>
  <c r="N27" i="10"/>
  <c r="L27" i="10"/>
  <c r="K27" i="10"/>
  <c r="J27" i="10"/>
  <c r="H27" i="10"/>
  <c r="G27" i="10"/>
  <c r="F27" i="10"/>
  <c r="E27" i="10"/>
  <c r="D27" i="10"/>
  <c r="C27" i="10"/>
  <c r="O27" i="10" s="1"/>
  <c r="B27" i="10"/>
  <c r="N26" i="10"/>
  <c r="M26" i="10"/>
  <c r="L26" i="10"/>
  <c r="J26" i="10"/>
  <c r="I26" i="10"/>
  <c r="H26" i="10"/>
  <c r="F26" i="10"/>
  <c r="E26" i="10"/>
  <c r="D26" i="10"/>
  <c r="C26" i="10"/>
  <c r="B26" i="10"/>
  <c r="N25" i="10"/>
  <c r="N82" i="10" s="1"/>
  <c r="L25" i="10"/>
  <c r="L82" i="10" s="1"/>
  <c r="K25" i="10"/>
  <c r="J25" i="10"/>
  <c r="J82" i="10" s="1"/>
  <c r="H25" i="10"/>
  <c r="H82" i="10" s="1"/>
  <c r="G25" i="10"/>
  <c r="F25" i="10"/>
  <c r="E25" i="10"/>
  <c r="E82" i="10" s="1"/>
  <c r="D25" i="10"/>
  <c r="D82" i="10" s="1"/>
  <c r="C25" i="10"/>
  <c r="B25" i="10"/>
  <c r="N24" i="10"/>
  <c r="M24" i="10"/>
  <c r="L24" i="10"/>
  <c r="J24" i="10"/>
  <c r="I24" i="10"/>
  <c r="H24" i="10"/>
  <c r="F24" i="10"/>
  <c r="E24" i="10"/>
  <c r="D24" i="10"/>
  <c r="C24" i="10"/>
  <c r="B24" i="10"/>
  <c r="N23" i="10"/>
  <c r="L23" i="10"/>
  <c r="L81" i="10" s="1"/>
  <c r="K23" i="10"/>
  <c r="K81" i="10" s="1"/>
  <c r="J23" i="10"/>
  <c r="H23" i="10"/>
  <c r="H81" i="10" s="1"/>
  <c r="G23" i="10"/>
  <c r="G81" i="10" s="1"/>
  <c r="F23" i="10"/>
  <c r="F81" i="10" s="1"/>
  <c r="E23" i="10"/>
  <c r="E81" i="10" s="1"/>
  <c r="D23" i="10"/>
  <c r="D81" i="10" s="1"/>
  <c r="C23" i="10"/>
  <c r="C81" i="10" s="1"/>
  <c r="B23" i="10"/>
  <c r="B81" i="10" s="1"/>
  <c r="N22" i="10"/>
  <c r="M22" i="10"/>
  <c r="L22" i="10"/>
  <c r="J22" i="10"/>
  <c r="I22" i="10"/>
  <c r="H22" i="10"/>
  <c r="F22" i="10"/>
  <c r="E22" i="10"/>
  <c r="D22" i="10"/>
  <c r="C22" i="10"/>
  <c r="B22" i="10"/>
  <c r="N21" i="10"/>
  <c r="L21" i="10"/>
  <c r="K21" i="10"/>
  <c r="K80" i="10" s="1"/>
  <c r="J21" i="10"/>
  <c r="J80" i="10" s="1"/>
  <c r="H21" i="10"/>
  <c r="H80" i="10" s="1"/>
  <c r="G21" i="10"/>
  <c r="F21" i="10"/>
  <c r="F80" i="10" s="1"/>
  <c r="E21" i="10"/>
  <c r="E80" i="10" s="1"/>
  <c r="D21" i="10"/>
  <c r="D80" i="10" s="1"/>
  <c r="C21" i="10"/>
  <c r="B21" i="10"/>
  <c r="N20" i="10"/>
  <c r="M20" i="10"/>
  <c r="L20" i="10"/>
  <c r="J20" i="10"/>
  <c r="I20" i="10"/>
  <c r="H20" i="10"/>
  <c r="F20" i="10"/>
  <c r="E20" i="10"/>
  <c r="D20" i="10"/>
  <c r="C20" i="10"/>
  <c r="B20" i="10"/>
  <c r="N19" i="10"/>
  <c r="L19" i="10"/>
  <c r="K19" i="10"/>
  <c r="J19" i="10"/>
  <c r="H19" i="10"/>
  <c r="G19" i="10"/>
  <c r="F19" i="10"/>
  <c r="E19" i="10"/>
  <c r="D19" i="10"/>
  <c r="C19" i="10"/>
  <c r="B19" i="10"/>
  <c r="N18" i="10"/>
  <c r="M18" i="10"/>
  <c r="L18" i="10"/>
  <c r="J18" i="10"/>
  <c r="I18" i="10"/>
  <c r="H18" i="10"/>
  <c r="F18" i="10"/>
  <c r="E18" i="10"/>
  <c r="D18" i="10"/>
  <c r="C18" i="10"/>
  <c r="B18" i="10"/>
  <c r="N17" i="10"/>
  <c r="L17" i="10"/>
  <c r="K17" i="10"/>
  <c r="J17" i="10"/>
  <c r="H17" i="10"/>
  <c r="G17" i="10"/>
  <c r="F17" i="10"/>
  <c r="E17" i="10"/>
  <c r="D17" i="10"/>
  <c r="C17" i="10"/>
  <c r="B17" i="10"/>
  <c r="N16" i="10"/>
  <c r="M16" i="10"/>
  <c r="L16" i="10"/>
  <c r="J16" i="10"/>
  <c r="I16" i="10"/>
  <c r="H16" i="10"/>
  <c r="F16" i="10"/>
  <c r="E16" i="10"/>
  <c r="D16" i="10"/>
  <c r="C16" i="10"/>
  <c r="B16" i="10"/>
  <c r="N15" i="10"/>
  <c r="L15" i="10"/>
  <c r="K15" i="10"/>
  <c r="J15" i="10"/>
  <c r="H15" i="10"/>
  <c r="G15" i="10"/>
  <c r="F15" i="10"/>
  <c r="E15" i="10"/>
  <c r="D15" i="10"/>
  <c r="C15" i="10"/>
  <c r="O15" i="10" s="1"/>
  <c r="B15" i="10"/>
  <c r="N14" i="10"/>
  <c r="M14" i="10"/>
  <c r="L14" i="10"/>
  <c r="J14" i="10"/>
  <c r="I14" i="10"/>
  <c r="H14" i="10"/>
  <c r="F14" i="10"/>
  <c r="E14" i="10"/>
  <c r="D14" i="10"/>
  <c r="C14" i="10"/>
  <c r="B14" i="10"/>
  <c r="N13" i="10"/>
  <c r="N79" i="10" s="1"/>
  <c r="L13" i="10"/>
  <c r="L79" i="10" s="1"/>
  <c r="K13" i="10"/>
  <c r="K79" i="10" s="1"/>
  <c r="J13" i="10"/>
  <c r="H13" i="10"/>
  <c r="H79" i="10" s="1"/>
  <c r="G13" i="10"/>
  <c r="G79" i="10" s="1"/>
  <c r="F13" i="10"/>
  <c r="E13" i="10"/>
  <c r="D13" i="10"/>
  <c r="D79" i="10" s="1"/>
  <c r="C13" i="10"/>
  <c r="C79" i="10" s="1"/>
  <c r="B13" i="10"/>
  <c r="B79" i="10" s="1"/>
  <c r="F12" i="10"/>
  <c r="E12" i="10"/>
  <c r="D12" i="10"/>
  <c r="C12" i="10"/>
  <c r="F11" i="10"/>
  <c r="E11" i="10"/>
  <c r="D11" i="10"/>
  <c r="C11" i="10"/>
  <c r="F10" i="10"/>
  <c r="E10" i="10"/>
  <c r="D10" i="10"/>
  <c r="C10" i="10"/>
  <c r="N9" i="10"/>
  <c r="M9" i="10"/>
  <c r="L9" i="10"/>
  <c r="J9" i="10"/>
  <c r="I9" i="10"/>
  <c r="H9" i="10"/>
  <c r="F9" i="10"/>
  <c r="E9" i="10"/>
  <c r="D9" i="10"/>
  <c r="C9" i="10"/>
  <c r="B9" i="10"/>
  <c r="N8" i="10"/>
  <c r="L8" i="10"/>
  <c r="K8" i="10"/>
  <c r="J8" i="10"/>
  <c r="H8" i="10"/>
  <c r="G8" i="10"/>
  <c r="F8" i="10"/>
  <c r="E8" i="10"/>
  <c r="D8" i="10"/>
  <c r="O8" i="10" s="1"/>
  <c r="C8" i="10"/>
  <c r="B8" i="10"/>
  <c r="N7" i="10"/>
  <c r="M7" i="10"/>
  <c r="L7" i="10"/>
  <c r="J7" i="10"/>
  <c r="I7" i="10"/>
  <c r="H7" i="10"/>
  <c r="F7" i="10"/>
  <c r="E7" i="10"/>
  <c r="D7" i="10"/>
  <c r="C7" i="10"/>
  <c r="B7" i="10"/>
  <c r="N6" i="10"/>
  <c r="L6" i="10"/>
  <c r="K6" i="10"/>
  <c r="J6" i="10"/>
  <c r="H6" i="10"/>
  <c r="G6" i="10"/>
  <c r="F6" i="10"/>
  <c r="E6" i="10"/>
  <c r="D6" i="10"/>
  <c r="C6" i="10"/>
  <c r="O6" i="10" s="1"/>
  <c r="B6" i="10"/>
  <c r="N5" i="10"/>
  <c r="M5" i="10"/>
  <c r="L5" i="10"/>
  <c r="J5" i="10"/>
  <c r="I5" i="10"/>
  <c r="H5" i="10"/>
  <c r="F5" i="10"/>
  <c r="E5" i="10"/>
  <c r="D5" i="10"/>
  <c r="C5" i="10"/>
  <c r="B5" i="10"/>
  <c r="K4" i="10"/>
  <c r="H4" i="10"/>
  <c r="F4" i="10"/>
  <c r="E4" i="10"/>
  <c r="D4" i="10"/>
  <c r="C4" i="10"/>
  <c r="F3" i="10"/>
  <c r="E3" i="10"/>
  <c r="D3" i="10"/>
  <c r="C3" i="10"/>
  <c r="L46" i="1" l="1"/>
  <c r="I88" i="21"/>
  <c r="I36" i="22"/>
  <c r="I46" i="22" s="1"/>
  <c r="I93" i="16" s="1"/>
  <c r="O3" i="22"/>
  <c r="G83" i="21"/>
  <c r="O3" i="8"/>
  <c r="F30" i="41"/>
  <c r="O30" i="41" s="1"/>
  <c r="O10" i="33"/>
  <c r="G10" i="35"/>
  <c r="G31" i="41" s="1"/>
  <c r="G11" i="5"/>
  <c r="J80" i="21"/>
  <c r="J36" i="34"/>
  <c r="J46" i="34" s="1"/>
  <c r="J87" i="16" s="1"/>
  <c r="O19" i="10"/>
  <c r="N72" i="21"/>
  <c r="N36" i="1"/>
  <c r="B79" i="16"/>
  <c r="B74" i="21"/>
  <c r="B36" i="3"/>
  <c r="B46" i="3" s="1"/>
  <c r="B81" i="16" s="1"/>
  <c r="J74" i="21"/>
  <c r="J36" i="3"/>
  <c r="J46" i="3" s="1"/>
  <c r="J81" i="16" s="1"/>
  <c r="N74" i="21"/>
  <c r="N36" i="3"/>
  <c r="N46" i="3" s="1"/>
  <c r="N81" i="16" s="1"/>
  <c r="O11" i="3"/>
  <c r="G10" i="3"/>
  <c r="F100" i="10"/>
  <c r="I79" i="5"/>
  <c r="O79" i="5" s="1"/>
  <c r="I13" i="10"/>
  <c r="I79" i="10" s="1"/>
  <c r="O79" i="10" s="1"/>
  <c r="M79" i="5"/>
  <c r="M13" i="10"/>
  <c r="M79" i="10" s="1"/>
  <c r="O20" i="5"/>
  <c r="I21" i="10"/>
  <c r="I80" i="10" s="1"/>
  <c r="O80" i="10" s="1"/>
  <c r="I80" i="5"/>
  <c r="O28" i="5"/>
  <c r="I83" i="5"/>
  <c r="I29" i="10"/>
  <c r="I83" i="10" s="1"/>
  <c r="O83" i="10" s="1"/>
  <c r="M83" i="5"/>
  <c r="M29" i="10"/>
  <c r="M83" i="10" s="1"/>
  <c r="M80" i="5"/>
  <c r="O80" i="5" s="1"/>
  <c r="B77" i="21"/>
  <c r="B3" i="5"/>
  <c r="B76" i="21" s="1"/>
  <c r="N10" i="32"/>
  <c r="N11" i="5"/>
  <c r="H78" i="21"/>
  <c r="H36" i="33"/>
  <c r="H46" i="33" s="1"/>
  <c r="H85" i="16" s="1"/>
  <c r="P10" i="33"/>
  <c r="C79" i="21"/>
  <c r="O3" i="35"/>
  <c r="B81" i="21"/>
  <c r="B85" i="21" s="1"/>
  <c r="B93" i="21" s="1"/>
  <c r="B36" i="6"/>
  <c r="B46" i="6" s="1"/>
  <c r="B88" i="16" s="1"/>
  <c r="O84" i="22"/>
  <c r="O85" i="22"/>
  <c r="L83" i="11"/>
  <c r="O18" i="10"/>
  <c r="O22" i="10"/>
  <c r="O30" i="10"/>
  <c r="O38" i="10"/>
  <c r="O43" i="10"/>
  <c r="L24" i="41"/>
  <c r="M73" i="21"/>
  <c r="M36" i="2"/>
  <c r="M46" i="2" s="1"/>
  <c r="M80" i="16" s="1"/>
  <c r="N11" i="10"/>
  <c r="O18" i="5"/>
  <c r="D77" i="21"/>
  <c r="D36" i="32"/>
  <c r="D46" i="32" s="1"/>
  <c r="D84" i="16" s="1"/>
  <c r="B112" i="16" s="1"/>
  <c r="L4" i="5"/>
  <c r="L4" i="10" s="1"/>
  <c r="L3" i="32"/>
  <c r="C29" i="41"/>
  <c r="C36" i="32"/>
  <c r="K29" i="41"/>
  <c r="K36" i="32"/>
  <c r="H12" i="5"/>
  <c r="H11" i="32"/>
  <c r="G30" i="41"/>
  <c r="G10" i="5"/>
  <c r="G36" i="33"/>
  <c r="G46" i="33" s="1"/>
  <c r="G85" i="16" s="1"/>
  <c r="H31" i="41"/>
  <c r="H36" i="35"/>
  <c r="H46" i="35" s="1"/>
  <c r="H86" i="16" s="1"/>
  <c r="K11" i="35"/>
  <c r="K12" i="5"/>
  <c r="K12" i="10" s="1"/>
  <c r="F80" i="21"/>
  <c r="F36" i="34"/>
  <c r="F46" i="34" s="1"/>
  <c r="F87" i="16" s="1"/>
  <c r="O4" i="8"/>
  <c r="G92" i="21"/>
  <c r="G84" i="15" s="1"/>
  <c r="G36" i="31"/>
  <c r="E92" i="21"/>
  <c r="E84" i="15" s="1"/>
  <c r="E36" i="31"/>
  <c r="M92" i="21"/>
  <c r="M84" i="15" s="1"/>
  <c r="M36" i="31"/>
  <c r="B3" i="10"/>
  <c r="B12" i="10"/>
  <c r="O17" i="10"/>
  <c r="O33" i="10"/>
  <c r="O41" i="10"/>
  <c r="O45" i="10"/>
  <c r="O66" i="10"/>
  <c r="O67" i="10"/>
  <c r="K73" i="10"/>
  <c r="K11" i="1"/>
  <c r="J11" i="2"/>
  <c r="K74" i="21"/>
  <c r="K36" i="3"/>
  <c r="K46" i="3" s="1"/>
  <c r="K81" i="16" s="1"/>
  <c r="H26" i="41"/>
  <c r="O13" i="5"/>
  <c r="O16" i="5"/>
  <c r="O21" i="5"/>
  <c r="O24" i="5"/>
  <c r="M82" i="5"/>
  <c r="M25" i="10"/>
  <c r="M82" i="10" s="1"/>
  <c r="O29" i="5"/>
  <c r="O83" i="5" s="1"/>
  <c r="O32" i="5"/>
  <c r="I82" i="5"/>
  <c r="O82" i="5" s="1"/>
  <c r="H3" i="32"/>
  <c r="I84" i="16"/>
  <c r="O83" i="32"/>
  <c r="B78" i="21"/>
  <c r="B36" i="33"/>
  <c r="B46" i="33" s="1"/>
  <c r="B85" i="16" s="1"/>
  <c r="F78" i="21"/>
  <c r="F36" i="33"/>
  <c r="F46" i="33" s="1"/>
  <c r="F85" i="16" s="1"/>
  <c r="N78" i="21"/>
  <c r="N36" i="33"/>
  <c r="N46" i="33" s="1"/>
  <c r="N85" i="16" s="1"/>
  <c r="O12" i="33"/>
  <c r="M30" i="41"/>
  <c r="M10" i="5"/>
  <c r="M28" i="41" s="1"/>
  <c r="E36" i="33"/>
  <c r="E46" i="33" s="1"/>
  <c r="E85" i="16" s="1"/>
  <c r="O12" i="34"/>
  <c r="I95" i="10" s="1"/>
  <c r="O79" i="8"/>
  <c r="K84" i="21"/>
  <c r="K36" i="9"/>
  <c r="K46" i="9" s="1"/>
  <c r="K91" i="16" s="1"/>
  <c r="B90" i="21"/>
  <c r="B36" i="26"/>
  <c r="B46" i="26" s="1"/>
  <c r="B95" i="16" s="1"/>
  <c r="N90" i="21"/>
  <c r="N82" i="15" s="1"/>
  <c r="N36" i="26"/>
  <c r="N46" i="26" s="1"/>
  <c r="N95" i="16" s="1"/>
  <c r="O14" i="10"/>
  <c r="O26" i="10"/>
  <c r="O34" i="10"/>
  <c r="O42" i="10"/>
  <c r="O86" i="10"/>
  <c r="H72" i="21"/>
  <c r="O3" i="1"/>
  <c r="H36" i="1"/>
  <c r="O81" i="1"/>
  <c r="I73" i="21"/>
  <c r="I85" i="21" s="1"/>
  <c r="I36" i="2"/>
  <c r="I46" i="2" s="1"/>
  <c r="I80" i="16" s="1"/>
  <c r="G80" i="16"/>
  <c r="H12" i="10"/>
  <c r="K75" i="21"/>
  <c r="K36" i="4"/>
  <c r="K46" i="4" s="1"/>
  <c r="K82" i="16" s="1"/>
  <c r="O26" i="5"/>
  <c r="O34" i="5"/>
  <c r="I35" i="10"/>
  <c r="I84" i="10" s="1"/>
  <c r="O84" i="10" s="1"/>
  <c r="I84" i="5"/>
  <c r="L12" i="5"/>
  <c r="L12" i="10" s="1"/>
  <c r="L11" i="32"/>
  <c r="D78" i="21"/>
  <c r="D36" i="33"/>
  <c r="D46" i="33" s="1"/>
  <c r="D85" i="16" s="1"/>
  <c r="B113" i="16" s="1"/>
  <c r="C10" i="35"/>
  <c r="O11" i="35"/>
  <c r="O12" i="35"/>
  <c r="H95" i="10" s="1"/>
  <c r="F95" i="10" s="1"/>
  <c r="B80" i="21"/>
  <c r="B36" i="34"/>
  <c r="B46" i="34" s="1"/>
  <c r="B87" i="16" s="1"/>
  <c r="N80" i="21"/>
  <c r="N36" i="34"/>
  <c r="N46" i="34" s="1"/>
  <c r="N87" i="16" s="1"/>
  <c r="K36" i="8"/>
  <c r="K46" i="8" s="1"/>
  <c r="K90" i="16" s="1"/>
  <c r="B84" i="21"/>
  <c r="B36" i="9"/>
  <c r="B46" i="9" s="1"/>
  <c r="B91" i="16" s="1"/>
  <c r="J84" i="21"/>
  <c r="J36" i="9"/>
  <c r="J46" i="9" s="1"/>
  <c r="J91" i="16" s="1"/>
  <c r="N84" i="21"/>
  <c r="N36" i="9"/>
  <c r="N46" i="9" s="1"/>
  <c r="N91" i="16" s="1"/>
  <c r="M88" i="21"/>
  <c r="M36" i="22"/>
  <c r="M46" i="22" s="1"/>
  <c r="M93" i="16" s="1"/>
  <c r="G11" i="22"/>
  <c r="O12" i="22"/>
  <c r="I89" i="21"/>
  <c r="I81" i="15" s="1"/>
  <c r="I36" i="30"/>
  <c r="I46" i="30" s="1"/>
  <c r="I94" i="16" s="1"/>
  <c r="O3" i="31"/>
  <c r="I92" i="21"/>
  <c r="I84" i="15" s="1"/>
  <c r="I36" i="31"/>
  <c r="C11" i="31"/>
  <c r="O12" i="31"/>
  <c r="G4" i="10"/>
  <c r="O4" i="10" s="1"/>
  <c r="O9" i="10"/>
  <c r="O16" i="10"/>
  <c r="O20" i="10"/>
  <c r="O24" i="10"/>
  <c r="O28" i="10"/>
  <c r="O32" i="10"/>
  <c r="O40" i="10"/>
  <c r="O51" i="10"/>
  <c r="O53" i="10"/>
  <c r="F96" i="10"/>
  <c r="L72" i="21"/>
  <c r="G10" i="1"/>
  <c r="G36" i="1" s="1"/>
  <c r="G12" i="10"/>
  <c r="I12" i="10"/>
  <c r="I11" i="1"/>
  <c r="M12" i="10"/>
  <c r="M11" i="1"/>
  <c r="O4" i="2"/>
  <c r="N10" i="2"/>
  <c r="O82" i="2"/>
  <c r="M74" i="21"/>
  <c r="M36" i="3"/>
  <c r="M46" i="3" s="1"/>
  <c r="M81" i="16" s="1"/>
  <c r="O12" i="4"/>
  <c r="O14" i="5"/>
  <c r="O19" i="5"/>
  <c r="O22" i="5"/>
  <c r="I81" i="5"/>
  <c r="O81" i="5" s="1"/>
  <c r="I23" i="10"/>
  <c r="I81" i="10" s="1"/>
  <c r="M81" i="5"/>
  <c r="M23" i="10"/>
  <c r="M81" i="10" s="1"/>
  <c r="O27" i="5"/>
  <c r="O30" i="5"/>
  <c r="O35" i="5"/>
  <c r="O47" i="5"/>
  <c r="M84" i="5"/>
  <c r="F77" i="21"/>
  <c r="F36" i="32"/>
  <c r="F46" i="32" s="1"/>
  <c r="F84" i="16" s="1"/>
  <c r="O81" i="32"/>
  <c r="J78" i="21"/>
  <c r="J36" i="33"/>
  <c r="J46" i="33" s="1"/>
  <c r="J85" i="16" s="1"/>
  <c r="M79" i="21"/>
  <c r="M36" i="35"/>
  <c r="M46" i="35" s="1"/>
  <c r="M86" i="16" s="1"/>
  <c r="M3" i="5"/>
  <c r="E79" i="21"/>
  <c r="E36" i="35"/>
  <c r="E46" i="35" s="1"/>
  <c r="E86" i="16" s="1"/>
  <c r="D80" i="21"/>
  <c r="D36" i="34"/>
  <c r="D46" i="34" s="1"/>
  <c r="D87" i="16" s="1"/>
  <c r="B115" i="16" s="1"/>
  <c r="N81" i="21"/>
  <c r="N36" i="6"/>
  <c r="N46" i="6" s="1"/>
  <c r="N88" i="16" s="1"/>
  <c r="O4" i="22"/>
  <c r="N41" i="41"/>
  <c r="L38" i="41"/>
  <c r="L41" i="41" s="1"/>
  <c r="L36" i="22"/>
  <c r="L46" i="22" s="1"/>
  <c r="L93" i="16" s="1"/>
  <c r="Y86" i="21"/>
  <c r="K78" i="15" s="1"/>
  <c r="K68" i="15"/>
  <c r="O9" i="5"/>
  <c r="O41" i="5"/>
  <c r="O77" i="5"/>
  <c r="O77" i="10" s="1"/>
  <c r="B12" i="5"/>
  <c r="J12" i="5"/>
  <c r="J12" i="10" s="1"/>
  <c r="O4" i="34"/>
  <c r="O80" i="34"/>
  <c r="I101" i="10" s="1"/>
  <c r="O82" i="6"/>
  <c r="M36" i="8"/>
  <c r="M46" i="8" s="1"/>
  <c r="M90" i="16" s="1"/>
  <c r="B91" i="21"/>
  <c r="J91" i="21"/>
  <c r="J83" i="15" s="1"/>
  <c r="J80" i="15"/>
  <c r="N80" i="15"/>
  <c r="O81" i="22"/>
  <c r="K3" i="10"/>
  <c r="I4" i="10"/>
  <c r="M4" i="10"/>
  <c r="G5" i="10"/>
  <c r="O5" i="10" s="1"/>
  <c r="K5" i="10"/>
  <c r="G7" i="10"/>
  <c r="O7" i="10" s="1"/>
  <c r="O48" i="10"/>
  <c r="O56" i="10"/>
  <c r="E74" i="10"/>
  <c r="E73" i="10" s="1"/>
  <c r="I74" i="10"/>
  <c r="I73" i="10" s="1"/>
  <c r="M74" i="10"/>
  <c r="M73" i="10" s="1"/>
  <c r="C75" i="10"/>
  <c r="C73" i="10" s="1"/>
  <c r="G75" i="10"/>
  <c r="G73" i="10" s="1"/>
  <c r="K75" i="10"/>
  <c r="O75" i="10"/>
  <c r="C82" i="10"/>
  <c r="O82" i="10" s="1"/>
  <c r="I96" i="10"/>
  <c r="K72" i="21"/>
  <c r="K85" i="21" s="1"/>
  <c r="O84" i="1"/>
  <c r="O85" i="1"/>
  <c r="G25" i="41"/>
  <c r="K36" i="2"/>
  <c r="K46" i="2" s="1"/>
  <c r="K80" i="16" s="1"/>
  <c r="O73" i="2"/>
  <c r="H75" i="21"/>
  <c r="H36" i="4"/>
  <c r="H46" i="4" s="1"/>
  <c r="H82" i="16" s="1"/>
  <c r="L75" i="21"/>
  <c r="O75" i="21" s="1"/>
  <c r="L36" i="4"/>
  <c r="L46" i="4" s="1"/>
  <c r="L82" i="16" s="1"/>
  <c r="T9" i="37" s="1"/>
  <c r="M36" i="4"/>
  <c r="M46" i="4" s="1"/>
  <c r="M82" i="16" s="1"/>
  <c r="G3" i="5"/>
  <c r="M11" i="5"/>
  <c r="O23" i="5"/>
  <c r="O25" i="5"/>
  <c r="O48" i="5"/>
  <c r="K73" i="5"/>
  <c r="G85" i="5"/>
  <c r="M86" i="5"/>
  <c r="J77" i="21"/>
  <c r="J36" i="32"/>
  <c r="J3" i="5"/>
  <c r="B4" i="5"/>
  <c r="B4" i="10" s="1"/>
  <c r="J4" i="5"/>
  <c r="J4" i="10" s="1"/>
  <c r="N4" i="5"/>
  <c r="N4" i="10" s="1"/>
  <c r="E36" i="32"/>
  <c r="E46" i="32" s="1"/>
  <c r="E84" i="16" s="1"/>
  <c r="M36" i="32"/>
  <c r="L78" i="21"/>
  <c r="L36" i="33"/>
  <c r="L46" i="33" s="1"/>
  <c r="L85" i="16" s="1"/>
  <c r="O11" i="33"/>
  <c r="I36" i="33"/>
  <c r="K79" i="21"/>
  <c r="O85" i="35"/>
  <c r="O84" i="35"/>
  <c r="F36" i="35"/>
  <c r="F46" i="35" s="1"/>
  <c r="F86" i="16" s="1"/>
  <c r="N36" i="35"/>
  <c r="N46" i="35" s="1"/>
  <c r="N86" i="16" s="1"/>
  <c r="O81" i="35"/>
  <c r="H102" i="10" s="1"/>
  <c r="H80" i="21"/>
  <c r="H36" i="34"/>
  <c r="H46" i="34" s="1"/>
  <c r="H87" i="16" s="1"/>
  <c r="I36" i="34"/>
  <c r="I46" i="34" s="1"/>
  <c r="I87" i="16" s="1"/>
  <c r="O81" i="34"/>
  <c r="I102" i="10" s="1"/>
  <c r="O4" i="6"/>
  <c r="K81" i="21"/>
  <c r="K36" i="6"/>
  <c r="K46" i="6" s="1"/>
  <c r="K88" i="16" s="1"/>
  <c r="H36" i="6"/>
  <c r="H46" i="6" s="1"/>
  <c r="H88" i="16" s="1"/>
  <c r="O79" i="6"/>
  <c r="B82" i="21"/>
  <c r="B36" i="7"/>
  <c r="B46" i="7" s="1"/>
  <c r="B89" i="16" s="1"/>
  <c r="J82" i="21"/>
  <c r="J36" i="7"/>
  <c r="J46" i="7" s="1"/>
  <c r="J89" i="16" s="1"/>
  <c r="N82" i="21"/>
  <c r="N36" i="7"/>
  <c r="N46" i="7" s="1"/>
  <c r="N89" i="16" s="1"/>
  <c r="O12" i="7"/>
  <c r="I36" i="7"/>
  <c r="I46" i="7" s="1"/>
  <c r="I89" i="16" s="1"/>
  <c r="M36" i="9"/>
  <c r="M46" i="9" s="1"/>
  <c r="M91" i="16" s="1"/>
  <c r="G88" i="21"/>
  <c r="J41" i="41"/>
  <c r="B36" i="22"/>
  <c r="B46" i="22" s="1"/>
  <c r="B93" i="16" s="1"/>
  <c r="N36" i="22"/>
  <c r="N46" i="22" s="1"/>
  <c r="N93" i="16" s="1"/>
  <c r="O82" i="22"/>
  <c r="M89" i="21"/>
  <c r="M81" i="15" s="1"/>
  <c r="M36" i="30"/>
  <c r="M46" i="30" s="1"/>
  <c r="M94" i="16" s="1"/>
  <c r="O79" i="30"/>
  <c r="O82" i="30"/>
  <c r="O85" i="30"/>
  <c r="J90" i="21"/>
  <c r="J82" i="15" s="1"/>
  <c r="J36" i="26"/>
  <c r="J46" i="26" s="1"/>
  <c r="J95" i="16" s="1"/>
  <c r="O11" i="26"/>
  <c r="O92" i="21"/>
  <c r="O84" i="15" s="1"/>
  <c r="C84" i="15"/>
  <c r="O4" i="31"/>
  <c r="K36" i="31"/>
  <c r="O81" i="31"/>
  <c r="O80" i="42"/>
  <c r="D111" i="15"/>
  <c r="E100" i="15"/>
  <c r="H83" i="11"/>
  <c r="O60" i="10"/>
  <c r="O12" i="2"/>
  <c r="G3" i="3"/>
  <c r="G27" i="41"/>
  <c r="O27" i="41" s="1"/>
  <c r="O10" i="4"/>
  <c r="U86" i="21"/>
  <c r="G78" i="15" s="1"/>
  <c r="G68" i="15"/>
  <c r="O5" i="5"/>
  <c r="O37" i="5"/>
  <c r="O39" i="5"/>
  <c r="O43" i="5"/>
  <c r="O45" i="5"/>
  <c r="O75" i="5"/>
  <c r="N77" i="21"/>
  <c r="N36" i="32"/>
  <c r="N3" i="5"/>
  <c r="N76" i="21" s="1"/>
  <c r="J10" i="32"/>
  <c r="J11" i="5"/>
  <c r="N12" i="5"/>
  <c r="N12" i="10" s="1"/>
  <c r="O4" i="33"/>
  <c r="I79" i="21"/>
  <c r="I36" i="35"/>
  <c r="I46" i="35" s="1"/>
  <c r="I86" i="16" s="1"/>
  <c r="O80" i="35"/>
  <c r="H101" i="10" s="1"/>
  <c r="F101" i="10" s="1"/>
  <c r="L80" i="21"/>
  <c r="L36" i="34"/>
  <c r="L46" i="34" s="1"/>
  <c r="L87" i="16" s="1"/>
  <c r="G36" i="34"/>
  <c r="G46" i="34" s="1"/>
  <c r="G87" i="16" s="1"/>
  <c r="O3" i="7"/>
  <c r="K88" i="21"/>
  <c r="K36" i="22"/>
  <c r="K46" i="22" s="1"/>
  <c r="K93" i="16" s="1"/>
  <c r="G40" i="41"/>
  <c r="O10" i="26"/>
  <c r="O12" i="26"/>
  <c r="O11" i="43"/>
  <c r="F10" i="43"/>
  <c r="O10" i="43" s="1"/>
  <c r="G98" i="15"/>
  <c r="O81" i="10"/>
  <c r="O23" i="10"/>
  <c r="O35" i="10"/>
  <c r="O85" i="10"/>
  <c r="O37" i="10"/>
  <c r="O52" i="10"/>
  <c r="O68" i="10"/>
  <c r="G72" i="21"/>
  <c r="O4" i="1"/>
  <c r="J36" i="1"/>
  <c r="O82" i="1"/>
  <c r="H73" i="21"/>
  <c r="O73" i="21" s="1"/>
  <c r="H36" i="2"/>
  <c r="H46" i="2" s="1"/>
  <c r="H80" i="16" s="1"/>
  <c r="L73" i="21"/>
  <c r="L36" i="2"/>
  <c r="L46" i="2" s="1"/>
  <c r="L80" i="16" s="1"/>
  <c r="O3" i="4"/>
  <c r="G36" i="4"/>
  <c r="I3" i="5"/>
  <c r="I76" i="21" s="1"/>
  <c r="I10" i="5"/>
  <c r="I28" i="41" s="1"/>
  <c r="O40" i="5"/>
  <c r="O44" i="5"/>
  <c r="G73" i="5"/>
  <c r="M73" i="5"/>
  <c r="O49" i="27"/>
  <c r="O74" i="5"/>
  <c r="C77" i="21"/>
  <c r="B11" i="32"/>
  <c r="G36" i="32"/>
  <c r="O73" i="32"/>
  <c r="C36" i="33"/>
  <c r="K36" i="33"/>
  <c r="K46" i="33" s="1"/>
  <c r="K85" i="16" s="1"/>
  <c r="G79" i="21"/>
  <c r="G36" i="35"/>
  <c r="G46" i="35" s="1"/>
  <c r="G86" i="16" s="1"/>
  <c r="O82" i="35"/>
  <c r="H108" i="10" s="1"/>
  <c r="F108" i="10" s="1"/>
  <c r="K36" i="34"/>
  <c r="K46" i="34" s="1"/>
  <c r="K87" i="16" s="1"/>
  <c r="O82" i="34"/>
  <c r="I108" i="10" s="1"/>
  <c r="G10" i="6"/>
  <c r="O84" i="6"/>
  <c r="O85" i="6"/>
  <c r="J36" i="6"/>
  <c r="J46" i="6" s="1"/>
  <c r="J88" i="16" s="1"/>
  <c r="O80" i="6"/>
  <c r="O82" i="21"/>
  <c r="K36" i="7"/>
  <c r="K46" i="7" s="1"/>
  <c r="K89" i="16" s="1"/>
  <c r="O73" i="7"/>
  <c r="B83" i="21"/>
  <c r="B36" i="8"/>
  <c r="B46" i="8" s="1"/>
  <c r="B90" i="16" s="1"/>
  <c r="J83" i="21"/>
  <c r="O83" i="21" s="1"/>
  <c r="J36" i="8"/>
  <c r="J46" i="8" s="1"/>
  <c r="J90" i="16" s="1"/>
  <c r="N83" i="21"/>
  <c r="N36" i="8"/>
  <c r="N46" i="8" s="1"/>
  <c r="N90" i="16" s="1"/>
  <c r="O12" i="8"/>
  <c r="I36" i="8"/>
  <c r="I46" i="8" s="1"/>
  <c r="I90" i="16" s="1"/>
  <c r="O3" i="9"/>
  <c r="H36" i="22"/>
  <c r="H46" i="22" s="1"/>
  <c r="H93" i="16" s="1"/>
  <c r="H96" i="16" s="1"/>
  <c r="O79" i="22"/>
  <c r="B89" i="21"/>
  <c r="B36" i="30"/>
  <c r="B46" i="30" s="1"/>
  <c r="B94" i="16" s="1"/>
  <c r="G39" i="41"/>
  <c r="O39" i="41" s="1"/>
  <c r="O10" i="30"/>
  <c r="H90" i="21"/>
  <c r="H82" i="15" s="1"/>
  <c r="H36" i="26"/>
  <c r="H46" i="26" s="1"/>
  <c r="H95" i="16" s="1"/>
  <c r="L90" i="21"/>
  <c r="L82" i="15" s="1"/>
  <c r="L36" i="26"/>
  <c r="L46" i="26" s="1"/>
  <c r="L95" i="16" s="1"/>
  <c r="O82" i="31"/>
  <c r="O84" i="31"/>
  <c r="M36" i="42"/>
  <c r="M46" i="42" s="1"/>
  <c r="M99" i="16" s="1"/>
  <c r="G36" i="42"/>
  <c r="G46" i="42" s="1"/>
  <c r="G99" i="16" s="1"/>
  <c r="K36" i="42"/>
  <c r="K46" i="42" s="1"/>
  <c r="K99" i="16" s="1"/>
  <c r="O4" i="42"/>
  <c r="G36" i="43"/>
  <c r="G46" i="43" s="1"/>
  <c r="O12" i="43"/>
  <c r="O79" i="43"/>
  <c r="C115" i="15"/>
  <c r="D102" i="15"/>
  <c r="G102" i="15" s="1"/>
  <c r="O12" i="3"/>
  <c r="O11" i="4"/>
  <c r="O4" i="32"/>
  <c r="O12" i="32"/>
  <c r="C3" i="34"/>
  <c r="C11" i="34"/>
  <c r="G3" i="6"/>
  <c r="I36" i="6"/>
  <c r="I46" i="6" s="1"/>
  <c r="I88" i="16" s="1"/>
  <c r="M36" i="6"/>
  <c r="M46" i="6" s="1"/>
  <c r="M88" i="16" s="1"/>
  <c r="G11" i="7"/>
  <c r="H36" i="7"/>
  <c r="H46" i="7" s="1"/>
  <c r="H89" i="16" s="1"/>
  <c r="L36" i="7"/>
  <c r="L46" i="7" s="1"/>
  <c r="L89" i="16" s="1"/>
  <c r="T6" i="37" s="1"/>
  <c r="G11" i="8"/>
  <c r="H36" i="8"/>
  <c r="H46" i="8" s="1"/>
  <c r="H90" i="16" s="1"/>
  <c r="L36" i="8"/>
  <c r="L46" i="8" s="1"/>
  <c r="L90" i="16" s="1"/>
  <c r="T10" i="37" s="1"/>
  <c r="G11" i="9"/>
  <c r="H36" i="9"/>
  <c r="H46" i="9" s="1"/>
  <c r="H91" i="16" s="1"/>
  <c r="L36" i="9"/>
  <c r="L46" i="9" s="1"/>
  <c r="L91" i="16" s="1"/>
  <c r="T12" i="37" s="1"/>
  <c r="AC91" i="21"/>
  <c r="N89" i="21"/>
  <c r="N81" i="15" s="1"/>
  <c r="N36" i="30"/>
  <c r="N46" i="30" s="1"/>
  <c r="N94" i="16" s="1"/>
  <c r="O12" i="30"/>
  <c r="O73" i="30"/>
  <c r="O80" i="30"/>
  <c r="K90" i="21"/>
  <c r="K82" i="15" s="1"/>
  <c r="K36" i="26"/>
  <c r="K46" i="26" s="1"/>
  <c r="K95" i="16" s="1"/>
  <c r="O4" i="26"/>
  <c r="D92" i="21"/>
  <c r="D84" i="15" s="1"/>
  <c r="D36" i="31"/>
  <c r="L92" i="21"/>
  <c r="L84" i="15" s="1"/>
  <c r="L36" i="31"/>
  <c r="F36" i="31"/>
  <c r="N36" i="31"/>
  <c r="O79" i="31"/>
  <c r="O3" i="42"/>
  <c r="F11" i="42"/>
  <c r="O12" i="42"/>
  <c r="O81" i="42"/>
  <c r="O84" i="42"/>
  <c r="K36" i="43"/>
  <c r="K46" i="43" s="1"/>
  <c r="O81" i="43"/>
  <c r="G91" i="15"/>
  <c r="F95" i="15"/>
  <c r="G83" i="11"/>
  <c r="B36" i="2"/>
  <c r="B46" i="2" s="1"/>
  <c r="B80" i="16" s="1"/>
  <c r="N36" i="2"/>
  <c r="N46" i="2" s="1"/>
  <c r="N80" i="16" s="1"/>
  <c r="H36" i="3"/>
  <c r="H46" i="3" s="1"/>
  <c r="H81" i="16" s="1"/>
  <c r="L36" i="3"/>
  <c r="L46" i="3" s="1"/>
  <c r="L81" i="16" s="1"/>
  <c r="B36" i="4"/>
  <c r="B46" i="4" s="1"/>
  <c r="B82" i="16" s="1"/>
  <c r="J36" i="4"/>
  <c r="J46" i="4" s="1"/>
  <c r="J82" i="16" s="1"/>
  <c r="N36" i="4"/>
  <c r="N46" i="4" s="1"/>
  <c r="N82" i="16" s="1"/>
  <c r="Z85" i="21"/>
  <c r="L68" i="15"/>
  <c r="D73" i="5"/>
  <c r="H73" i="5"/>
  <c r="L73" i="5"/>
  <c r="B84" i="5"/>
  <c r="O78" i="21"/>
  <c r="O3" i="33"/>
  <c r="O44" i="33" s="1"/>
  <c r="H91" i="21"/>
  <c r="H83" i="15" s="1"/>
  <c r="H80" i="15"/>
  <c r="L91" i="21"/>
  <c r="L83" i="15" s="1"/>
  <c r="L80" i="15"/>
  <c r="J89" i="21"/>
  <c r="J81" i="15" s="1"/>
  <c r="J36" i="30"/>
  <c r="J46" i="30" s="1"/>
  <c r="J94" i="16" s="1"/>
  <c r="J96" i="16" s="1"/>
  <c r="G89" i="21"/>
  <c r="G36" i="30"/>
  <c r="O3" i="30"/>
  <c r="K89" i="21"/>
  <c r="K81" i="15" s="1"/>
  <c r="K36" i="30"/>
  <c r="K46" i="30" s="1"/>
  <c r="K94" i="16" s="1"/>
  <c r="O4" i="30"/>
  <c r="G90" i="21"/>
  <c r="G82" i="15" s="1"/>
  <c r="G36" i="26"/>
  <c r="O3" i="26"/>
  <c r="O80" i="26"/>
  <c r="H92" i="21"/>
  <c r="H84" i="15" s="1"/>
  <c r="H36" i="31"/>
  <c r="B36" i="31"/>
  <c r="J36" i="31"/>
  <c r="I36" i="42"/>
  <c r="I46" i="42" s="1"/>
  <c r="I99" i="16" s="1"/>
  <c r="N36" i="43"/>
  <c r="N46" i="43" s="1"/>
  <c r="O4" i="43"/>
  <c r="D113" i="15"/>
  <c r="E93" i="15"/>
  <c r="D114" i="15"/>
  <c r="E101" i="15"/>
  <c r="F92" i="15"/>
  <c r="F93" i="15"/>
  <c r="F98" i="15"/>
  <c r="D101" i="15"/>
  <c r="G101" i="15" s="1"/>
  <c r="C114" i="15"/>
  <c r="K83" i="11"/>
  <c r="D115" i="15"/>
  <c r="E102" i="15"/>
  <c r="F102" i="15"/>
  <c r="E47" i="40"/>
  <c r="E122" i="11"/>
  <c r="E54" i="40"/>
  <c r="E129" i="11"/>
  <c r="F36" i="29"/>
  <c r="E7" i="40"/>
  <c r="F78" i="11"/>
  <c r="J36" i="29"/>
  <c r="I7" i="40"/>
  <c r="J78" i="11"/>
  <c r="J83" i="11" s="1"/>
  <c r="N36" i="29"/>
  <c r="M7" i="40"/>
  <c r="N78" i="11"/>
  <c r="N83" i="11" s="1"/>
  <c r="AC70" i="11"/>
  <c r="AC78" i="11" s="1"/>
  <c r="AC83" i="11" s="1"/>
  <c r="Q104" i="11"/>
  <c r="Q103" i="11"/>
  <c r="AC94" i="11"/>
  <c r="E89" i="28" s="1"/>
  <c r="H89" i="28" s="1"/>
  <c r="C55" i="29"/>
  <c r="C111" i="11"/>
  <c r="C130" i="11"/>
  <c r="F130" i="11" s="1"/>
  <c r="G55" i="29"/>
  <c r="G111" i="11"/>
  <c r="G61" i="29" s="1"/>
  <c r="K55" i="29"/>
  <c r="K111" i="11"/>
  <c r="K61" i="29" s="1"/>
  <c r="Z104" i="11"/>
  <c r="G117" i="11"/>
  <c r="E125" i="11"/>
  <c r="D41" i="28"/>
  <c r="I86" i="28" s="1"/>
  <c r="C33" i="40"/>
  <c r="H41" i="28"/>
  <c r="G33" i="40"/>
  <c r="L41" i="28"/>
  <c r="K33" i="40"/>
  <c r="C96" i="28"/>
  <c r="G96" i="28" s="1"/>
  <c r="J72" i="16"/>
  <c r="I25" i="40"/>
  <c r="L58" i="27"/>
  <c r="L64" i="27" s="1"/>
  <c r="E48" i="40"/>
  <c r="E123" i="11"/>
  <c r="G123" i="11" s="1"/>
  <c r="N30" i="29"/>
  <c r="O30" i="29" s="1"/>
  <c r="O64" i="11"/>
  <c r="AD70" i="11"/>
  <c r="H82" i="11"/>
  <c r="L82" i="11"/>
  <c r="P85" i="11"/>
  <c r="O85" i="11"/>
  <c r="H85" i="28"/>
  <c r="E46" i="29"/>
  <c r="E104" i="11"/>
  <c r="O94" i="11"/>
  <c r="I46" i="29"/>
  <c r="I104" i="11"/>
  <c r="M46" i="29"/>
  <c r="M104" i="11"/>
  <c r="S104" i="11"/>
  <c r="AA104" i="11"/>
  <c r="O56" i="29"/>
  <c r="O109" i="11"/>
  <c r="O58" i="29"/>
  <c r="D133" i="11"/>
  <c r="D59" i="29"/>
  <c r="B134" i="11"/>
  <c r="F134" i="11" s="1"/>
  <c r="R111" i="11"/>
  <c r="G129" i="11"/>
  <c r="N7" i="40"/>
  <c r="N9" i="40" s="1"/>
  <c r="N10" i="40" s="1"/>
  <c r="H68" i="28"/>
  <c r="H72" i="28"/>
  <c r="H76" i="28"/>
  <c r="H97" i="28"/>
  <c r="I81" i="28"/>
  <c r="D98" i="28" s="1"/>
  <c r="C93" i="28"/>
  <c r="G93" i="28" s="1"/>
  <c r="F72" i="16"/>
  <c r="E25" i="40"/>
  <c r="N72" i="16"/>
  <c r="M25" i="40"/>
  <c r="AA85" i="21"/>
  <c r="O13" i="11"/>
  <c r="AC13" i="11"/>
  <c r="I54" i="11"/>
  <c r="E5" i="37"/>
  <c r="F86" i="28"/>
  <c r="H86" i="28" s="1"/>
  <c r="D110" i="15"/>
  <c r="D27" i="29"/>
  <c r="P61" i="11"/>
  <c r="C46" i="40"/>
  <c r="G46" i="40" s="1"/>
  <c r="F46" i="40" s="1"/>
  <c r="F93" i="28"/>
  <c r="F97" i="28"/>
  <c r="R78" i="11"/>
  <c r="R83" i="11" s="1"/>
  <c r="AD71" i="11"/>
  <c r="AC72" i="11"/>
  <c r="O56" i="15" s="1"/>
  <c r="D78" i="11"/>
  <c r="I82" i="11"/>
  <c r="F82" i="11"/>
  <c r="AC85" i="11"/>
  <c r="O43" i="29"/>
  <c r="D43" i="40"/>
  <c r="I43" i="40" s="1"/>
  <c r="H43" i="40" s="1"/>
  <c r="D118" i="11"/>
  <c r="D142" i="11"/>
  <c r="D143" i="11" s="1"/>
  <c r="O45" i="29"/>
  <c r="D45" i="40"/>
  <c r="I45" i="40" s="1"/>
  <c r="H45" i="40" s="1"/>
  <c r="D120" i="11"/>
  <c r="E93" i="28"/>
  <c r="H93" i="28" s="1"/>
  <c r="H95" i="28"/>
  <c r="F104" i="11"/>
  <c r="N104" i="11"/>
  <c r="V104" i="11"/>
  <c r="D131" i="11"/>
  <c r="I50" i="40"/>
  <c r="H50" i="40" s="1"/>
  <c r="O40" i="28"/>
  <c r="G87" i="28"/>
  <c r="G88" i="28"/>
  <c r="G79" i="28"/>
  <c r="H80" i="28"/>
  <c r="C85" i="28"/>
  <c r="G85" i="28" s="1"/>
  <c r="P49" i="16"/>
  <c r="H25" i="40"/>
  <c r="I72" i="16"/>
  <c r="M72" i="16"/>
  <c r="L25" i="40"/>
  <c r="O71" i="16"/>
  <c r="C93" i="21"/>
  <c r="N23" i="40"/>
  <c r="D112" i="15"/>
  <c r="AC22" i="11"/>
  <c r="O6" i="15" s="1"/>
  <c r="E42" i="40"/>
  <c r="E117" i="11"/>
  <c r="F87" i="28"/>
  <c r="H87" i="28" s="1"/>
  <c r="O61" i="11"/>
  <c r="O70" i="11" s="1"/>
  <c r="O78" i="11" s="1"/>
  <c r="F91" i="28"/>
  <c r="H91" i="28" s="1"/>
  <c r="G14" i="37"/>
  <c r="E53" i="40"/>
  <c r="E128" i="11"/>
  <c r="E36" i="29"/>
  <c r="D7" i="40"/>
  <c r="E78" i="11"/>
  <c r="E83" i="11" s="1"/>
  <c r="I36" i="29"/>
  <c r="H7" i="40"/>
  <c r="I78" i="11"/>
  <c r="M70" i="11"/>
  <c r="O81" i="11"/>
  <c r="O82" i="11" s="1"/>
  <c r="G82" i="11"/>
  <c r="E88" i="28"/>
  <c r="H88" i="28" s="1"/>
  <c r="O47" i="29"/>
  <c r="D47" i="40"/>
  <c r="I47" i="40" s="1"/>
  <c r="H47" i="40" s="1"/>
  <c r="D122" i="11"/>
  <c r="O49" i="29"/>
  <c r="D49" i="40"/>
  <c r="I49" i="40" s="1"/>
  <c r="H49" i="40" s="1"/>
  <c r="O51" i="29"/>
  <c r="D51" i="40"/>
  <c r="I51" i="40" s="1"/>
  <c r="H51" i="40" s="1"/>
  <c r="D126" i="11"/>
  <c r="O53" i="29"/>
  <c r="D53" i="40"/>
  <c r="I53" i="40" s="1"/>
  <c r="H53" i="40" s="1"/>
  <c r="D128" i="11"/>
  <c r="F55" i="29"/>
  <c r="F111" i="11"/>
  <c r="F61" i="29" s="1"/>
  <c r="J55" i="29"/>
  <c r="J111" i="11"/>
  <c r="J61" i="29" s="1"/>
  <c r="N55" i="29"/>
  <c r="N111" i="11"/>
  <c r="N61" i="29" s="1"/>
  <c r="O104" i="11"/>
  <c r="O105" i="11"/>
  <c r="D124" i="11"/>
  <c r="G55" i="40"/>
  <c r="F55" i="40" s="1"/>
  <c r="O36" i="28"/>
  <c r="P36" i="28"/>
  <c r="F81" i="28" s="1"/>
  <c r="H74" i="28"/>
  <c r="E118" i="16"/>
  <c r="Q61" i="16"/>
  <c r="F43" i="41"/>
  <c r="P48" i="16"/>
  <c r="P54" i="16"/>
  <c r="O60" i="16"/>
  <c r="E67" i="16"/>
  <c r="P71" i="16"/>
  <c r="E93" i="21"/>
  <c r="E85" i="15" s="1"/>
  <c r="P85" i="21"/>
  <c r="P93" i="21" s="1"/>
  <c r="X85" i="21"/>
  <c r="AB85" i="21"/>
  <c r="AC76" i="21"/>
  <c r="O68" i="15" s="1"/>
  <c r="D94" i="15" s="1"/>
  <c r="D58" i="27"/>
  <c r="D64" i="27" s="1"/>
  <c r="O60" i="29"/>
  <c r="G71" i="28"/>
  <c r="G78" i="28"/>
  <c r="O57" i="16"/>
  <c r="O59" i="16"/>
  <c r="O64" i="16"/>
  <c r="F93" i="21"/>
  <c r="Q93" i="21"/>
  <c r="AC85" i="21"/>
  <c r="U85" i="21"/>
  <c r="Y85" i="21"/>
  <c r="M17" i="38"/>
  <c r="O28" i="36"/>
  <c r="O8" i="29"/>
  <c r="O7" i="29" s="1"/>
  <c r="O16" i="29"/>
  <c r="C54" i="11"/>
  <c r="K54" i="11"/>
  <c r="G5" i="37"/>
  <c r="G13" i="37" s="1"/>
  <c r="G15" i="37" s="1"/>
  <c r="O27" i="29"/>
  <c r="E14" i="37"/>
  <c r="AC71" i="11"/>
  <c r="O55" i="15" s="1"/>
  <c r="P103" i="11"/>
  <c r="T103" i="11"/>
  <c r="X103" i="11"/>
  <c r="X111" i="11" s="1"/>
  <c r="AB103" i="11"/>
  <c r="AB111" i="11" s="1"/>
  <c r="H104" i="11"/>
  <c r="L104" i="11"/>
  <c r="N24" i="40"/>
  <c r="D33" i="40"/>
  <c r="H33" i="40"/>
  <c r="L33" i="40"/>
  <c r="D42" i="40"/>
  <c r="D44" i="40"/>
  <c r="I44" i="40" s="1"/>
  <c r="H44" i="40" s="1"/>
  <c r="D48" i="40"/>
  <c r="I48" i="40" s="1"/>
  <c r="H48" i="40" s="1"/>
  <c r="D52" i="40"/>
  <c r="I52" i="40" s="1"/>
  <c r="H52" i="40" s="1"/>
  <c r="D54" i="40"/>
  <c r="O58" i="28"/>
  <c r="C64" i="28"/>
  <c r="G70" i="28"/>
  <c r="G73" i="28"/>
  <c r="G75" i="28"/>
  <c r="G77" i="28"/>
  <c r="C81" i="28"/>
  <c r="C82" i="28" s="1"/>
  <c r="O55" i="16"/>
  <c r="O62" i="16"/>
  <c r="O66" i="16"/>
  <c r="F108" i="16"/>
  <c r="C96" i="16"/>
  <c r="P15" i="21"/>
  <c r="O90" i="21"/>
  <c r="O82" i="15" s="1"/>
  <c r="K12" i="38"/>
  <c r="K17" i="38" s="1"/>
  <c r="N16" i="38"/>
  <c r="D54" i="11"/>
  <c r="H54" i="11"/>
  <c r="L54" i="11"/>
  <c r="O62" i="11"/>
  <c r="P70" i="11"/>
  <c r="U103" i="11"/>
  <c r="U111" i="11" s="1"/>
  <c r="Y103" i="11"/>
  <c r="Y111" i="11" s="1"/>
  <c r="D111" i="11"/>
  <c r="H111" i="11"/>
  <c r="H61" i="29" s="1"/>
  <c r="L111" i="11"/>
  <c r="L61" i="29" s="1"/>
  <c r="E118" i="11"/>
  <c r="E120" i="11"/>
  <c r="D125" i="11"/>
  <c r="E126" i="11"/>
  <c r="D132" i="11"/>
  <c r="G69" i="28"/>
  <c r="G80" i="28"/>
  <c r="C67" i="16"/>
  <c r="G67" i="16"/>
  <c r="K67" i="16"/>
  <c r="O54" i="16"/>
  <c r="E111" i="16"/>
  <c r="Q59" i="16"/>
  <c r="O58" i="16"/>
  <c r="O61" i="16"/>
  <c r="P70" i="16"/>
  <c r="D92" i="16"/>
  <c r="D93" i="21"/>
  <c r="O84" i="21"/>
  <c r="E37" i="41"/>
  <c r="E43" i="41" s="1"/>
  <c r="O56" i="16"/>
  <c r="O63" i="16"/>
  <c r="F110" i="16"/>
  <c r="AD58" i="21"/>
  <c r="P56" i="15" s="1"/>
  <c r="R86" i="21"/>
  <c r="V86" i="21"/>
  <c r="H78" i="15" s="1"/>
  <c r="Z86" i="21"/>
  <c r="AC75" i="21"/>
  <c r="O67" i="15" s="1"/>
  <c r="AC78" i="21"/>
  <c r="AC87" i="21"/>
  <c r="O79" i="15" s="1"/>
  <c r="V85" i="21"/>
  <c r="C37" i="36"/>
  <c r="G37" i="36"/>
  <c r="G43" i="36" s="1"/>
  <c r="K37" i="36"/>
  <c r="K43" i="36" s="1"/>
  <c r="C92" i="16"/>
  <c r="AD57" i="21"/>
  <c r="P55" i="15" s="1"/>
  <c r="S86" i="21"/>
  <c r="E78" i="15" s="1"/>
  <c r="B104" i="15" s="1"/>
  <c r="W86" i="21"/>
  <c r="I78" i="15" s="1"/>
  <c r="AA86" i="21"/>
  <c r="AC74" i="21"/>
  <c r="O66" i="15" s="1"/>
  <c r="D92" i="15" s="1"/>
  <c r="G92" i="15" s="1"/>
  <c r="AC79" i="21"/>
  <c r="O71" i="15" s="1"/>
  <c r="D97" i="15" s="1"/>
  <c r="G97" i="15" s="1"/>
  <c r="AC81" i="21"/>
  <c r="O73" i="15" s="1"/>
  <c r="D99" i="15" s="1"/>
  <c r="G99" i="15" s="1"/>
  <c r="W85" i="21"/>
  <c r="O40" i="41"/>
  <c r="B17" i="38"/>
  <c r="L12" i="38"/>
  <c r="N12" i="38" s="1"/>
  <c r="H58" i="27"/>
  <c r="H64" i="27" s="1"/>
  <c r="O47" i="27"/>
  <c r="O52" i="27"/>
  <c r="AC72" i="21"/>
  <c r="AC82" i="21"/>
  <c r="O74" i="15" s="1"/>
  <c r="D37" i="41"/>
  <c r="D43" i="41" s="1"/>
  <c r="I58" i="27"/>
  <c r="I64" i="27" s="1"/>
  <c r="O48" i="27"/>
  <c r="E17" i="38"/>
  <c r="I17" i="38"/>
  <c r="B58" i="27"/>
  <c r="B64" i="27" s="1"/>
  <c r="F58" i="27"/>
  <c r="F64" i="27" s="1"/>
  <c r="J58" i="27"/>
  <c r="J64" i="27" s="1"/>
  <c r="N58" i="27"/>
  <c r="N64" i="27" s="1"/>
  <c r="O56" i="27"/>
  <c r="F17" i="38"/>
  <c r="J17" i="38"/>
  <c r="C58" i="27"/>
  <c r="G58" i="27"/>
  <c r="G64" i="27" s="1"/>
  <c r="K58" i="27"/>
  <c r="K64" i="27" s="1"/>
  <c r="O45" i="27"/>
  <c r="O54" i="27"/>
  <c r="F37" i="36"/>
  <c r="F43" i="36" s="1"/>
  <c r="J37" i="36"/>
  <c r="J43" i="36" s="1"/>
  <c r="N37" i="36"/>
  <c r="N43" i="36" s="1"/>
  <c r="O41" i="36"/>
  <c r="B37" i="36"/>
  <c r="B43" i="36" s="1"/>
  <c r="O39" i="36"/>
  <c r="J85" i="21" l="1"/>
  <c r="J93" i="21" s="1"/>
  <c r="J85" i="15" s="1"/>
  <c r="P53" i="11"/>
  <c r="Q53" i="11" s="1"/>
  <c r="O83" i="11"/>
  <c r="I93" i="21"/>
  <c r="I85" i="15" s="1"/>
  <c r="O12" i="10"/>
  <c r="G46" i="1"/>
  <c r="F104" i="15"/>
  <c r="C112" i="15"/>
  <c r="O70" i="15"/>
  <c r="D96" i="15" s="1"/>
  <c r="G96" i="15" s="1"/>
  <c r="B120" i="16"/>
  <c r="O89" i="21"/>
  <c r="O81" i="15" s="1"/>
  <c r="G81" i="15"/>
  <c r="G81" i="21"/>
  <c r="O81" i="21" s="1"/>
  <c r="G36" i="6"/>
  <c r="O3" i="6"/>
  <c r="O73" i="5"/>
  <c r="O74" i="10"/>
  <c r="O73" i="10" s="1"/>
  <c r="G46" i="4"/>
  <c r="O36" i="4"/>
  <c r="N25" i="41"/>
  <c r="N37" i="41" s="1"/>
  <c r="N43" i="41" s="1"/>
  <c r="N10" i="10"/>
  <c r="L11" i="5"/>
  <c r="L11" i="10" s="1"/>
  <c r="L10" i="32"/>
  <c r="J10" i="2"/>
  <c r="J11" i="10"/>
  <c r="O12" i="5"/>
  <c r="C46" i="32"/>
  <c r="O79" i="21"/>
  <c r="I91" i="21"/>
  <c r="I83" i="15" s="1"/>
  <c r="I80" i="15"/>
  <c r="O58" i="27"/>
  <c r="O64" i="27" s="1"/>
  <c r="C64" i="27"/>
  <c r="E104" i="15"/>
  <c r="D108" i="15"/>
  <c r="D109" i="15"/>
  <c r="E105" i="15"/>
  <c r="C72" i="16"/>
  <c r="P67" i="16"/>
  <c r="E120" i="16" s="1"/>
  <c r="O67" i="16"/>
  <c r="B25" i="40"/>
  <c r="AB93" i="21"/>
  <c r="N77" i="15"/>
  <c r="AC31" i="11"/>
  <c r="O15" i="15" s="1"/>
  <c r="O59" i="29"/>
  <c r="D134" i="11"/>
  <c r="G10" i="7"/>
  <c r="O11" i="7"/>
  <c r="O11" i="34"/>
  <c r="C10" i="34"/>
  <c r="F115" i="15"/>
  <c r="E115" i="15"/>
  <c r="O88" i="6"/>
  <c r="C46" i="33"/>
  <c r="O36" i="33"/>
  <c r="B10" i="32"/>
  <c r="B11" i="5"/>
  <c r="B11" i="10" s="1"/>
  <c r="N36" i="5"/>
  <c r="N46" i="32"/>
  <c r="K46" i="31"/>
  <c r="K97" i="16" s="1"/>
  <c r="K84" i="31"/>
  <c r="F102" i="10"/>
  <c r="M46" i="32"/>
  <c r="M36" i="5"/>
  <c r="G76" i="21"/>
  <c r="M76" i="21"/>
  <c r="M85" i="21" s="1"/>
  <c r="M3" i="10"/>
  <c r="O85" i="5"/>
  <c r="O84" i="5"/>
  <c r="G11" i="10"/>
  <c r="G10" i="22"/>
  <c r="O11" i="22"/>
  <c r="C31" i="41"/>
  <c r="O10" i="35"/>
  <c r="O25" i="10"/>
  <c r="N3" i="10"/>
  <c r="E84" i="31"/>
  <c r="E46" i="31"/>
  <c r="E97" i="16" s="1"/>
  <c r="E98" i="16" s="1"/>
  <c r="K10" i="35"/>
  <c r="K11" i="5"/>
  <c r="G28" i="41"/>
  <c r="K46" i="32"/>
  <c r="N29" i="41"/>
  <c r="N10" i="5"/>
  <c r="N28" i="41" s="1"/>
  <c r="AC86" i="21"/>
  <c r="O78" i="15" s="1"/>
  <c r="D78" i="15"/>
  <c r="C104" i="15" s="1"/>
  <c r="H132" i="11"/>
  <c r="G132" i="11"/>
  <c r="G131" i="11"/>
  <c r="H131" i="11"/>
  <c r="I46" i="33"/>
  <c r="I36" i="5"/>
  <c r="I11" i="10"/>
  <c r="I10" i="1"/>
  <c r="H77" i="21"/>
  <c r="H36" i="32"/>
  <c r="H3" i="5"/>
  <c r="G26" i="41"/>
  <c r="O26" i="41" s="1"/>
  <c r="O10" i="3"/>
  <c r="O37" i="36"/>
  <c r="C43" i="36"/>
  <c r="O43" i="36" s="1"/>
  <c r="D93" i="15"/>
  <c r="G93" i="15" s="1"/>
  <c r="C113" i="15"/>
  <c r="O64" i="28"/>
  <c r="E81" i="28"/>
  <c r="H81" i="28" s="1"/>
  <c r="E72" i="16"/>
  <c r="D25" i="40"/>
  <c r="M36" i="29"/>
  <c r="O36" i="29" s="1"/>
  <c r="L7" i="40"/>
  <c r="M78" i="11"/>
  <c r="M83" i="11" s="1"/>
  <c r="D83" i="11"/>
  <c r="P83" i="11" s="1"/>
  <c r="P78" i="11"/>
  <c r="E136" i="11" s="1"/>
  <c r="E46" i="40"/>
  <c r="E121" i="11"/>
  <c r="C98" i="28"/>
  <c r="G98" i="28" s="1"/>
  <c r="H84" i="31"/>
  <c r="H46" i="31"/>
  <c r="H97" i="16" s="1"/>
  <c r="O36" i="26"/>
  <c r="G46" i="26"/>
  <c r="C111" i="15"/>
  <c r="D100" i="15"/>
  <c r="G100" i="15" s="1"/>
  <c r="W93" i="21"/>
  <c r="I77" i="15"/>
  <c r="M78" i="15"/>
  <c r="V93" i="21"/>
  <c r="H77" i="15"/>
  <c r="L78" i="15"/>
  <c r="D85" i="15"/>
  <c r="I125" i="11"/>
  <c r="G125" i="11"/>
  <c r="E55" i="40"/>
  <c r="E130" i="11"/>
  <c r="D92" i="10"/>
  <c r="I54" i="40"/>
  <c r="H54" i="40" s="1"/>
  <c r="I42" i="40"/>
  <c r="H42" i="40" s="1"/>
  <c r="Y93" i="21"/>
  <c r="K77" i="15"/>
  <c r="X93" i="21"/>
  <c r="J77" i="15"/>
  <c r="O41" i="28"/>
  <c r="G124" i="11"/>
  <c r="I124" i="11"/>
  <c r="G126" i="11"/>
  <c r="I83" i="11"/>
  <c r="AA93" i="21"/>
  <c r="M77" i="15"/>
  <c r="Q111" i="11"/>
  <c r="C85" i="15" s="1"/>
  <c r="AC103" i="11"/>
  <c r="C77" i="15"/>
  <c r="Z93" i="21"/>
  <c r="L77" i="15"/>
  <c r="F36" i="43"/>
  <c r="F10" i="42"/>
  <c r="O11" i="42"/>
  <c r="N46" i="31"/>
  <c r="N97" i="16" s="1"/>
  <c r="N84" i="31"/>
  <c r="D84" i="31"/>
  <c r="D46" i="31"/>
  <c r="D97" i="16" s="1"/>
  <c r="D98" i="16" s="1"/>
  <c r="G10" i="8"/>
  <c r="G10" i="10" s="1"/>
  <c r="O11" i="8"/>
  <c r="C80" i="21"/>
  <c r="O80" i="21" s="1"/>
  <c r="O3" i="34"/>
  <c r="C36" i="34"/>
  <c r="G33" i="41"/>
  <c r="O33" i="41" s="1"/>
  <c r="O10" i="6"/>
  <c r="O3" i="32"/>
  <c r="O29" i="10"/>
  <c r="O13" i="10"/>
  <c r="K96" i="16"/>
  <c r="G74" i="21"/>
  <c r="O74" i="21" s="1"/>
  <c r="G36" i="3"/>
  <c r="O3" i="3"/>
  <c r="G3" i="10"/>
  <c r="N96" i="16"/>
  <c r="G91" i="21"/>
  <c r="O88" i="21"/>
  <c r="O80" i="15" s="1"/>
  <c r="G80" i="15"/>
  <c r="N91" i="21"/>
  <c r="N83" i="15" s="1"/>
  <c r="M10" i="1"/>
  <c r="M11" i="10"/>
  <c r="O11" i="31"/>
  <c r="C10" i="31"/>
  <c r="M96" i="16"/>
  <c r="K11" i="10"/>
  <c r="K10" i="1"/>
  <c r="O21" i="10"/>
  <c r="L77" i="21"/>
  <c r="O77" i="21" s="1"/>
  <c r="L36" i="32"/>
  <c r="L3" i="5"/>
  <c r="H93" i="10"/>
  <c r="N46" i="1"/>
  <c r="N36" i="10"/>
  <c r="L79" i="16"/>
  <c r="G72" i="16"/>
  <c r="F25" i="40"/>
  <c r="AC93" i="21"/>
  <c r="O77" i="15"/>
  <c r="B46" i="31"/>
  <c r="B97" i="16" s="1"/>
  <c r="B84" i="31"/>
  <c r="L84" i="31"/>
  <c r="L46" i="31"/>
  <c r="L97" i="16" s="1"/>
  <c r="G46" i="32"/>
  <c r="G36" i="5"/>
  <c r="J36" i="5"/>
  <c r="J46" i="32"/>
  <c r="G24" i="41"/>
  <c r="C110" i="15"/>
  <c r="O64" i="15"/>
  <c r="D90" i="15" s="1"/>
  <c r="G90" i="15" s="1"/>
  <c r="C120" i="16"/>
  <c r="N25" i="40"/>
  <c r="C109" i="15"/>
  <c r="D105" i="15"/>
  <c r="K72" i="16"/>
  <c r="J25" i="40"/>
  <c r="D61" i="29"/>
  <c r="B136" i="11"/>
  <c r="E7" i="37"/>
  <c r="E13" i="37" s="1"/>
  <c r="E15" i="37" s="1"/>
  <c r="L17" i="38"/>
  <c r="N17" i="38" s="1"/>
  <c r="O72" i="21"/>
  <c r="H103" i="15"/>
  <c r="K81" i="28"/>
  <c r="J81" i="28" s="1"/>
  <c r="G81" i="28"/>
  <c r="T111" i="11"/>
  <c r="F85" i="15" s="1"/>
  <c r="F77" i="15"/>
  <c r="U93" i="21"/>
  <c r="G77" i="15"/>
  <c r="E107" i="16"/>
  <c r="Q57" i="16"/>
  <c r="G128" i="11"/>
  <c r="I122" i="11"/>
  <c r="G122" i="11"/>
  <c r="G120" i="11"/>
  <c r="G118" i="11"/>
  <c r="H133" i="11"/>
  <c r="G133" i="11"/>
  <c r="O46" i="29"/>
  <c r="D46" i="40"/>
  <c r="D121" i="11"/>
  <c r="G121" i="11" s="1"/>
  <c r="O103" i="11"/>
  <c r="F98" i="28"/>
  <c r="P54" i="15"/>
  <c r="E139" i="11"/>
  <c r="F139" i="11" s="1"/>
  <c r="C61" i="29"/>
  <c r="C136" i="11"/>
  <c r="AC104" i="11"/>
  <c r="C78" i="15"/>
  <c r="F83" i="11"/>
  <c r="E114" i="15"/>
  <c r="F114" i="15"/>
  <c r="J46" i="31"/>
  <c r="J97" i="16" s="1"/>
  <c r="J84" i="31"/>
  <c r="O36" i="30"/>
  <c r="G46" i="30"/>
  <c r="F46" i="31"/>
  <c r="F97" i="16" s="1"/>
  <c r="F98" i="16" s="1"/>
  <c r="F84" i="31"/>
  <c r="G10" i="9"/>
  <c r="O11" i="9"/>
  <c r="T14" i="37"/>
  <c r="O11" i="2"/>
  <c r="J46" i="1"/>
  <c r="G85" i="21"/>
  <c r="K91" i="21"/>
  <c r="K83" i="15" s="1"/>
  <c r="K80" i="15"/>
  <c r="J29" i="41"/>
  <c r="J10" i="5"/>
  <c r="J28" i="41" s="1"/>
  <c r="B96" i="16"/>
  <c r="O11" i="32"/>
  <c r="J76" i="21"/>
  <c r="J3" i="10"/>
  <c r="L96" i="16"/>
  <c r="O4" i="5"/>
  <c r="O11" i="1"/>
  <c r="I3" i="10"/>
  <c r="I84" i="31"/>
  <c r="I46" i="31"/>
  <c r="I97" i="16" s="1"/>
  <c r="M91" i="21"/>
  <c r="M83" i="15" s="1"/>
  <c r="M80" i="15"/>
  <c r="H46" i="1"/>
  <c r="M84" i="31"/>
  <c r="M46" i="31"/>
  <c r="M97" i="16" s="1"/>
  <c r="G84" i="31"/>
  <c r="G46" i="31"/>
  <c r="G97" i="16" s="1"/>
  <c r="H11" i="5"/>
  <c r="H11" i="10" s="1"/>
  <c r="H10" i="32"/>
  <c r="C36" i="35"/>
  <c r="N85" i="21"/>
  <c r="N93" i="21" s="1"/>
  <c r="N85" i="15" s="1"/>
  <c r="I96" i="16"/>
  <c r="E110" i="15" l="1"/>
  <c r="F110" i="15"/>
  <c r="J84" i="16"/>
  <c r="J46" i="5"/>
  <c r="J83" i="16" s="1"/>
  <c r="N79" i="16"/>
  <c r="L36" i="5"/>
  <c r="L36" i="10" s="1"/>
  <c r="L46" i="32"/>
  <c r="C42" i="41"/>
  <c r="O10" i="31"/>
  <c r="C36" i="31"/>
  <c r="I93" i="10"/>
  <c r="O11" i="10"/>
  <c r="B10" i="5"/>
  <c r="B10" i="10" s="1"/>
  <c r="B36" i="32"/>
  <c r="O36" i="6"/>
  <c r="G46" i="6"/>
  <c r="C46" i="35"/>
  <c r="J79" i="16"/>
  <c r="G94" i="16"/>
  <c r="O46" i="30"/>
  <c r="O94" i="16" s="1"/>
  <c r="I46" i="40"/>
  <c r="H46" i="40" s="1"/>
  <c r="T5" i="37"/>
  <c r="O10" i="42"/>
  <c r="F36" i="42"/>
  <c r="C103" i="15"/>
  <c r="F103" i="15" s="1"/>
  <c r="N13" i="40"/>
  <c r="G95" i="16"/>
  <c r="O46" i="26"/>
  <c r="O95" i="16" s="1"/>
  <c r="I85" i="16"/>
  <c r="I46" i="5"/>
  <c r="I83" i="16" s="1"/>
  <c r="M84" i="16"/>
  <c r="M46" i="5"/>
  <c r="M83" i="16" s="1"/>
  <c r="N84" i="16"/>
  <c r="N46" i="5"/>
  <c r="N83" i="16" s="1"/>
  <c r="G34" i="41"/>
  <c r="O34" i="41" s="1"/>
  <c r="O10" i="7"/>
  <c r="G36" i="7"/>
  <c r="C84" i="16"/>
  <c r="O46" i="32"/>
  <c r="L29" i="41"/>
  <c r="L10" i="5"/>
  <c r="F120" i="16"/>
  <c r="G79" i="16"/>
  <c r="G93" i="21"/>
  <c r="O55" i="29"/>
  <c r="D55" i="40"/>
  <c r="I55" i="40" s="1"/>
  <c r="H55" i="40" s="1"/>
  <c r="D130" i="11"/>
  <c r="G130" i="11" s="1"/>
  <c r="O111" i="11"/>
  <c r="C92" i="10"/>
  <c r="F109" i="15"/>
  <c r="E109" i="15"/>
  <c r="G37" i="41"/>
  <c r="G84" i="16"/>
  <c r="G46" i="5"/>
  <c r="L76" i="21"/>
  <c r="L85" i="21" s="1"/>
  <c r="L93" i="21" s="1"/>
  <c r="L85" i="15" s="1"/>
  <c r="L3" i="10"/>
  <c r="K24" i="41"/>
  <c r="K36" i="1"/>
  <c r="M24" i="41"/>
  <c r="M37" i="41" s="1"/>
  <c r="M43" i="41" s="1"/>
  <c r="M10" i="10"/>
  <c r="M36" i="1"/>
  <c r="O91" i="21"/>
  <c r="O83" i="15" s="1"/>
  <c r="G83" i="15"/>
  <c r="G46" i="3"/>
  <c r="O36" i="3"/>
  <c r="C46" i="34"/>
  <c r="O36" i="34"/>
  <c r="G35" i="41"/>
  <c r="O35" i="41" s="1"/>
  <c r="O10" i="8"/>
  <c r="G36" i="8"/>
  <c r="F113" i="15"/>
  <c r="E113" i="15"/>
  <c r="H76" i="21"/>
  <c r="H85" i="21" s="1"/>
  <c r="H93" i="21" s="1"/>
  <c r="H85" i="15" s="1"/>
  <c r="H3" i="10"/>
  <c r="O3" i="10" s="1"/>
  <c r="D104" i="15"/>
  <c r="G104" i="15" s="1"/>
  <c r="C108" i="15"/>
  <c r="G38" i="41"/>
  <c r="O10" i="22"/>
  <c r="G36" i="22"/>
  <c r="F112" i="15"/>
  <c r="E112" i="15"/>
  <c r="D103" i="15"/>
  <c r="C107" i="15"/>
  <c r="F111" i="15"/>
  <c r="E111" i="15"/>
  <c r="H36" i="5"/>
  <c r="H36" i="10" s="1"/>
  <c r="H46" i="32"/>
  <c r="H94" i="10"/>
  <c r="P10" i="35"/>
  <c r="M93" i="21"/>
  <c r="M85" i="15" s="1"/>
  <c r="O36" i="32"/>
  <c r="J25" i="41"/>
  <c r="J10" i="10"/>
  <c r="O10" i="2"/>
  <c r="J36" i="2"/>
  <c r="G82" i="16"/>
  <c r="O82" i="16" s="1"/>
  <c r="O46" i="4"/>
  <c r="D107" i="15"/>
  <c r="E103" i="15"/>
  <c r="F93" i="10"/>
  <c r="H29" i="41"/>
  <c r="O29" i="41" s="1"/>
  <c r="H10" i="5"/>
  <c r="O10" i="32"/>
  <c r="P10" i="32" s="1"/>
  <c r="H79" i="16"/>
  <c r="G36" i="41"/>
  <c r="O36" i="41" s="1"/>
  <c r="O10" i="9"/>
  <c r="G36" i="9"/>
  <c r="F136" i="11"/>
  <c r="G105" i="15"/>
  <c r="O10" i="1"/>
  <c r="O11" i="5"/>
  <c r="O44" i="35"/>
  <c r="O36" i="43"/>
  <c r="F46" i="43"/>
  <c r="O46" i="43" s="1"/>
  <c r="AC111" i="11"/>
  <c r="E98" i="28"/>
  <c r="H98" i="28" s="1"/>
  <c r="I24" i="41"/>
  <c r="I37" i="41" s="1"/>
  <c r="I43" i="41" s="1"/>
  <c r="I10" i="10"/>
  <c r="I36" i="1"/>
  <c r="K84" i="16"/>
  <c r="K31" i="41"/>
  <c r="O31" i="41" s="1"/>
  <c r="K10" i="5"/>
  <c r="K28" i="41" s="1"/>
  <c r="K36" i="35"/>
  <c r="O3" i="5"/>
  <c r="C85" i="16"/>
  <c r="O46" i="33"/>
  <c r="C32" i="41"/>
  <c r="O32" i="41" s="1"/>
  <c r="O10" i="34"/>
  <c r="G139" i="11"/>
  <c r="G134" i="11"/>
  <c r="O72" i="16"/>
  <c r="P72" i="16"/>
  <c r="K93" i="21"/>
  <c r="K85" i="15" s="1"/>
  <c r="AC53" i="11"/>
  <c r="O36" i="15" s="1"/>
  <c r="C36" i="15"/>
  <c r="G46" i="9" l="1"/>
  <c r="O36" i="9"/>
  <c r="U9" i="37"/>
  <c r="D110" i="16"/>
  <c r="G110" i="16" s="1"/>
  <c r="O25" i="41"/>
  <c r="J37" i="41"/>
  <c r="J43" i="41" s="1"/>
  <c r="G46" i="8"/>
  <c r="O36" i="8"/>
  <c r="C87" i="16"/>
  <c r="O46" i="34"/>
  <c r="I109" i="10" s="1"/>
  <c r="G43" i="41"/>
  <c r="J46" i="2"/>
  <c r="J36" i="10"/>
  <c r="O36" i="2"/>
  <c r="G41" i="41"/>
  <c r="O41" i="41" s="1"/>
  <c r="O38" i="41"/>
  <c r="M36" i="10"/>
  <c r="M46" i="1"/>
  <c r="K10" i="10"/>
  <c r="G83" i="16"/>
  <c r="G85" i="15"/>
  <c r="O93" i="21"/>
  <c r="O85" i="15" s="1"/>
  <c r="C112" i="16"/>
  <c r="F112" i="16" s="1"/>
  <c r="N46" i="10"/>
  <c r="O85" i="21"/>
  <c r="F46" i="42"/>
  <c r="O36" i="42"/>
  <c r="I94" i="10"/>
  <c r="F94" i="10" s="1"/>
  <c r="P10" i="34"/>
  <c r="K46" i="35"/>
  <c r="K36" i="5"/>
  <c r="O36" i="5" s="1"/>
  <c r="H28" i="41"/>
  <c r="H10" i="10"/>
  <c r="O10" i="5"/>
  <c r="H84" i="16"/>
  <c r="O84" i="16" s="1"/>
  <c r="D112" i="16" s="1"/>
  <c r="G112" i="16" s="1"/>
  <c r="H46" i="5"/>
  <c r="F107" i="15"/>
  <c r="E107" i="15"/>
  <c r="O76" i="21"/>
  <c r="F108" i="15"/>
  <c r="E108" i="15"/>
  <c r="G81" i="16"/>
  <c r="O81" i="16" s="1"/>
  <c r="D109" i="16" s="1"/>
  <c r="G109" i="16" s="1"/>
  <c r="O46" i="3"/>
  <c r="K37" i="41"/>
  <c r="K43" i="41" s="1"/>
  <c r="L28" i="41"/>
  <c r="L37" i="41" s="1"/>
  <c r="L43" i="41" s="1"/>
  <c r="L10" i="10"/>
  <c r="G46" i="7"/>
  <c r="O36" i="7"/>
  <c r="C86" i="16"/>
  <c r="O46" i="35"/>
  <c r="H109" i="10" s="1"/>
  <c r="F109" i="10" s="1"/>
  <c r="B36" i="5"/>
  <c r="B36" i="10" s="1"/>
  <c r="B46" i="32"/>
  <c r="O42" i="41"/>
  <c r="C43" i="41"/>
  <c r="N92" i="16"/>
  <c r="N98" i="16" s="1"/>
  <c r="O85" i="16"/>
  <c r="D113" i="16" s="1"/>
  <c r="G113" i="16" s="1"/>
  <c r="C113" i="16"/>
  <c r="F113" i="16" s="1"/>
  <c r="K36" i="10"/>
  <c r="K46" i="1"/>
  <c r="O61" i="29"/>
  <c r="D136" i="11"/>
  <c r="G136" i="11" s="1"/>
  <c r="G88" i="16"/>
  <c r="O88" i="16" s="1"/>
  <c r="D116" i="16" s="1"/>
  <c r="G116" i="16" s="1"/>
  <c r="O46" i="6"/>
  <c r="O36" i="31"/>
  <c r="C46" i="31"/>
  <c r="C84" i="31"/>
  <c r="G36" i="10"/>
  <c r="I36" i="10"/>
  <c r="I46" i="1"/>
  <c r="O36" i="1"/>
  <c r="L103" i="15"/>
  <c r="G103" i="15"/>
  <c r="O36" i="22"/>
  <c r="G46" i="22"/>
  <c r="O24" i="41"/>
  <c r="K92" i="10"/>
  <c r="F92" i="10"/>
  <c r="G46" i="10"/>
  <c r="O36" i="35"/>
  <c r="O44" i="34"/>
  <c r="N87" i="5" s="1"/>
  <c r="L84" i="16"/>
  <c r="L46" i="5"/>
  <c r="L83" i="16" l="1"/>
  <c r="L46" i="10"/>
  <c r="G93" i="16"/>
  <c r="G96" i="16" s="1"/>
  <c r="O46" i="22"/>
  <c r="O93" i="16" s="1"/>
  <c r="O96" i="16" s="1"/>
  <c r="K79" i="16"/>
  <c r="G89" i="16"/>
  <c r="O89" i="16" s="1"/>
  <c r="O46" i="7"/>
  <c r="I79" i="16"/>
  <c r="I46" i="10"/>
  <c r="O46" i="1"/>
  <c r="C97" i="16"/>
  <c r="C98" i="16" s="1"/>
  <c r="O46" i="31"/>
  <c r="O97" i="16" s="1"/>
  <c r="C114" i="16"/>
  <c r="F114" i="16" s="1"/>
  <c r="O10" i="10"/>
  <c r="K86" i="16"/>
  <c r="O86" i="16" s="1"/>
  <c r="D114" i="16" s="1"/>
  <c r="G114" i="16" s="1"/>
  <c r="K46" i="5"/>
  <c r="K83" i="16" s="1"/>
  <c r="F99" i="16"/>
  <c r="O99" i="16" s="1"/>
  <c r="O46" i="42"/>
  <c r="J80" i="16"/>
  <c r="O46" i="2"/>
  <c r="J46" i="10"/>
  <c r="G90" i="16"/>
  <c r="O90" i="16" s="1"/>
  <c r="O46" i="8"/>
  <c r="O36" i="10"/>
  <c r="B84" i="16"/>
  <c r="B46" i="5"/>
  <c r="H83" i="16"/>
  <c r="H92" i="16" s="1"/>
  <c r="H98" i="16" s="1"/>
  <c r="H46" i="10"/>
  <c r="H37" i="41"/>
  <c r="O28" i="41"/>
  <c r="M79" i="16"/>
  <c r="M92" i="16" s="1"/>
  <c r="M98" i="16" s="1"/>
  <c r="M46" i="10"/>
  <c r="G92" i="16"/>
  <c r="G98" i="16" s="1"/>
  <c r="C115" i="16"/>
  <c r="F115" i="16" s="1"/>
  <c r="O87" i="16"/>
  <c r="G91" i="16"/>
  <c r="O91" i="16" s="1"/>
  <c r="O46" i="9"/>
  <c r="O80" i="16" l="1"/>
  <c r="D108" i="16" s="1"/>
  <c r="G108" i="16" s="1"/>
  <c r="J92" i="16"/>
  <c r="J98" i="16" s="1"/>
  <c r="B83" i="16"/>
  <c r="B92" i="16" s="1"/>
  <c r="B98" i="16" s="1"/>
  <c r="P98" i="16" s="1"/>
  <c r="B46" i="10"/>
  <c r="U10" i="37"/>
  <c r="D118" i="16"/>
  <c r="G118" i="16" s="1"/>
  <c r="P86" i="16"/>
  <c r="O83" i="16"/>
  <c r="U6" i="37"/>
  <c r="D117" i="16"/>
  <c r="G117" i="16" s="1"/>
  <c r="K46" i="10"/>
  <c r="O46" i="10" s="1"/>
  <c r="D115" i="16"/>
  <c r="G115" i="16" s="1"/>
  <c r="P104" i="16"/>
  <c r="P100" i="16" s="1"/>
  <c r="P101" i="16" s="1"/>
  <c r="U12" i="37"/>
  <c r="D119" i="16"/>
  <c r="G119" i="16" s="1"/>
  <c r="H43" i="41"/>
  <c r="O43" i="41" s="1"/>
  <c r="O37" i="41"/>
  <c r="O46" i="5"/>
  <c r="I92" i="16"/>
  <c r="I98" i="16" s="1"/>
  <c r="O79" i="16"/>
  <c r="K92" i="16"/>
  <c r="K98" i="16" s="1"/>
  <c r="T7" i="37"/>
  <c r="T13" i="37" s="1"/>
  <c r="T15" i="37" s="1"/>
  <c r="L92" i="16"/>
  <c r="L98" i="16" s="1"/>
  <c r="U14" i="37" l="1"/>
  <c r="U5" i="37"/>
  <c r="D107" i="16"/>
  <c r="G107" i="16" s="1"/>
  <c r="O92" i="16"/>
  <c r="P81" i="16"/>
  <c r="D111" i="16"/>
  <c r="U7" i="37"/>
  <c r="P83" i="16"/>
  <c r="U13" i="37" l="1"/>
  <c r="U15" i="37" s="1"/>
  <c r="O98" i="16"/>
  <c r="D120" i="16"/>
  <c r="G120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ZDD</author>
  </authors>
  <commentList>
    <comment ref="R7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ZDD:</t>
        </r>
        <r>
          <rPr>
            <sz val="9"/>
            <rFont val="宋体"/>
            <family val="3"/>
            <charset val="134"/>
          </rPr>
          <t xml:space="preserve">
小草湖外购动力费
</t>
        </r>
      </text>
    </comment>
    <comment ref="R78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ZDD:</t>
        </r>
        <r>
          <rPr>
            <sz val="9"/>
            <rFont val="宋体"/>
            <family val="3"/>
            <charset val="134"/>
          </rPr>
          <t xml:space="preserve">
劳务外包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7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废旧物资处理收入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40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两个细则考核扣款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A86" authorId="0" shapeId="0" xr:uid="{00000000-0006-0000-15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冲销8-10月结算电量重列，增加未列账电量486万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ZDD</author>
  </authors>
  <commentList>
    <comment ref="L68" authorId="0" shapeId="0" xr:uid="{00000000-0006-0000-1800-000001000000}">
      <text>
        <r>
          <rPr>
            <b/>
            <sz val="9"/>
            <rFont val="宋体"/>
            <family val="3"/>
            <charset val="134"/>
          </rPr>
          <t>ZDD:</t>
        </r>
        <r>
          <rPr>
            <sz val="9"/>
            <rFont val="宋体"/>
            <family val="3"/>
            <charset val="134"/>
          </rPr>
          <t xml:space="preserve">
10月二期转经营</t>
        </r>
      </text>
    </comment>
  </commentList>
</comments>
</file>

<file path=xl/sharedStrings.xml><?xml version="1.0" encoding="utf-8"?>
<sst xmlns="http://schemas.openxmlformats.org/spreadsheetml/2006/main" count="3789" uniqueCount="284">
  <si>
    <t>预算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</si>
  <si>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</si>
  <si>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</si>
  <si>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</si>
  <si>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</si>
  <si>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</si>
  <si>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</si>
  <si>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</si>
  <si>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</si>
  <si>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</si>
  <si>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</si>
  <si>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</si>
  <si>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</si>
  <si>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全年总计</t>
  </si>
  <si>
    <t>一、营业总收入(PL)</t>
  </si>
  <si>
    <t>其中：营业收入(PL)</t>
  </si>
  <si>
    <t>电费冲减</t>
  </si>
  <si>
    <t>   其中：主营业务收入(PL)</t>
  </si>
  <si>
    <t>   其他业务收入(PL)</t>
  </si>
  <si>
    <t>△利息收入(PL)</t>
  </si>
  <si>
    <t>△已赚保费(PL)</t>
  </si>
  <si>
    <t>△手续费及佣金收入(PL)</t>
  </si>
  <si>
    <t>二、营业总成本(PL)</t>
  </si>
  <si>
    <t>其中：营业成本(PL)</t>
  </si>
  <si>
    <t>   其中：主营业务成本</t>
  </si>
  <si>
    <t>   其他业务成本(PL)</t>
  </si>
  <si>
    <t>△利息支出(PL)</t>
  </si>
  <si>
    <t>△手续费及佣金支出(PL)</t>
  </si>
  <si>
    <t>△退保金(PL)</t>
  </si>
  <si>
    <t>△赔付支出净额(PL)</t>
  </si>
  <si>
    <t>△提取保险合同准备金净额(PL)</t>
  </si>
  <si>
    <t>△保单红利支出(PL)</t>
  </si>
  <si>
    <t>△分保费用(PL)</t>
  </si>
  <si>
    <t>税金及附加(PL)</t>
  </si>
  <si>
    <t>销售费用(PL)</t>
  </si>
  <si>
    <t>管理费用(PL)</t>
  </si>
  <si>
    <t>其中：研究开发费(PL)</t>
  </si>
  <si>
    <t>财务费用(PL)</t>
  </si>
  <si>
    <t>其中：利息支出(PL)</t>
  </si>
  <si>
    <t>利息收入(PL)</t>
  </si>
  <si>
    <t>汇兑净损失（净收益以“-”号填列）(PL)</t>
  </si>
  <si>
    <t>资产减值损失(PL)</t>
  </si>
  <si>
    <t>其他(PL)</t>
  </si>
  <si>
    <t>加：公允价值变动收益（损失以“-”号填列）(PL)</t>
  </si>
  <si>
    <t>投资收益（损失以“－”号填列）(PL)</t>
  </si>
  <si>
    <t>其中：对联营企业和合营企业的投资收益(PL)</t>
  </si>
  <si>
    <t>△汇兑收益（损失以“-”号填列）(PL)</t>
  </si>
  <si>
    <t>其他收益</t>
  </si>
  <si>
    <t>三、营业利润(PL)</t>
  </si>
  <si>
    <t>营业外收入(PL)</t>
  </si>
  <si>
    <t>其中：非流动资产处置利得(PL)</t>
  </si>
  <si>
    <t>非货币性资产交换利得</t>
  </si>
  <si>
    <t>政府补助</t>
  </si>
  <si>
    <t>债务重组利得</t>
  </si>
  <si>
    <t>营业外支出(PL)</t>
  </si>
  <si>
    <t>其中：非流动资产处置损失(PL)</t>
  </si>
  <si>
    <t>非货币性资产交换损失</t>
  </si>
  <si>
    <t>债务重组损失</t>
  </si>
  <si>
    <t>四、利润总额(PL)</t>
  </si>
  <si>
    <t>所得税费用(PL)</t>
  </si>
  <si>
    <t>五、净利润(PL)</t>
  </si>
  <si>
    <t>*持续经营少数股东损益</t>
  </si>
  <si>
    <t>归属于母公司所有者的持续经营净利润</t>
  </si>
  <si>
    <t>七、提取法定盈余公积(PL)</t>
  </si>
  <si>
    <t>八、应上交国家利润（国家股利）(PL)</t>
  </si>
  <si>
    <t>***表内数据校验***</t>
  </si>
  <si>
    <t>少数股东损益(H)(单户表应为零)</t>
  </si>
  <si>
    <t>六、其他综合收益的税后净额(PL)</t>
  </si>
  <si>
    <t>（一）以后不能重分类进损益的其他综合收益(PL)</t>
  </si>
  <si>
    <t>其中：1.重新计量设定受益计划净负债或净资产的变动(PL)</t>
  </si>
  <si>
    <t>2.权益法下在被投资单位</t>
  </si>
  <si>
    <t>（二）以后将重分类进损益的其他综合收益(PL)</t>
  </si>
  <si>
    <t>其中：1.权益法下在被投资单位以后将重分类进</t>
  </si>
  <si>
    <t>2.可供出售金融资产公允价值变动损益(PL)</t>
  </si>
  <si>
    <t>3.持有至到期投资重分类为可供出售金融资产损益(PL)</t>
  </si>
  <si>
    <t>4.现金流量套期损益的有效部分(PL)</t>
  </si>
  <si>
    <t>5.外币财务报表折算差额(PL)</t>
  </si>
  <si>
    <t>七、综合收益总额(PL)</t>
  </si>
  <si>
    <t>归属于母公司所有者的综合收益总额(PL)</t>
  </si>
  <si>
    <t>*归属于少数股东的综合收益总额(PL)</t>
  </si>
  <si>
    <t>八、每股收益：(PL)</t>
  </si>
  <si>
    <t>持续经营基本每股收益</t>
  </si>
  <si>
    <t>持续经营稀释每股收益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</si>
  <si>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</si>
  <si>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</si>
  <si>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</si>
  <si>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</si>
  <si>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</si>
  <si>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</si>
  <si>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</si>
  <si>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</si>
  <si>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</si>
  <si>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</si>
  <si>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</si>
  <si>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</si>
  <si>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</si>
  <si>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营业成本</t>
  </si>
  <si>
    <t>外购动力费</t>
  </si>
  <si>
    <t>材料修理费</t>
  </si>
  <si>
    <t>折旧费用</t>
  </si>
  <si>
    <t>职工薪酬</t>
  </si>
  <si>
    <t>其他费用</t>
  </si>
  <si>
    <t>其他业务成本</t>
  </si>
  <si>
    <t>营业税金及附加</t>
  </si>
  <si>
    <t>管理费用</t>
  </si>
  <si>
    <t>财务费用</t>
  </si>
  <si>
    <t>资产减值损失</t>
  </si>
  <si>
    <t>营业外收入</t>
  </si>
  <si>
    <t>营业外支出</t>
  </si>
  <si>
    <t>项目名称</t>
  </si>
  <si>
    <t>年度预算</t>
  </si>
  <si>
    <t>本年累计</t>
  </si>
  <si>
    <t>上年同期</t>
  </si>
  <si>
    <t>预算完成率</t>
  </si>
  <si>
    <t>同比</t>
  </si>
  <si>
    <t>贝壳梁二期</t>
  </si>
  <si>
    <t>景峡</t>
  </si>
  <si>
    <t>烟墩</t>
  </si>
  <si>
    <t>备注</t>
  </si>
  <si>
    <t>发电量</t>
  </si>
  <si>
    <t>营业总收入</t>
  </si>
  <si>
    <t>发电量增加</t>
  </si>
  <si>
    <t>营业总成本</t>
  </si>
  <si>
    <t xml:space="preserve">  其中：主营业务成本</t>
  </si>
  <si>
    <t xml:space="preserve">    其中： 外购动力费</t>
  </si>
  <si>
    <t xml:space="preserve">           材料修理费</t>
  </si>
  <si>
    <t>发生较少</t>
  </si>
  <si>
    <t xml:space="preserve">           折旧费用</t>
  </si>
  <si>
    <t xml:space="preserve">           其他费用</t>
  </si>
  <si>
    <t>劳务外包费用94万元列支在其他生产费用，上年列支在人工成本-劳务派遣</t>
  </si>
  <si>
    <t xml:space="preserve">             其他业务成本</t>
  </si>
  <si>
    <t>为淖毛湖汇集站摊销费，在每季度末计提</t>
  </si>
  <si>
    <t>税金及附加</t>
  </si>
  <si>
    <t>部分税金是在季度末计提</t>
  </si>
  <si>
    <t xml:space="preserve">   其中：差旅费</t>
  </si>
  <si>
    <t>差旅费同比增加较多，会议费、办公杂费、车辆使用费同比均降低。</t>
  </si>
  <si>
    <t xml:space="preserve">  业务招待费</t>
  </si>
  <si>
    <t>公司下达的各部门、各项目主要可控费用目前均可控。</t>
  </si>
  <si>
    <t xml:space="preserve">  会议费</t>
  </si>
  <si>
    <t xml:space="preserve">  办公杂费</t>
  </si>
  <si>
    <t xml:space="preserve">  车辆使用费</t>
  </si>
  <si>
    <t>利润总额</t>
  </si>
  <si>
    <t>人工成本（全口径）</t>
  </si>
  <si>
    <t>为全口径数据，含生产、管理、基建；已计提了1季度的社保等费用</t>
  </si>
  <si>
    <t>   其中：主营业务成本(PL)</t>
  </si>
  <si>
    <t>主营业务成本</t>
  </si>
  <si>
    <t>主营成本</t>
  </si>
  <si>
    <t>2015年</t>
  </si>
  <si>
    <t>白银风电</t>
  </si>
  <si>
    <t>酒泉一风电</t>
  </si>
  <si>
    <t>酒泉二风电</t>
  </si>
  <si>
    <t>青海风电</t>
  </si>
  <si>
    <t>哈密风电</t>
  </si>
  <si>
    <t>其中：三塘湖</t>
  </si>
  <si>
    <t xml:space="preserve">     淖毛胡</t>
  </si>
  <si>
    <t xml:space="preserve">     景峡五A</t>
  </si>
  <si>
    <t xml:space="preserve">     烟墩八A</t>
  </si>
  <si>
    <t>吐鲁番风电</t>
  </si>
  <si>
    <t>敦煌光伏</t>
  </si>
  <si>
    <t>格尔木光伏</t>
  </si>
  <si>
    <t>石嘴山光伏</t>
  </si>
  <si>
    <t>平均上网电价（含税）</t>
  </si>
  <si>
    <t>2016年</t>
  </si>
  <si>
    <t>云南风电</t>
  </si>
  <si>
    <t>楚雄风电</t>
  </si>
  <si>
    <t>大理光伏</t>
  </si>
  <si>
    <t>单位：元/千瓦时</t>
  </si>
  <si>
    <t>累计平均</t>
  </si>
  <si>
    <t>平均交易电价降幅（含税）</t>
  </si>
  <si>
    <t>平均交易电价累计降幅（含税）</t>
  </si>
  <si>
    <t>2017年</t>
  </si>
  <si>
    <t>其中：风电</t>
  </si>
  <si>
    <t xml:space="preserve">     光伏</t>
  </si>
  <si>
    <t>甘肃</t>
  </si>
  <si>
    <t>新疆</t>
  </si>
  <si>
    <t>青海</t>
  </si>
  <si>
    <t>小计</t>
  </si>
  <si>
    <t>宁夏</t>
  </si>
  <si>
    <t>平均交易电价单月降幅（含税）</t>
  </si>
  <si>
    <t>2018年</t>
  </si>
  <si>
    <t>广西</t>
  </si>
  <si>
    <t>交易电量占比</t>
  </si>
  <si>
    <t>交易电价降幅</t>
  </si>
  <si>
    <t>本月</t>
  </si>
  <si>
    <t>上月</t>
  </si>
  <si>
    <t>环比</t>
  </si>
  <si>
    <t xml:space="preserve">     淖毛湖</t>
  </si>
  <si>
    <t>风电</t>
  </si>
  <si>
    <t>光伏</t>
  </si>
  <si>
    <t>1季度实际</t>
  </si>
  <si>
    <t>较预算</t>
  </si>
  <si>
    <t>甘肃-风电</t>
  </si>
  <si>
    <t>甘肃-光伏</t>
  </si>
  <si>
    <t>新疆-风电</t>
  </si>
  <si>
    <t>青海-风电</t>
  </si>
  <si>
    <t>青海-光伏</t>
  </si>
  <si>
    <t>宁夏-光伏</t>
  </si>
  <si>
    <t>2014年</t>
  </si>
  <si>
    <t>上网电量</t>
  </si>
  <si>
    <t>同期累计</t>
  </si>
  <si>
    <t>哈密三塘湖</t>
  </si>
  <si>
    <t>哈密淖毛湖</t>
  </si>
  <si>
    <t>单位：万千瓦时</t>
  </si>
  <si>
    <t>新能源合计</t>
  </si>
  <si>
    <t>景峡冲减基建</t>
  </si>
  <si>
    <t>烟墩冲减基建</t>
  </si>
  <si>
    <t>青海冲减基建</t>
  </si>
  <si>
    <t>冲减电量合计</t>
  </si>
  <si>
    <t>确认收入电量</t>
  </si>
  <si>
    <t>青海：一期</t>
  </si>
  <si>
    <t xml:space="preserve">     二期</t>
  </si>
  <si>
    <t>青海一期</t>
  </si>
  <si>
    <t>青海二期</t>
  </si>
  <si>
    <t>项目</t>
  </si>
  <si>
    <t>捡财塘</t>
  </si>
  <si>
    <t>酒泉一</t>
  </si>
  <si>
    <t>酒泉二</t>
  </si>
  <si>
    <t>贝壳梁</t>
  </si>
  <si>
    <t>三塘湖</t>
  </si>
  <si>
    <t>淖毛湖</t>
  </si>
  <si>
    <t>小草湖</t>
  </si>
  <si>
    <t>敦煌</t>
  </si>
  <si>
    <t>格尔木</t>
  </si>
  <si>
    <t>石嘴山</t>
  </si>
  <si>
    <t>酒湖直流占比</t>
  </si>
  <si>
    <t>1月
2017年</t>
  </si>
  <si>
    <t>1月
2018年</t>
  </si>
  <si>
    <t>发电量（万千瓦时）</t>
  </si>
  <si>
    <t>上网电价</t>
  </si>
  <si>
    <t>营业收入</t>
  </si>
  <si>
    <t>交易电量</t>
  </si>
  <si>
    <t>公司</t>
  </si>
  <si>
    <t>月同比</t>
  </si>
  <si>
    <t>年累计同比</t>
  </si>
  <si>
    <t>同期</t>
  </si>
  <si>
    <t>较同期</t>
  </si>
  <si>
    <t>含税</t>
  </si>
  <si>
    <t>酒湖直流</t>
  </si>
  <si>
    <t>广西风电</t>
  </si>
  <si>
    <t>上年同月</t>
  </si>
  <si>
    <t>哈密三塘湖风电</t>
  </si>
  <si>
    <t>哈密淖毛湖风电</t>
  </si>
  <si>
    <t>哈密景峡五A风电</t>
  </si>
  <si>
    <t>哈密烟墩八A风电</t>
  </si>
  <si>
    <t>单位：万元</t>
  </si>
  <si>
    <t>新能源（合并）</t>
  </si>
  <si>
    <t>智能公司</t>
  </si>
  <si>
    <t>新能源本部</t>
  </si>
  <si>
    <t>贝壳梁一期</t>
  </si>
  <si>
    <t>云南一期</t>
  </si>
  <si>
    <t>云南二期</t>
  </si>
  <si>
    <t>主营收入</t>
  </si>
  <si>
    <t>主营业务收入</t>
  </si>
  <si>
    <t>贝壳梁确认收入电量</t>
  </si>
  <si>
    <t>贝壳梁冲减基建</t>
  </si>
  <si>
    <t>冲减基建小计</t>
  </si>
  <si>
    <t>售电收入合计</t>
  </si>
  <si>
    <t>营业总成本（万元）</t>
  </si>
  <si>
    <t>欠收补助资金余额（12月）</t>
  </si>
  <si>
    <t>应收账款</t>
  </si>
  <si>
    <t>存货</t>
  </si>
  <si>
    <t>两金合计</t>
  </si>
  <si>
    <t>基准日余额</t>
  </si>
  <si>
    <t>本月月末余额</t>
  </si>
  <si>
    <t>上年同期余额</t>
  </si>
  <si>
    <t>压减金额</t>
  </si>
  <si>
    <t>压减比例</t>
  </si>
  <si>
    <t>平均装机</t>
  </si>
  <si>
    <t>设备利用小时</t>
  </si>
  <si>
    <t>经济技术指标对标表</t>
  </si>
  <si>
    <t>项目所在区域</t>
  </si>
  <si>
    <t>项目类型</t>
  </si>
  <si>
    <t>装机容量
（万千瓦）</t>
  </si>
  <si>
    <t>发电量
（万千瓦时）</t>
  </si>
  <si>
    <t>结算电量
（万千瓦时）</t>
  </si>
  <si>
    <t>限负荷电量
（万千瓦时）</t>
  </si>
  <si>
    <t>交易电量
（万千瓦时）</t>
  </si>
  <si>
    <t>平均交易电价降幅（元/千瓦时）</t>
  </si>
  <si>
    <t>售电收入
（万元）</t>
  </si>
  <si>
    <t>外购动力费
（万元）</t>
  </si>
  <si>
    <t>材料修理费
（万元）</t>
  </si>
  <si>
    <t>利润总额
（万元）</t>
  </si>
  <si>
    <t>资产负债率
（%）</t>
  </si>
  <si>
    <t>备注：1、交易电量指全部市场化交易电量；
     2、平均交易电价降幅指平均市场化交易电价较平均批复电价降低幅度；
     3、新疆20万千瓦项目2017年4月投产；新疆项目仅吐鲁番风电4.95万千瓦参与火电打捆交易；其余项目电量全为天中直流外送，统一电价降幅为0.0438元/千瓦时（未列入市场化交易电量）。
     4、青海风电4.95万千瓦时2017年8月底投产；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</si>
</sst>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78" formatCode="#,##0.0000_ "/>
    <numFmt numFmtId="179" formatCode="0.000_ "/>
    <numFmt numFmtId="180" formatCode="0.0_ "/>
    <numFmt numFmtId="181" formatCode="0_ "/>
    <numFmt numFmtId="182" formatCode="0_);[Red]\(0\)"/>
    <numFmt numFmtId="183" formatCode="#,##0_ "/>
    <numFmt numFmtId="184" formatCode="0.00_ "/>
    <numFmt numFmtId="185" formatCode="0.00_);[Red]\(0.00\)"/>
    <numFmt numFmtId="186" formatCode="0.000"/>
    <numFmt numFmtId="187" formatCode="0.0"/>
    <numFmt numFmtId="188" formatCode="#,##0.000_ "/>
    <numFmt numFmtId="189" formatCode="0.00000"/>
    <numFmt numFmtId="190" formatCode="0.000_);[Red]\(0.000\)"/>
    <numFmt numFmtId="191" formatCode="0.0000_ "/>
    <numFmt numFmtId="192" formatCode="0.0000"/>
  </numFmts>
  <fonts count="31" x14ac:knownFonts="1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FFFF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8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rgb="FF000000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8" tint="0.39954832605975527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7">
    <xf numFmtId="0" fontId="0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7" fillId="0" borderId="0"/>
    <xf numFmtId="0" fontId="27" fillId="0" borderId="0"/>
    <xf numFmtId="43" fontId="27" fillId="0" borderId="0" applyFont="0" applyFill="0" applyBorder="0" applyAlignment="0" applyProtection="0">
      <alignment vertical="center"/>
    </xf>
  </cellStyleXfs>
  <cellXfs count="39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" fontId="1" fillId="0" borderId="4" xfId="0" applyNumberFormat="1" applyFont="1" applyBorder="1" applyAlignment="1">
      <alignment horizontal="right" vertical="center"/>
    </xf>
    <xf numFmtId="1" fontId="1" fillId="3" borderId="4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2" borderId="4" xfId="0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1" fontId="1" fillId="4" borderId="6" xfId="0" applyNumberFormat="1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1" fontId="1" fillId="4" borderId="0" xfId="0" applyNumberFormat="1" applyFont="1" applyFill="1" applyBorder="1" applyAlignment="1">
      <alignment vertical="center"/>
    </xf>
    <xf numFmtId="1" fontId="1" fillId="0" borderId="0" xfId="0" applyNumberFormat="1" applyFont="1" applyAlignment="1">
      <alignment horizontal="center" vertical="center"/>
    </xf>
    <xf numFmtId="179" fontId="1" fillId="0" borderId="4" xfId="0" applyNumberFormat="1" applyFont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179" fontId="1" fillId="2" borderId="4" xfId="0" applyNumberFormat="1" applyFont="1" applyFill="1" applyBorder="1" applyAlignment="1">
      <alignment horizontal="right" vertical="center"/>
    </xf>
    <xf numFmtId="179" fontId="1" fillId="4" borderId="6" xfId="0" applyNumberFormat="1" applyFont="1" applyFill="1" applyBorder="1" applyAlignment="1">
      <alignment horizontal="right" vertical="center"/>
    </xf>
    <xf numFmtId="179" fontId="1" fillId="4" borderId="0" xfId="0" applyNumberFormat="1" applyFont="1" applyFill="1" applyBorder="1" applyAlignment="1">
      <alignment horizontal="right" vertical="center"/>
    </xf>
    <xf numFmtId="10" fontId="1" fillId="4" borderId="9" xfId="0" applyNumberFormat="1" applyFont="1" applyFill="1" applyBorder="1" applyAlignment="1">
      <alignment vertical="center"/>
    </xf>
    <xf numFmtId="10" fontId="1" fillId="4" borderId="0" xfId="0" applyNumberFormat="1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 wrapText="1"/>
    </xf>
    <xf numFmtId="2" fontId="5" fillId="5" borderId="4" xfId="0" applyNumberFormat="1" applyFont="1" applyFill="1" applyBorder="1" applyAlignment="1">
      <alignment horizontal="center" vertical="center" wrapText="1"/>
    </xf>
    <xf numFmtId="181" fontId="0" fillId="0" borderId="11" xfId="0" applyNumberFormat="1" applyBorder="1" applyAlignment="1">
      <alignment vertical="center"/>
    </xf>
    <xf numFmtId="181" fontId="7" fillId="0" borderId="11" xfId="0" applyNumberFormat="1" applyFont="1" applyBorder="1" applyAlignment="1">
      <alignment vertical="center"/>
    </xf>
    <xf numFmtId="0" fontId="3" fillId="5" borderId="0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181" fontId="0" fillId="0" borderId="0" xfId="0" applyNumberFormat="1" applyBorder="1" applyAlignment="1">
      <alignment vertical="center"/>
    </xf>
    <xf numFmtId="0" fontId="3" fillId="5" borderId="12" xfId="0" applyFont="1" applyFill="1" applyBorder="1" applyAlignment="1">
      <alignment horizontal="left" vertical="center" wrapText="1"/>
    </xf>
    <xf numFmtId="181" fontId="0" fillId="3" borderId="11" xfId="0" applyNumberFormat="1" applyFill="1" applyBorder="1" applyAlignment="1">
      <alignment vertical="center"/>
    </xf>
    <xf numFmtId="0" fontId="3" fillId="3" borderId="10" xfId="0" applyFont="1" applyFill="1" applyBorder="1" applyAlignment="1">
      <alignment horizontal="left" vertical="center" wrapText="1"/>
    </xf>
    <xf numFmtId="2" fontId="5" fillId="3" borderId="4" xfId="0" applyNumberFormat="1" applyFont="1" applyFill="1" applyBorder="1" applyAlignment="1">
      <alignment horizontal="center" vertical="center" wrapText="1"/>
    </xf>
    <xf numFmtId="2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3" fillId="7" borderId="4" xfId="0" applyFont="1" applyFill="1" applyBorder="1" applyAlignment="1">
      <alignment horizontal="center" vertical="center" wrapText="1"/>
    </xf>
    <xf numFmtId="181" fontId="7" fillId="0" borderId="4" xfId="0" applyNumberFormat="1" applyFont="1" applyBorder="1" applyAlignment="1">
      <alignment vertical="center"/>
    </xf>
    <xf numFmtId="181" fontId="0" fillId="0" borderId="0" xfId="0" applyNumberFormat="1">
      <alignment vertical="center"/>
    </xf>
    <xf numFmtId="181" fontId="7" fillId="0" borderId="0" xfId="0" applyNumberFormat="1" applyFont="1" applyBorder="1" applyAlignment="1">
      <alignment vertical="center"/>
    </xf>
    <xf numFmtId="181" fontId="7" fillId="0" borderId="12" xfId="0" applyNumberFormat="1" applyFont="1" applyBorder="1" applyAlignment="1">
      <alignment vertical="center"/>
    </xf>
    <xf numFmtId="181" fontId="7" fillId="3" borderId="4" xfId="0" applyNumberFormat="1" applyFont="1" applyFill="1" applyBorder="1" applyAlignment="1">
      <alignment vertical="center"/>
    </xf>
    <xf numFmtId="181" fontId="7" fillId="3" borderId="12" xfId="0" applyNumberFormat="1" applyFont="1" applyFill="1" applyBorder="1" applyAlignment="1">
      <alignment vertical="center"/>
    </xf>
    <xf numFmtId="2" fontId="5" fillId="5" borderId="12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left" vertical="center" wrapText="1"/>
    </xf>
    <xf numFmtId="2" fontId="0" fillId="7" borderId="4" xfId="0" applyNumberFormat="1" applyFill="1" applyBorder="1">
      <alignment vertical="center"/>
    </xf>
    <xf numFmtId="0" fontId="0" fillId="7" borderId="4" xfId="0" applyFill="1" applyBorder="1">
      <alignment vertical="center"/>
    </xf>
    <xf numFmtId="184" fontId="0" fillId="0" borderId="4" xfId="0" applyNumberFormat="1" applyBorder="1" applyAlignment="1">
      <alignment vertical="center"/>
    </xf>
    <xf numFmtId="184" fontId="0" fillId="7" borderId="4" xfId="0" applyNumberFormat="1" applyFill="1" applyBorder="1" applyAlignment="1">
      <alignment vertical="center"/>
    </xf>
    <xf numFmtId="0" fontId="8" fillId="0" borderId="0" xfId="0" applyFont="1">
      <alignment vertical="center"/>
    </xf>
    <xf numFmtId="0" fontId="8" fillId="0" borderId="4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left" vertical="center" wrapText="1"/>
    </xf>
    <xf numFmtId="1" fontId="8" fillId="0" borderId="4" xfId="0" applyNumberFormat="1" applyFont="1" applyBorder="1">
      <alignment vertical="center"/>
    </xf>
    <xf numFmtId="0" fontId="11" fillId="8" borderId="4" xfId="0" applyFont="1" applyFill="1" applyBorder="1" applyAlignment="1">
      <alignment horizontal="left" vertical="center" wrapText="1"/>
    </xf>
    <xf numFmtId="1" fontId="12" fillId="8" borderId="4" xfId="0" applyNumberFormat="1" applyFont="1" applyFill="1" applyBorder="1">
      <alignment vertical="center"/>
    </xf>
    <xf numFmtId="0" fontId="10" fillId="9" borderId="4" xfId="0" applyFont="1" applyFill="1" applyBorder="1" applyAlignment="1">
      <alignment horizontal="left" vertical="center" wrapText="1"/>
    </xf>
    <xf numFmtId="1" fontId="12" fillId="9" borderId="4" xfId="0" applyNumberFormat="1" applyFont="1" applyFill="1" applyBorder="1">
      <alignment vertical="center"/>
    </xf>
    <xf numFmtId="9" fontId="8" fillId="0" borderId="0" xfId="2" applyFont="1">
      <alignment vertical="center"/>
    </xf>
    <xf numFmtId="183" fontId="6" fillId="0" borderId="4" xfId="1" applyNumberFormat="1" applyFont="1" applyFill="1" applyBorder="1" applyAlignment="1">
      <alignment horizontal="right" vertical="center"/>
    </xf>
    <xf numFmtId="183" fontId="6" fillId="7" borderId="4" xfId="1" applyNumberFormat="1" applyFont="1" applyFill="1" applyBorder="1" applyAlignment="1">
      <alignment horizontal="right" vertical="center"/>
    </xf>
    <xf numFmtId="0" fontId="3" fillId="10" borderId="4" xfId="0" applyFont="1" applyFill="1" applyBorder="1" applyAlignment="1">
      <alignment horizontal="left" vertical="center" wrapText="1"/>
    </xf>
    <xf numFmtId="183" fontId="6" fillId="10" borderId="4" xfId="1" applyNumberFormat="1" applyFont="1" applyFill="1" applyBorder="1" applyAlignment="1">
      <alignment horizontal="right" vertical="center"/>
    </xf>
    <xf numFmtId="0" fontId="3" fillId="8" borderId="4" xfId="0" applyFont="1" applyFill="1" applyBorder="1" applyAlignment="1">
      <alignment horizontal="left" vertical="center" wrapText="1"/>
    </xf>
    <xf numFmtId="183" fontId="6" fillId="8" borderId="4" xfId="1" applyNumberFormat="1" applyFont="1" applyFill="1" applyBorder="1" applyAlignment="1">
      <alignment horizontal="right" vertical="center"/>
    </xf>
    <xf numFmtId="0" fontId="3" fillId="9" borderId="4" xfId="0" applyFont="1" applyFill="1" applyBorder="1" applyAlignment="1">
      <alignment horizontal="left" vertical="center" wrapText="1"/>
    </xf>
    <xf numFmtId="181" fontId="0" fillId="0" borderId="4" xfId="0" applyNumberFormat="1" applyBorder="1">
      <alignment vertical="center"/>
    </xf>
    <xf numFmtId="183" fontId="13" fillId="0" borderId="4" xfId="1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" fontId="3" fillId="5" borderId="4" xfId="0" applyNumberFormat="1" applyFont="1" applyFill="1" applyBorder="1" applyAlignment="1">
      <alignment horizontal="center" vertical="center" wrapText="1"/>
    </xf>
    <xf numFmtId="181" fontId="0" fillId="0" borderId="4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81" fontId="0" fillId="7" borderId="4" xfId="0" applyNumberFormat="1" applyFill="1" applyBorder="1" applyAlignment="1">
      <alignment vertical="center"/>
    </xf>
    <xf numFmtId="181" fontId="0" fillId="7" borderId="12" xfId="0" applyNumberForma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181" fontId="0" fillId="11" borderId="4" xfId="0" applyNumberFormat="1" applyFill="1" applyBorder="1" applyAlignment="1">
      <alignment vertical="center"/>
    </xf>
    <xf numFmtId="1" fontId="0" fillId="11" borderId="4" xfId="0" applyNumberFormat="1" applyFill="1" applyBorder="1" applyAlignment="1">
      <alignment vertical="center"/>
    </xf>
    <xf numFmtId="181" fontId="0" fillId="0" borderId="0" xfId="0" applyNumberFormat="1" applyAlignment="1">
      <alignment vertical="center"/>
    </xf>
    <xf numFmtId="181" fontId="0" fillId="3" borderId="4" xfId="0" applyNumberFormat="1" applyFill="1" applyBorder="1" applyAlignment="1">
      <alignment vertical="center"/>
    </xf>
    <xf numFmtId="182" fontId="8" fillId="0" borderId="4" xfId="0" applyNumberFormat="1" applyFont="1" applyBorder="1" applyAlignment="1">
      <alignment vertical="center"/>
    </xf>
    <xf numFmtId="182" fontId="8" fillId="11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horizontal="center" vertical="center"/>
    </xf>
    <xf numFmtId="0" fontId="7" fillId="11" borderId="4" xfId="0" applyFont="1" applyFill="1" applyBorder="1" applyAlignment="1">
      <alignment vertical="center"/>
    </xf>
    <xf numFmtId="0" fontId="7" fillId="11" borderId="4" xfId="0" applyFont="1" applyFill="1" applyBorder="1" applyAlignment="1">
      <alignment horizontal="center" vertical="center"/>
    </xf>
    <xf numFmtId="181" fontId="7" fillId="11" borderId="4" xfId="0" applyNumberFormat="1" applyFon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181" fontId="0" fillId="9" borderId="4" xfId="0" applyNumberFormat="1" applyFill="1" applyBorder="1" applyAlignment="1">
      <alignment vertical="center"/>
    </xf>
    <xf numFmtId="1" fontId="5" fillId="0" borderId="4" xfId="0" applyNumberFormat="1" applyFont="1" applyFill="1" applyBorder="1" applyAlignment="1">
      <alignment horizontal="center" vertical="center" wrapText="1"/>
    </xf>
    <xf numFmtId="1" fontId="5" fillId="8" borderId="4" xfId="0" applyNumberFormat="1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left" vertical="center" wrapText="1"/>
    </xf>
    <xf numFmtId="1" fontId="5" fillId="10" borderId="4" xfId="0" applyNumberFormat="1" applyFont="1" applyFill="1" applyBorder="1" applyAlignment="1">
      <alignment horizontal="center" vertical="center" wrapText="1"/>
    </xf>
    <xf numFmtId="1" fontId="5" fillId="9" borderId="4" xfId="0" applyNumberFormat="1" applyFont="1" applyFill="1" applyBorder="1" applyAlignment="1">
      <alignment horizontal="center" vertical="center" wrapText="1"/>
    </xf>
    <xf numFmtId="9" fontId="0" fillId="0" borderId="0" xfId="2" applyFont="1" applyAlignment="1">
      <alignment vertical="center"/>
    </xf>
    <xf numFmtId="181" fontId="8" fillId="0" borderId="4" xfId="0" applyNumberFormat="1" applyFont="1" applyBorder="1" applyAlignment="1">
      <alignment vertical="center"/>
    </xf>
    <xf numFmtId="181" fontId="8" fillId="8" borderId="4" xfId="0" applyNumberFormat="1" applyFont="1" applyFill="1" applyBorder="1" applyAlignment="1">
      <alignment vertical="center"/>
    </xf>
    <xf numFmtId="181" fontId="8" fillId="10" borderId="4" xfId="0" applyNumberFormat="1" applyFont="1" applyFill="1" applyBorder="1" applyAlignment="1">
      <alignment vertical="center"/>
    </xf>
    <xf numFmtId="181" fontId="8" fillId="9" borderId="4" xfId="0" applyNumberFormat="1" applyFont="1" applyFill="1" applyBorder="1" applyAlignment="1">
      <alignment vertical="center"/>
    </xf>
    <xf numFmtId="181" fontId="8" fillId="0" borderId="4" xfId="0" applyNumberFormat="1" applyFont="1" applyFill="1" applyBorder="1" applyAlignment="1">
      <alignment vertical="center"/>
    </xf>
    <xf numFmtId="0" fontId="14" fillId="1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184" fontId="0" fillId="0" borderId="4" xfId="0" applyNumberFormat="1" applyFont="1" applyBorder="1" applyAlignment="1">
      <alignment vertical="center"/>
    </xf>
    <xf numFmtId="0" fontId="14" fillId="1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2" fontId="5" fillId="7" borderId="4" xfId="0" applyNumberFormat="1" applyFont="1" applyFill="1" applyBorder="1" applyAlignment="1">
      <alignment horizontal="center" vertical="center" wrapText="1"/>
    </xf>
    <xf numFmtId="1" fontId="0" fillId="3" borderId="4" xfId="0" applyNumberFormat="1" applyFill="1" applyBorder="1">
      <alignment vertical="center"/>
    </xf>
    <xf numFmtId="1" fontId="0" fillId="7" borderId="4" xfId="0" applyNumberFormat="1" applyFill="1" applyBorder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0" fillId="15" borderId="4" xfId="0" applyFill="1" applyBorder="1">
      <alignment vertical="center"/>
    </xf>
    <xf numFmtId="1" fontId="0" fillId="15" borderId="4" xfId="0" applyNumberFormat="1" applyFill="1" applyBorder="1">
      <alignment vertical="center"/>
    </xf>
    <xf numFmtId="1" fontId="5" fillId="5" borderId="4" xfId="0" applyNumberFormat="1" applyFont="1" applyFill="1" applyBorder="1" applyAlignment="1">
      <alignment horizontal="center" vertical="center" wrapText="1"/>
    </xf>
    <xf numFmtId="180" fontId="0" fillId="0" borderId="0" xfId="0" applyNumberFormat="1" applyAlignment="1">
      <alignment vertical="center"/>
    </xf>
    <xf numFmtId="0" fontId="6" fillId="6" borderId="13" xfId="0" applyFont="1" applyFill="1" applyBorder="1" applyAlignment="1">
      <alignment horizontal="center" vertical="center"/>
    </xf>
    <xf numFmtId="184" fontId="0" fillId="0" borderId="4" xfId="0" applyNumberFormat="1" applyFill="1" applyBorder="1" applyAlignment="1">
      <alignment vertical="center"/>
    </xf>
    <xf numFmtId="184" fontId="0" fillId="3" borderId="4" xfId="0" applyNumberFormat="1" applyFill="1" applyBorder="1" applyAlignment="1">
      <alignment vertical="center"/>
    </xf>
    <xf numFmtId="1" fontId="0" fillId="0" borderId="4" xfId="0" applyNumberFormat="1" applyBorder="1">
      <alignment vertical="center"/>
    </xf>
    <xf numFmtId="180" fontId="0" fillId="0" borderId="4" xfId="0" applyNumberFormat="1" applyFill="1" applyBorder="1" applyAlignment="1">
      <alignment vertical="center"/>
    </xf>
    <xf numFmtId="185" fontId="0" fillId="0" borderId="0" xfId="0" applyNumberFormat="1">
      <alignment vertical="center"/>
    </xf>
    <xf numFmtId="187" fontId="0" fillId="0" borderId="0" xfId="0" applyNumberFormat="1">
      <alignment vertical="center"/>
    </xf>
    <xf numFmtId="1" fontId="5" fillId="7" borderId="4" xfId="0" applyNumberFormat="1" applyFont="1" applyFill="1" applyBorder="1" applyAlignment="1">
      <alignment horizontal="center" vertical="center" wrapText="1"/>
    </xf>
    <xf numFmtId="181" fontId="0" fillId="3" borderId="4" xfId="0" applyNumberFormat="1" applyFill="1" applyBorder="1">
      <alignment vertical="center"/>
    </xf>
    <xf numFmtId="0" fontId="3" fillId="0" borderId="4" xfId="0" applyFont="1" applyFill="1" applyBorder="1" applyAlignment="1">
      <alignment horizontal="left" vertical="center" wrapText="1"/>
    </xf>
    <xf numFmtId="181" fontId="0" fillId="0" borderId="4" xfId="0" applyNumberFormat="1" applyFill="1" applyBorder="1">
      <alignment vertical="center"/>
    </xf>
    <xf numFmtId="182" fontId="0" fillId="15" borderId="4" xfId="0" applyNumberFormat="1" applyFill="1" applyBorder="1">
      <alignment vertical="center"/>
    </xf>
    <xf numFmtId="181" fontId="0" fillId="15" borderId="4" xfId="0" applyNumberFormat="1" applyFill="1" applyBorder="1">
      <alignment vertical="center"/>
    </xf>
    <xf numFmtId="1" fontId="0" fillId="7" borderId="4" xfId="0" applyNumberFormat="1" applyFill="1" applyBorder="1" applyAlignment="1">
      <alignment horizontal="center" vertical="center"/>
    </xf>
    <xf numFmtId="181" fontId="0" fillId="3" borderId="4" xfId="0" applyNumberForma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wrapText="1"/>
    </xf>
    <xf numFmtId="9" fontId="15" fillId="0" borderId="4" xfId="2" applyFont="1" applyBorder="1" applyAlignment="1">
      <alignment vertical="center"/>
    </xf>
    <xf numFmtId="9" fontId="0" fillId="0" borderId="4" xfId="2" applyFont="1" applyBorder="1" applyAlignment="1">
      <alignment vertical="center"/>
    </xf>
    <xf numFmtId="9" fontId="16" fillId="0" borderId="4" xfId="2" applyFont="1" applyBorder="1" applyAlignment="1">
      <alignment vertical="center"/>
    </xf>
    <xf numFmtId="0" fontId="3" fillId="0" borderId="10" xfId="0" applyFont="1" applyFill="1" applyBorder="1" applyAlignment="1">
      <alignment horizontal="left" vertical="center" wrapText="1"/>
    </xf>
    <xf numFmtId="181" fontId="0" fillId="0" borderId="4" xfId="0" applyNumberFormat="1" applyFill="1" applyBorder="1" applyAlignment="1">
      <alignment vertical="center"/>
    </xf>
    <xf numFmtId="187" fontId="0" fillId="7" borderId="4" xfId="0" applyNumberFormat="1" applyFill="1" applyBorder="1">
      <alignment vertical="center"/>
    </xf>
    <xf numFmtId="182" fontId="0" fillId="15" borderId="4" xfId="0" applyNumberFormat="1" applyFill="1" applyBorder="1" applyAlignment="1">
      <alignment vertical="center"/>
    </xf>
    <xf numFmtId="184" fontId="0" fillId="0" borderId="0" xfId="0" applyNumberFormat="1">
      <alignment vertical="center"/>
    </xf>
    <xf numFmtId="182" fontId="0" fillId="0" borderId="0" xfId="0" applyNumberFormat="1">
      <alignment vertical="center"/>
    </xf>
    <xf numFmtId="9" fontId="0" fillId="0" borderId="4" xfId="2" applyFont="1" applyBorder="1">
      <alignment vertical="center"/>
    </xf>
    <xf numFmtId="9" fontId="0" fillId="0" borderId="0" xfId="2" applyFont="1">
      <alignment vertical="center"/>
    </xf>
    <xf numFmtId="182" fontId="0" fillId="0" borderId="4" xfId="0" applyNumberFormat="1" applyBorder="1">
      <alignment vertical="center"/>
    </xf>
    <xf numFmtId="10" fontId="0" fillId="0" borderId="0" xfId="2" applyNumberFormat="1" applyFont="1">
      <alignment vertical="center"/>
    </xf>
    <xf numFmtId="179" fontId="0" fillId="0" borderId="0" xfId="0" applyNumberForma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185" fontId="17" fillId="0" borderId="0" xfId="0" applyNumberFormat="1" applyFont="1">
      <alignment vertical="center"/>
    </xf>
    <xf numFmtId="0" fontId="14" fillId="5" borderId="4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13" fillId="6" borderId="11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181" fontId="17" fillId="0" borderId="11" xfId="0" applyNumberFormat="1" applyFont="1" applyBorder="1" applyAlignment="1">
      <alignment horizontal="center" vertical="center"/>
    </xf>
    <xf numFmtId="181" fontId="17" fillId="0" borderId="4" xfId="0" applyNumberFormat="1" applyFont="1" applyBorder="1" applyAlignment="1">
      <alignment horizontal="center" vertical="center"/>
    </xf>
    <xf numFmtId="182" fontId="17" fillId="0" borderId="4" xfId="0" applyNumberFormat="1" applyFont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 wrapText="1" indent="1"/>
    </xf>
    <xf numFmtId="181" fontId="18" fillId="0" borderId="11" xfId="0" applyNumberFormat="1" applyFont="1" applyBorder="1" applyAlignment="1">
      <alignment vertical="center"/>
    </xf>
    <xf numFmtId="181" fontId="18" fillId="0" borderId="4" xfId="0" applyNumberFormat="1" applyFont="1" applyBorder="1" applyAlignment="1">
      <alignment vertical="center"/>
    </xf>
    <xf numFmtId="0" fontId="5" fillId="5" borderId="0" xfId="0" applyFont="1" applyFill="1" applyBorder="1" applyAlignment="1">
      <alignment horizontal="center" vertical="center" wrapText="1"/>
    </xf>
    <xf numFmtId="1" fontId="17" fillId="0" borderId="4" xfId="0" applyNumberFormat="1" applyFont="1" applyFill="1" applyBorder="1">
      <alignment vertical="center"/>
    </xf>
    <xf numFmtId="181" fontId="18" fillId="0" borderId="4" xfId="0" applyNumberFormat="1" applyFont="1" applyBorder="1">
      <alignment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81" fontId="17" fillId="0" borderId="4" xfId="0" applyNumberFormat="1" applyFont="1" applyBorder="1" applyAlignment="1">
      <alignment vertical="center"/>
    </xf>
    <xf numFmtId="181" fontId="17" fillId="0" borderId="0" xfId="0" applyNumberFormat="1" applyFont="1">
      <alignment vertical="center"/>
    </xf>
    <xf numFmtId="181" fontId="17" fillId="0" borderId="0" xfId="0" applyNumberFormat="1" applyFont="1" applyAlignment="1">
      <alignment vertical="center"/>
    </xf>
    <xf numFmtId="184" fontId="18" fillId="0" borderId="4" xfId="0" applyNumberFormat="1" applyFont="1" applyBorder="1" applyAlignment="1">
      <alignment vertical="center"/>
    </xf>
    <xf numFmtId="0" fontId="17" fillId="0" borderId="4" xfId="0" applyFont="1" applyBorder="1">
      <alignment vertical="center"/>
    </xf>
    <xf numFmtId="1" fontId="17" fillId="0" borderId="4" xfId="0" applyNumberFormat="1" applyFont="1" applyBorder="1">
      <alignment vertical="center"/>
    </xf>
    <xf numFmtId="0" fontId="17" fillId="0" borderId="4" xfId="0" applyFont="1" applyFill="1" applyBorder="1">
      <alignment vertical="center"/>
    </xf>
    <xf numFmtId="185" fontId="17" fillId="0" borderId="4" xfId="0" applyNumberFormat="1" applyFont="1" applyFill="1" applyBorder="1">
      <alignment vertical="center"/>
    </xf>
    <xf numFmtId="181" fontId="17" fillId="0" borderId="4" xfId="0" applyNumberFormat="1" applyFont="1" applyFill="1" applyBorder="1">
      <alignment vertical="center"/>
    </xf>
    <xf numFmtId="182" fontId="17" fillId="0" borderId="4" xfId="0" applyNumberFormat="1" applyFont="1" applyFill="1" applyBorder="1">
      <alignment vertical="center"/>
    </xf>
    <xf numFmtId="0" fontId="5" fillId="0" borderId="4" xfId="0" applyFont="1" applyFill="1" applyBorder="1" applyAlignment="1">
      <alignment horizontal="left" vertical="center" wrapText="1" indent="1"/>
    </xf>
    <xf numFmtId="181" fontId="17" fillId="0" borderId="4" xfId="0" applyNumberFormat="1" applyFont="1" applyBorder="1">
      <alignment vertical="center"/>
    </xf>
    <xf numFmtId="57" fontId="0" fillId="0" borderId="0" xfId="0" applyNumberFormat="1" applyAlignment="1">
      <alignment vertical="center" wrapText="1"/>
    </xf>
    <xf numFmtId="5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12" fillId="0" borderId="4" xfId="0" applyFont="1" applyFill="1" applyBorder="1" applyAlignment="1">
      <alignment horizontal="center" vertical="center"/>
    </xf>
    <xf numFmtId="181" fontId="15" fillId="0" borderId="4" xfId="0" applyNumberFormat="1" applyFont="1" applyBorder="1">
      <alignment vertical="center"/>
    </xf>
    <xf numFmtId="0" fontId="5" fillId="0" borderId="10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horizontal="left" vertical="center" wrapText="1"/>
    </xf>
    <xf numFmtId="1" fontId="15" fillId="0" borderId="0" xfId="0" applyNumberFormat="1" applyFont="1">
      <alignment vertical="center"/>
    </xf>
    <xf numFmtId="0" fontId="8" fillId="0" borderId="0" xfId="0" applyFont="1" applyAlignment="1">
      <alignment vertical="center"/>
    </xf>
    <xf numFmtId="181" fontId="8" fillId="0" borderId="11" xfId="0" applyNumberFormat="1" applyFont="1" applyBorder="1" applyAlignmen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181" fontId="16" fillId="0" borderId="4" xfId="0" applyNumberFormat="1" applyFont="1" applyFill="1" applyBorder="1" applyAlignment="1">
      <alignment vertical="center"/>
    </xf>
    <xf numFmtId="181" fontId="15" fillId="0" borderId="4" xfId="0" applyNumberFormat="1" applyFont="1" applyFill="1" applyBorder="1" applyAlignment="1">
      <alignment vertical="center"/>
    </xf>
    <xf numFmtId="182" fontId="0" fillId="0" borderId="4" xfId="0" applyNumberForma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181" fontId="7" fillId="0" borderId="4" xfId="0" applyNumberFormat="1" applyFont="1" applyFill="1" applyBorder="1" applyAlignment="1">
      <alignment vertical="center"/>
    </xf>
    <xf numFmtId="182" fontId="7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1" fontId="0" fillId="0" borderId="12" xfId="0" applyNumberFormat="1" applyBorder="1" applyAlignment="1">
      <alignment vertical="center"/>
    </xf>
    <xf numFmtId="184" fontId="15" fillId="0" borderId="4" xfId="0" applyNumberFormat="1" applyFont="1" applyBorder="1" applyAlignment="1">
      <alignment vertical="center"/>
    </xf>
    <xf numFmtId="181" fontId="8" fillId="0" borderId="10" xfId="0" applyNumberFormat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3" fillId="6" borderId="10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left" vertical="center" wrapText="1"/>
    </xf>
    <xf numFmtId="181" fontId="7" fillId="0" borderId="12" xfId="0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9" borderId="4" xfId="0" applyFont="1" applyFill="1" applyBorder="1" applyAlignment="1">
      <alignment vertical="center"/>
    </xf>
    <xf numFmtId="181" fontId="7" fillId="9" borderId="4" xfId="0" applyNumberFormat="1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0" fontId="0" fillId="16" borderId="4" xfId="0" applyFill="1" applyBorder="1" applyAlignment="1">
      <alignment vertical="center"/>
    </xf>
    <xf numFmtId="181" fontId="0" fillId="16" borderId="4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11" borderId="16" xfId="0" applyFont="1" applyFill="1" applyBorder="1" applyAlignment="1">
      <alignment horizontal="left" vertical="center" wrapText="1"/>
    </xf>
    <xf numFmtId="182" fontId="0" fillId="0" borderId="4" xfId="0" applyNumberFormat="1" applyBorder="1" applyAlignment="1">
      <alignment vertical="center"/>
    </xf>
    <xf numFmtId="10" fontId="0" fillId="0" borderId="4" xfId="2" applyNumberFormat="1" applyFont="1" applyFill="1" applyBorder="1" applyAlignment="1">
      <alignment vertical="center"/>
    </xf>
    <xf numFmtId="10" fontId="0" fillId="0" borderId="12" xfId="2" applyNumberFormat="1" applyFont="1" applyFill="1" applyBorder="1" applyAlignment="1">
      <alignment vertical="center"/>
    </xf>
    <xf numFmtId="10" fontId="7" fillId="0" borderId="12" xfId="2" applyNumberFormat="1" applyFont="1" applyFill="1" applyBorder="1" applyAlignment="1">
      <alignment vertical="center"/>
    </xf>
    <xf numFmtId="179" fontId="0" fillId="0" borderId="4" xfId="0" applyNumberFormat="1" applyBorder="1" applyAlignment="1">
      <alignment vertical="center"/>
    </xf>
    <xf numFmtId="182" fontId="0" fillId="0" borderId="0" xfId="0" applyNumberFormat="1" applyAlignment="1">
      <alignment vertical="center"/>
    </xf>
    <xf numFmtId="181" fontId="7" fillId="12" borderId="4" xfId="0" applyNumberFormat="1" applyFont="1" applyFill="1" applyBorder="1" applyAlignment="1">
      <alignment vertical="center"/>
    </xf>
    <xf numFmtId="10" fontId="0" fillId="0" borderId="0" xfId="2" applyNumberFormat="1" applyFont="1" applyAlignment="1">
      <alignment vertical="center"/>
    </xf>
    <xf numFmtId="0" fontId="8" fillId="17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188" fontId="13" fillId="0" borderId="4" xfId="1" applyNumberFormat="1" applyFont="1" applyFill="1" applyBorder="1" applyAlignment="1">
      <alignment horizontal="right" vertical="center"/>
    </xf>
    <xf numFmtId="0" fontId="14" fillId="5" borderId="4" xfId="0" applyFont="1" applyFill="1" applyBorder="1" applyAlignment="1">
      <alignment horizontal="center" vertical="center" wrapText="1"/>
    </xf>
    <xf numFmtId="188" fontId="13" fillId="7" borderId="4" xfId="1" applyNumberFormat="1" applyFont="1" applyFill="1" applyBorder="1" applyAlignment="1">
      <alignment horizontal="right" vertical="center"/>
    </xf>
    <xf numFmtId="178" fontId="13" fillId="0" borderId="4" xfId="1" applyNumberFormat="1" applyFont="1" applyFill="1" applyBorder="1" applyAlignment="1">
      <alignment horizontal="right" vertical="center"/>
    </xf>
    <xf numFmtId="186" fontId="3" fillId="11" borderId="4" xfId="0" applyNumberFormat="1" applyFont="1" applyFill="1" applyBorder="1" applyAlignment="1">
      <alignment horizontal="center" vertical="center" wrapText="1"/>
    </xf>
    <xf numFmtId="188" fontId="13" fillId="11" borderId="4" xfId="1" applyNumberFormat="1" applyFont="1" applyFill="1" applyBorder="1" applyAlignment="1">
      <alignment horizontal="right" vertical="center"/>
    </xf>
    <xf numFmtId="186" fontId="3" fillId="5" borderId="4" xfId="0" applyNumberFormat="1" applyFont="1" applyFill="1" applyBorder="1" applyAlignment="1">
      <alignment horizontal="center" vertical="center" wrapText="1"/>
    </xf>
    <xf numFmtId="188" fontId="19" fillId="0" borderId="4" xfId="1" applyNumberFormat="1" applyFont="1" applyFill="1" applyBorder="1" applyAlignment="1">
      <alignment horizontal="right" vertical="center"/>
    </xf>
    <xf numFmtId="186" fontId="14" fillId="5" borderId="4" xfId="0" applyNumberFormat="1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left" vertical="center"/>
    </xf>
    <xf numFmtId="189" fontId="8" fillId="0" borderId="0" xfId="0" applyNumberFormat="1" applyFont="1" applyAlignment="1">
      <alignment vertical="center"/>
    </xf>
    <xf numFmtId="188" fontId="13" fillId="18" borderId="4" xfId="1" applyNumberFormat="1" applyFont="1" applyFill="1" applyBorder="1" applyAlignment="1">
      <alignment horizontal="right" vertical="center"/>
    </xf>
    <xf numFmtId="190" fontId="8" fillId="10" borderId="4" xfId="0" applyNumberFormat="1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8" fillId="18" borderId="4" xfId="0" applyFont="1" applyFill="1" applyBorder="1" applyAlignment="1">
      <alignment vertical="center"/>
    </xf>
    <xf numFmtId="186" fontId="8" fillId="10" borderId="4" xfId="0" applyNumberFormat="1" applyFont="1" applyFill="1" applyBorder="1" applyAlignment="1">
      <alignment vertical="center"/>
    </xf>
    <xf numFmtId="0" fontId="3" fillId="7" borderId="12" xfId="0" applyFont="1" applyFill="1" applyBorder="1" applyAlignment="1">
      <alignment horizontal="left" vertical="center" wrapText="1"/>
    </xf>
    <xf numFmtId="186" fontId="3" fillId="7" borderId="12" xfId="0" applyNumberFormat="1" applyFont="1" applyFill="1" applyBorder="1" applyAlignment="1">
      <alignment horizontal="center" vertical="center" wrapText="1"/>
    </xf>
    <xf numFmtId="188" fontId="13" fillId="19" borderId="12" xfId="1" applyNumberFormat="1" applyFont="1" applyFill="1" applyBorder="1" applyAlignment="1">
      <alignment horizontal="right" vertical="center"/>
    </xf>
    <xf numFmtId="190" fontId="8" fillId="11" borderId="4" xfId="2" applyNumberFormat="1" applyFont="1" applyFill="1" applyBorder="1" applyAlignment="1">
      <alignment vertical="center"/>
    </xf>
    <xf numFmtId="0" fontId="3" fillId="5" borderId="17" xfId="0" applyFont="1" applyFill="1" applyBorder="1" applyAlignment="1">
      <alignment horizontal="left" vertical="center" wrapText="1"/>
    </xf>
    <xf numFmtId="188" fontId="13" fillId="0" borderId="17" xfId="1" applyNumberFormat="1" applyFont="1" applyFill="1" applyBorder="1" applyAlignment="1">
      <alignment horizontal="right" vertical="center"/>
    </xf>
    <xf numFmtId="0" fontId="8" fillId="7" borderId="4" xfId="0" applyFont="1" applyFill="1" applyBorder="1" applyAlignment="1">
      <alignment vertical="center"/>
    </xf>
    <xf numFmtId="0" fontId="8" fillId="7" borderId="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9" fontId="17" fillId="0" borderId="0" xfId="2" applyFont="1" applyAlignment="1">
      <alignment vertical="center"/>
    </xf>
    <xf numFmtId="0" fontId="8" fillId="11" borderId="4" xfId="0" applyFont="1" applyFill="1" applyBorder="1" applyAlignment="1">
      <alignment vertical="center"/>
    </xf>
    <xf numFmtId="190" fontId="8" fillId="11" borderId="4" xfId="0" applyNumberFormat="1" applyFont="1" applyFill="1" applyBorder="1" applyAlignment="1">
      <alignment vertical="center"/>
    </xf>
    <xf numFmtId="9" fontId="8" fillId="11" borderId="4" xfId="2" applyFont="1" applyFill="1" applyBorder="1" applyAlignment="1">
      <alignment vertical="center"/>
    </xf>
    <xf numFmtId="9" fontId="16" fillId="11" borderId="4" xfId="2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190" fontId="8" fillId="0" borderId="4" xfId="0" applyNumberFormat="1" applyFont="1" applyFill="1" applyBorder="1" applyAlignment="1">
      <alignment vertical="center"/>
    </xf>
    <xf numFmtId="190" fontId="8" fillId="0" borderId="4" xfId="2" applyNumberFormat="1" applyFont="1" applyFill="1" applyBorder="1" applyAlignment="1">
      <alignment vertical="center"/>
    </xf>
    <xf numFmtId="9" fontId="8" fillId="0" borderId="4" xfId="2" applyFont="1" applyFill="1" applyBorder="1" applyAlignment="1">
      <alignment vertical="center"/>
    </xf>
    <xf numFmtId="9" fontId="16" fillId="11" borderId="0" xfId="2" applyFont="1" applyFill="1" applyBorder="1" applyAlignment="1">
      <alignment vertical="center"/>
    </xf>
    <xf numFmtId="190" fontId="8" fillId="0" borderId="4" xfId="0" applyNumberFormat="1" applyFont="1" applyFill="1" applyBorder="1" applyAlignment="1">
      <alignment horizontal="center" vertical="center"/>
    </xf>
    <xf numFmtId="179" fontId="8" fillId="0" borderId="4" xfId="0" applyNumberFormat="1" applyFont="1" applyFill="1" applyBorder="1" applyAlignment="1">
      <alignment vertical="center"/>
    </xf>
    <xf numFmtId="2" fontId="3" fillId="5" borderId="4" xfId="0" applyNumberFormat="1" applyFont="1" applyFill="1" applyBorder="1" applyAlignment="1">
      <alignment horizontal="center" vertical="center" wrapText="1"/>
    </xf>
    <xf numFmtId="2" fontId="3" fillId="7" borderId="12" xfId="0" applyNumberFormat="1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188" fontId="17" fillId="0" borderId="0" xfId="0" applyNumberFormat="1" applyFont="1" applyAlignment="1">
      <alignment vertical="center"/>
    </xf>
    <xf numFmtId="186" fontId="17" fillId="0" borderId="0" xfId="0" applyNumberFormat="1" applyFont="1" applyAlignment="1">
      <alignment vertical="center"/>
    </xf>
    <xf numFmtId="179" fontId="8" fillId="0" borderId="0" xfId="0" applyNumberFormat="1" applyFont="1" applyAlignment="1">
      <alignment vertical="center"/>
    </xf>
    <xf numFmtId="188" fontId="13" fillId="17" borderId="11" xfId="1" applyNumberFormat="1" applyFont="1" applyFill="1" applyBorder="1" applyAlignment="1">
      <alignment horizontal="right" vertical="center"/>
    </xf>
    <xf numFmtId="188" fontId="13" fillId="17" borderId="4" xfId="1" applyNumberFormat="1" applyFont="1" applyFill="1" applyBorder="1" applyAlignment="1">
      <alignment horizontal="right" vertical="center"/>
    </xf>
    <xf numFmtId="0" fontId="8" fillId="17" borderId="4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49" fontId="20" fillId="20" borderId="0" xfId="0" applyNumberFormat="1" applyFont="1" applyFill="1" applyAlignment="1">
      <alignment horizontal="center" vertical="center" wrapText="1"/>
    </xf>
    <xf numFmtId="49" fontId="20" fillId="20" borderId="0" xfId="0" applyNumberFormat="1" applyFont="1" applyFill="1" applyAlignment="1">
      <alignment horizontal="left" vertical="center" wrapText="1"/>
    </xf>
    <xf numFmtId="181" fontId="8" fillId="0" borderId="4" xfId="0" applyNumberFormat="1" applyFont="1" applyBorder="1" applyAlignment="1">
      <alignment horizontal="right" vertical="center" wrapText="1"/>
    </xf>
    <xf numFmtId="181" fontId="8" fillId="3" borderId="4" xfId="0" applyNumberFormat="1" applyFont="1" applyFill="1" applyBorder="1" applyAlignment="1">
      <alignment horizontal="right" vertical="center" wrapText="1"/>
    </xf>
    <xf numFmtId="181" fontId="17" fillId="0" borderId="4" xfId="0" applyNumberFormat="1" applyFont="1" applyFill="1" applyBorder="1" applyAlignment="1">
      <alignment vertical="center"/>
    </xf>
    <xf numFmtId="182" fontId="0" fillId="7" borderId="4" xfId="0" applyNumberFormat="1" applyFill="1" applyBorder="1">
      <alignment vertical="center"/>
    </xf>
    <xf numFmtId="181" fontId="21" fillId="3" borderId="4" xfId="0" applyNumberFormat="1" applyFont="1" applyFill="1" applyBorder="1" applyAlignment="1">
      <alignment horizontal="right" vertical="center" wrapText="1"/>
    </xf>
    <xf numFmtId="49" fontId="20" fillId="21" borderId="4" xfId="0" applyNumberFormat="1" applyFont="1" applyFill="1" applyBorder="1" applyAlignment="1">
      <alignment horizontal="left" vertical="center" wrapText="1"/>
    </xf>
    <xf numFmtId="49" fontId="20" fillId="21" borderId="0" xfId="0" applyNumberFormat="1" applyFont="1" applyFill="1" applyAlignment="1">
      <alignment horizontal="left" vertical="center" wrapText="1"/>
    </xf>
    <xf numFmtId="0" fontId="0" fillId="21" borderId="0" xfId="0" applyFill="1">
      <alignment vertical="center"/>
    </xf>
    <xf numFmtId="0" fontId="7" fillId="7" borderId="4" xfId="0" applyFont="1" applyFill="1" applyBorder="1">
      <alignment vertical="center"/>
    </xf>
    <xf numFmtId="0" fontId="7" fillId="21" borderId="4" xfId="0" applyFont="1" applyFill="1" applyBorder="1">
      <alignment vertical="center"/>
    </xf>
    <xf numFmtId="0" fontId="7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vertical="center"/>
    </xf>
    <xf numFmtId="181" fontId="7" fillId="7" borderId="4" xfId="0" applyNumberFormat="1" applyFont="1" applyFill="1" applyBorder="1">
      <alignment vertical="center"/>
    </xf>
    <xf numFmtId="0" fontId="8" fillId="0" borderId="4" xfId="0" applyFont="1" applyFill="1" applyBorder="1" applyAlignment="1">
      <alignment horizontal="left" vertical="center" indent="1"/>
    </xf>
    <xf numFmtId="0" fontId="8" fillId="21" borderId="4" xfId="0" applyFont="1" applyFill="1" applyBorder="1" applyAlignment="1">
      <alignment horizontal="left" vertical="center" indent="1"/>
    </xf>
    <xf numFmtId="0" fontId="13" fillId="0" borderId="4" xfId="0" applyFont="1" applyFill="1" applyBorder="1" applyAlignment="1">
      <alignment horizontal="left" vertical="center" indent="1"/>
    </xf>
    <xf numFmtId="0" fontId="13" fillId="21" borderId="4" xfId="0" applyFont="1" applyFill="1" applyBorder="1" applyAlignment="1">
      <alignment horizontal="left" vertical="center" indent="1"/>
    </xf>
    <xf numFmtId="0" fontId="8" fillId="7" borderId="4" xfId="0" applyFont="1" applyFill="1" applyBorder="1" applyAlignment="1">
      <alignment horizontal="left" vertical="center" indent="1"/>
    </xf>
    <xf numFmtId="181" fontId="0" fillId="7" borderId="4" xfId="0" applyNumberFormat="1" applyFill="1" applyBorder="1">
      <alignment vertical="center"/>
    </xf>
    <xf numFmtId="181" fontId="0" fillId="3" borderId="0" xfId="0" applyNumberFormat="1" applyFill="1">
      <alignment vertical="center"/>
    </xf>
    <xf numFmtId="180" fontId="8" fillId="0" borderId="4" xfId="0" applyNumberFormat="1" applyFont="1" applyBorder="1" applyAlignment="1">
      <alignment horizontal="right" vertical="center" wrapText="1"/>
    </xf>
    <xf numFmtId="185" fontId="21" fillId="3" borderId="4" xfId="0" applyNumberFormat="1" applyFont="1" applyFill="1" applyBorder="1" applyAlignment="1">
      <alignment horizontal="right" vertical="center" wrapText="1"/>
    </xf>
    <xf numFmtId="184" fontId="8" fillId="0" borderId="4" xfId="0" applyNumberFormat="1" applyFont="1" applyBorder="1" applyAlignment="1">
      <alignment horizontal="right" vertical="center" wrapText="1"/>
    </xf>
    <xf numFmtId="185" fontId="7" fillId="7" borderId="4" xfId="0" applyNumberFormat="1" applyFont="1" applyFill="1" applyBorder="1">
      <alignment vertical="center"/>
    </xf>
    <xf numFmtId="184" fontId="7" fillId="7" borderId="4" xfId="0" applyNumberFormat="1" applyFont="1" applyFill="1" applyBorder="1">
      <alignment vertical="center"/>
    </xf>
    <xf numFmtId="182" fontId="8" fillId="21" borderId="4" xfId="0" applyNumberFormat="1" applyFont="1" applyFill="1" applyBorder="1" applyAlignment="1">
      <alignment horizontal="left" vertical="center" indent="1"/>
    </xf>
    <xf numFmtId="185" fontId="0" fillId="0" borderId="4" xfId="0" applyNumberFormat="1" applyBorder="1" applyAlignment="1">
      <alignment vertical="center"/>
    </xf>
    <xf numFmtId="182" fontId="13" fillId="21" borderId="4" xfId="0" applyNumberFormat="1" applyFont="1" applyFill="1" applyBorder="1" applyAlignment="1">
      <alignment horizontal="left" vertical="center" indent="1"/>
    </xf>
    <xf numFmtId="180" fontId="0" fillId="0" borderId="4" xfId="0" applyNumberFormat="1" applyBorder="1" applyAlignment="1">
      <alignment vertical="center"/>
    </xf>
    <xf numFmtId="184" fontId="0" fillId="7" borderId="4" xfId="0" applyNumberFormat="1" applyFill="1" applyBorder="1">
      <alignment vertical="center"/>
    </xf>
    <xf numFmtId="182" fontId="8" fillId="21" borderId="4" xfId="0" applyNumberFormat="1" applyFont="1" applyFill="1" applyBorder="1" applyAlignment="1">
      <alignment horizontal="center" vertical="center"/>
    </xf>
    <xf numFmtId="182" fontId="13" fillId="21" borderId="4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184" fontId="21" fillId="3" borderId="4" xfId="0" applyNumberFormat="1" applyFont="1" applyFill="1" applyBorder="1" applyAlignment="1">
      <alignment horizontal="right" vertical="center" wrapText="1"/>
    </xf>
    <xf numFmtId="179" fontId="0" fillId="7" borderId="4" xfId="0" applyNumberFormat="1" applyFill="1" applyBorder="1">
      <alignment vertical="center"/>
    </xf>
    <xf numFmtId="180" fontId="0" fillId="7" borderId="4" xfId="0" applyNumberFormat="1" applyFill="1" applyBorder="1">
      <alignment vertical="center"/>
    </xf>
    <xf numFmtId="184" fontId="8" fillId="3" borderId="4" xfId="0" applyNumberFormat="1" applyFont="1" applyFill="1" applyBorder="1" applyAlignment="1">
      <alignment horizontal="right" vertical="center" wrapText="1"/>
    </xf>
    <xf numFmtId="184" fontId="21" fillId="3" borderId="4" xfId="0" applyNumberFormat="1" applyFont="1" applyFill="1" applyBorder="1" applyAlignment="1">
      <alignment horizontal="center" vertical="center" wrapText="1"/>
    </xf>
    <xf numFmtId="181" fontId="0" fillId="0" borderId="4" xfId="0" applyNumberFormat="1" applyFont="1" applyBorder="1" applyAlignment="1">
      <alignment vertical="center"/>
    </xf>
    <xf numFmtId="180" fontId="7" fillId="7" borderId="4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49" fontId="21" fillId="21" borderId="4" xfId="0" applyNumberFormat="1" applyFont="1" applyFill="1" applyBorder="1" applyAlignment="1">
      <alignment horizontal="left" vertical="center" wrapText="1"/>
    </xf>
    <xf numFmtId="191" fontId="0" fillId="0" borderId="4" xfId="0" applyNumberFormat="1" applyBorder="1" applyAlignment="1">
      <alignment vertical="center"/>
    </xf>
    <xf numFmtId="187" fontId="8" fillId="21" borderId="4" xfId="0" applyNumberFormat="1" applyFont="1" applyFill="1" applyBorder="1" applyAlignment="1">
      <alignment horizontal="left" vertical="center" indent="1"/>
    </xf>
    <xf numFmtId="0" fontId="12" fillId="7" borderId="4" xfId="0" applyFont="1" applyFill="1" applyBorder="1">
      <alignment vertical="center"/>
    </xf>
    <xf numFmtId="0" fontId="12" fillId="7" borderId="4" xfId="0" applyFont="1" applyFill="1" applyBorder="1" applyAlignment="1">
      <alignment horizontal="center" vertical="center"/>
    </xf>
    <xf numFmtId="181" fontId="12" fillId="7" borderId="4" xfId="0" applyNumberFormat="1" applyFont="1" applyFill="1" applyBorder="1">
      <alignment vertical="center"/>
    </xf>
    <xf numFmtId="0" fontId="21" fillId="0" borderId="4" xfId="0" applyFont="1" applyFill="1" applyBorder="1" applyAlignment="1">
      <alignment horizontal="left" vertical="center" indent="1"/>
    </xf>
    <xf numFmtId="181" fontId="8" fillId="7" borderId="4" xfId="0" applyNumberFormat="1" applyFont="1" applyFill="1" applyBorder="1">
      <alignment vertical="center"/>
    </xf>
    <xf numFmtId="182" fontId="0" fillId="7" borderId="4" xfId="0" applyNumberFormat="1" applyFill="1" applyBorder="1" applyAlignment="1">
      <alignment horizontal="right" vertical="center"/>
    </xf>
    <xf numFmtId="185" fontId="8" fillId="0" borderId="4" xfId="2" applyNumberFormat="1" applyFont="1" applyBorder="1" applyAlignment="1">
      <alignment horizontal="right" vertical="center" wrapText="1"/>
    </xf>
    <xf numFmtId="185" fontId="8" fillId="3" borderId="4" xfId="2" applyNumberFormat="1" applyFont="1" applyFill="1" applyBorder="1" applyAlignment="1">
      <alignment horizontal="right" vertical="center" wrapText="1"/>
    </xf>
    <xf numFmtId="185" fontId="21" fillId="3" borderId="4" xfId="2" applyNumberFormat="1" applyFont="1" applyFill="1" applyBorder="1" applyAlignment="1">
      <alignment horizontal="right" vertical="center" wrapText="1"/>
    </xf>
    <xf numFmtId="1" fontId="8" fillId="21" borderId="4" xfId="0" applyNumberFormat="1" applyFont="1" applyFill="1" applyBorder="1" applyAlignment="1">
      <alignment horizontal="left" vertical="center" indent="1"/>
    </xf>
    <xf numFmtId="1" fontId="13" fillId="21" borderId="4" xfId="0" applyNumberFormat="1" applyFont="1" applyFill="1" applyBorder="1" applyAlignment="1">
      <alignment horizontal="left" vertical="center" indent="1"/>
    </xf>
    <xf numFmtId="0" fontId="8" fillId="0" borderId="4" xfId="0" applyFont="1" applyBorder="1" applyAlignment="1">
      <alignment vertical="center" wrapText="1"/>
    </xf>
    <xf numFmtId="49" fontId="20" fillId="20" borderId="4" xfId="0" applyNumberFormat="1" applyFont="1" applyFill="1" applyBorder="1" applyAlignment="1">
      <alignment horizontal="center" vertical="center" wrapText="1"/>
    </xf>
    <xf numFmtId="49" fontId="20" fillId="20" borderId="4" xfId="0" applyNumberFormat="1" applyFont="1" applyFill="1" applyBorder="1" applyAlignment="1">
      <alignment vertical="center" wrapText="1"/>
    </xf>
    <xf numFmtId="49" fontId="20" fillId="20" borderId="10" xfId="0" applyNumberFormat="1" applyFont="1" applyFill="1" applyBorder="1" applyAlignment="1">
      <alignment horizontal="center" vertical="center" wrapText="1"/>
    </xf>
    <xf numFmtId="184" fontId="8" fillId="0" borderId="10" xfId="0" applyNumberFormat="1" applyFont="1" applyBorder="1" applyAlignment="1">
      <alignment horizontal="right" vertical="center" wrapText="1"/>
    </xf>
    <xf numFmtId="184" fontId="8" fillId="3" borderId="10" xfId="0" applyNumberFormat="1" applyFont="1" applyFill="1" applyBorder="1" applyAlignment="1">
      <alignment horizontal="right" vertical="center" wrapText="1"/>
    </xf>
    <xf numFmtId="180" fontId="8" fillId="0" borderId="10" xfId="0" applyNumberFormat="1" applyFont="1" applyBorder="1" applyAlignment="1">
      <alignment horizontal="right" vertical="center" wrapText="1"/>
    </xf>
    <xf numFmtId="184" fontId="21" fillId="3" borderId="10" xfId="0" applyNumberFormat="1" applyFont="1" applyFill="1" applyBorder="1" applyAlignment="1">
      <alignment horizontal="center" vertical="center" wrapText="1"/>
    </xf>
    <xf numFmtId="181" fontId="8" fillId="0" borderId="4" xfId="0" applyNumberFormat="1" applyFont="1" applyBorder="1" applyAlignment="1">
      <alignment vertical="center" wrapText="1"/>
    </xf>
    <xf numFmtId="181" fontId="8" fillId="0" borderId="10" xfId="0" applyNumberFormat="1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192" fontId="0" fillId="0" borderId="0" xfId="0" applyNumberFormat="1">
      <alignment vertical="center"/>
    </xf>
    <xf numFmtId="0" fontId="7" fillId="7" borderId="4" xfId="0" applyFont="1" applyFill="1" applyBorder="1" applyAlignment="1">
      <alignment vertical="center"/>
    </xf>
    <xf numFmtId="0" fontId="7" fillId="7" borderId="10" xfId="0" applyFont="1" applyFill="1" applyBorder="1" applyAlignment="1">
      <alignment horizontal="center" vertical="center"/>
    </xf>
    <xf numFmtId="181" fontId="7" fillId="7" borderId="4" xfId="0" applyNumberFormat="1" applyFont="1" applyFill="1" applyBorder="1" applyAlignment="1">
      <alignment vertical="center"/>
    </xf>
    <xf numFmtId="181" fontId="7" fillId="7" borderId="10" xfId="0" applyNumberFormat="1" applyFont="1" applyFill="1" applyBorder="1">
      <alignment vertical="center"/>
    </xf>
    <xf numFmtId="0" fontId="0" fillId="0" borderId="0" xfId="0" applyAlignment="1">
      <alignment vertical="center" readingOrder="1"/>
    </xf>
    <xf numFmtId="181" fontId="8" fillId="0" borderId="11" xfId="0" applyNumberFormat="1" applyFont="1" applyBorder="1" applyAlignment="1">
      <alignment horizontal="right" vertical="center" wrapText="1"/>
    </xf>
    <xf numFmtId="181" fontId="8" fillId="3" borderId="11" xfId="0" applyNumberFormat="1" applyFont="1" applyFill="1" applyBorder="1" applyAlignment="1">
      <alignment horizontal="right" vertical="center" wrapText="1"/>
    </xf>
    <xf numFmtId="181" fontId="8" fillId="0" borderId="0" xfId="0" applyNumberFormat="1" applyFont="1" applyBorder="1" applyAlignment="1">
      <alignment horizontal="right" vertical="center" wrapText="1"/>
    </xf>
    <xf numFmtId="0" fontId="22" fillId="0" borderId="18" xfId="0" applyFont="1" applyBorder="1" applyAlignment="1">
      <alignment horizontal="center" vertical="center" wrapText="1" readingOrder="1"/>
    </xf>
    <xf numFmtId="0" fontId="22" fillId="0" borderId="18" xfId="0" applyFont="1" applyFill="1" applyBorder="1" applyAlignment="1">
      <alignment horizontal="center" vertical="center" wrapText="1" readingOrder="1"/>
    </xf>
    <xf numFmtId="1" fontId="23" fillId="0" borderId="18" xfId="0" applyNumberFormat="1" applyFont="1" applyBorder="1" applyAlignment="1">
      <alignment horizontal="center" vertical="center" wrapText="1" readingOrder="1"/>
    </xf>
    <xf numFmtId="9" fontId="23" fillId="0" borderId="18" xfId="0" applyNumberFormat="1" applyFont="1" applyBorder="1" applyAlignment="1">
      <alignment horizontal="center" vertical="center" wrapText="1" readingOrder="1"/>
    </xf>
    <xf numFmtId="1" fontId="0" fillId="0" borderId="18" xfId="0" applyNumberFormat="1" applyFont="1" applyBorder="1" applyAlignment="1">
      <alignment vertical="center" readingOrder="1"/>
    </xf>
    <xf numFmtId="0" fontId="23" fillId="0" borderId="18" xfId="0" applyFont="1" applyBorder="1" applyAlignment="1">
      <alignment horizontal="left" vertical="center" wrapText="1" readingOrder="1"/>
    </xf>
    <xf numFmtId="0" fontId="23" fillId="0" borderId="18" xfId="0" applyFont="1" applyBorder="1" applyAlignment="1">
      <alignment horizontal="center" vertical="center" wrapText="1" readingOrder="1"/>
    </xf>
    <xf numFmtId="9" fontId="24" fillId="0" borderId="18" xfId="0" applyNumberFormat="1" applyFont="1" applyBorder="1" applyAlignment="1">
      <alignment horizontal="center" vertical="center" wrapText="1" readingOrder="1"/>
    </xf>
    <xf numFmtId="1" fontId="0" fillId="0" borderId="0" xfId="0" applyNumberFormat="1" applyAlignment="1">
      <alignment vertical="center" readingOrder="1"/>
    </xf>
    <xf numFmtId="0" fontId="23" fillId="0" borderId="18" xfId="0" applyFont="1" applyBorder="1" applyAlignment="1">
      <alignment vertical="center" wrapText="1" readingOrder="1"/>
    </xf>
    <xf numFmtId="0" fontId="25" fillId="0" borderId="18" xfId="0" applyFont="1" applyBorder="1" applyAlignment="1">
      <alignment vertical="center" wrapText="1" readingOrder="1"/>
    </xf>
    <xf numFmtId="0" fontId="6" fillId="0" borderId="18" xfId="0" applyFont="1" applyBorder="1" applyAlignment="1">
      <alignment vertical="center" wrapText="1" readingOrder="1"/>
    </xf>
    <xf numFmtId="0" fontId="0" fillId="0" borderId="18" xfId="0" applyBorder="1" applyAlignment="1">
      <alignment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</cellXfs>
  <cellStyles count="7">
    <cellStyle name="百分比" xfId="2" builtinId="5"/>
    <cellStyle name="常规" xfId="0" builtinId="0"/>
    <cellStyle name="常规 10 11" xfId="3" xr:uid="{00000000-0005-0000-0000-000012000000}"/>
    <cellStyle name="常规 2" xfId="4" xr:uid="{00000000-0005-0000-0000-000032000000}"/>
    <cellStyle name="常规 3" xfId="5" xr:uid="{00000000-0005-0000-0000-000033000000}"/>
    <cellStyle name="千位分隔" xfId="1" builtinId="3"/>
    <cellStyle name="千位分隔 2" xfId="6" xr:uid="{00000000-0005-0000-0000-00003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发电量（万千瓦时）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Sheet2!$B$6:$O$6</c:f>
              <c:strCache>
                <c:ptCount val="14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  <c:pt idx="13">
                  <c:v>2月</c:v>
                </c:pt>
              </c:strCache>
            </c:strRef>
          </c:cat>
          <c:val>
            <c:numRef>
              <c:f>Sheet2!$B$7:$O$7</c:f>
              <c:numCache>
                <c:formatCode>0</c:formatCode>
                <c:ptCount val="14"/>
                <c:pt idx="0">
                  <c:v>6104.7106999999996</c:v>
                </c:pt>
                <c:pt idx="1">
                  <c:v>6372.0288999999993</c:v>
                </c:pt>
                <c:pt idx="2">
                  <c:v>8735.8487999999998</c:v>
                </c:pt>
                <c:pt idx="3">
                  <c:v>11198.252</c:v>
                </c:pt>
                <c:pt idx="4">
                  <c:v>15656.7443</c:v>
                </c:pt>
                <c:pt idx="5">
                  <c:v>11662.853299999999</c:v>
                </c:pt>
                <c:pt idx="6">
                  <c:v>13695.955199999999</c:v>
                </c:pt>
                <c:pt idx="7">
                  <c:v>13630.6525</c:v>
                </c:pt>
                <c:pt idx="8">
                  <c:v>11292.9015</c:v>
                </c:pt>
                <c:pt idx="9">
                  <c:v>12073.6176</c:v>
                </c:pt>
                <c:pt idx="10">
                  <c:v>9958.5338000000011</c:v>
                </c:pt>
                <c:pt idx="11">
                  <c:v>12586.602000000001</c:v>
                </c:pt>
                <c:pt idx="12">
                  <c:v>14151.5839</c:v>
                </c:pt>
                <c:pt idx="13">
                  <c:v>9976.9045999999998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6-4C47-A485-160C294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37664"/>
        <c:axId val="183538816"/>
      </c:lineChart>
      <c:catAx>
        <c:axId val="1835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38816"/>
        <c:crosses val="autoZero"/>
        <c:auto val="1"/>
        <c:lblAlgn val="ctr"/>
        <c:lblOffset val="100"/>
        <c:noMultiLvlLbl val="0"/>
      </c:catAx>
      <c:valAx>
        <c:axId val="1835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上网电价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Sheet2!$B$12:$N$12</c:f>
              <c:strCache>
                <c:ptCount val="13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</c:strCache>
            </c:strRef>
          </c:cat>
          <c:val>
            <c:numRef>
              <c:f>Sheet2!$B$13:$N$13</c:f>
              <c:numCache>
                <c:formatCode>0.00</c:formatCode>
                <c:ptCount val="13"/>
                <c:pt idx="0">
                  <c:v>0.57098744377103205</c:v>
                </c:pt>
                <c:pt idx="1">
                  <c:v>0.60381187936484704</c:v>
                </c:pt>
                <c:pt idx="2">
                  <c:v>0.59736573783357405</c:v>
                </c:pt>
                <c:pt idx="3">
                  <c:v>0.58172752021304497</c:v>
                </c:pt>
                <c:pt idx="4">
                  <c:v>0.571710744474619</c:v>
                </c:pt>
                <c:pt idx="5">
                  <c:v>0.552389807780306</c:v>
                </c:pt>
                <c:pt idx="6">
                  <c:v>0.53328112944497696</c:v>
                </c:pt>
                <c:pt idx="7">
                  <c:v>0.52888787236995505</c:v>
                </c:pt>
                <c:pt idx="8">
                  <c:v>0.57212011332302304</c:v>
                </c:pt>
                <c:pt idx="9">
                  <c:v>0.50779541031894904</c:v>
                </c:pt>
                <c:pt idx="10">
                  <c:v>0.52924134808632906</c:v>
                </c:pt>
                <c:pt idx="11">
                  <c:v>0.49974855554971698</c:v>
                </c:pt>
                <c:pt idx="12">
                  <c:v>0.52821971210220942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F-4374-B5EB-1885677E4E6D}"/>
            </c:ext>
          </c:extLst>
        </c:ser>
        <c:ser>
          <c:idx val="1"/>
          <c:order val="1"/>
          <c:tx>
            <c:strRef>
              <c:f>Sheet2!$A$38</c:f>
              <c:strCache>
                <c:ptCount val="1"/>
                <c:pt idx="0">
                  <c:v>公司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Sheet2!$B$12:$N$12</c:f>
              <c:strCache>
                <c:ptCount val="13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</c:strCache>
            </c:strRef>
          </c:cat>
          <c:val>
            <c:numRef>
              <c:f>Sheet2!$B$38:$N$38</c:f>
              <c:numCache>
                <c:formatCode>0.000</c:formatCode>
                <c:ptCount val="13"/>
                <c:pt idx="0">
                  <c:v>0.104</c:v>
                </c:pt>
                <c:pt idx="1">
                  <c:v>0.100157915361438</c:v>
                </c:pt>
                <c:pt idx="2">
                  <c:v>0.10256872117282401</c:v>
                </c:pt>
                <c:pt idx="3">
                  <c:v>9.9162880552271904E-2</c:v>
                </c:pt>
                <c:pt idx="4">
                  <c:v>9.6852692400679494E-2</c:v>
                </c:pt>
                <c:pt idx="5">
                  <c:v>0.149979381666071</c:v>
                </c:pt>
                <c:pt idx="6">
                  <c:v>0.14379986012236401</c:v>
                </c:pt>
                <c:pt idx="7">
                  <c:v>0.16907014097046599</c:v>
                </c:pt>
                <c:pt idx="8">
                  <c:v>0.162059373391819</c:v>
                </c:pt>
                <c:pt idx="9">
                  <c:v>0.17236234446353699</c:v>
                </c:pt>
                <c:pt idx="10">
                  <c:v>0.17925383096820199</c:v>
                </c:pt>
                <c:pt idx="11">
                  <c:v>0.18576926780667</c:v>
                </c:pt>
                <c:pt idx="12">
                  <c:v>0.15024000000000001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F-4374-B5EB-1885677E4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240000"/>
        <c:axId val="184241536"/>
      </c:lineChart>
      <c:catAx>
        <c:axId val="1842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4241536"/>
        <c:crosses val="autoZero"/>
        <c:auto val="1"/>
        <c:lblAlgn val="ctr"/>
        <c:lblOffset val="100"/>
        <c:noMultiLvlLbl val="0"/>
      </c:catAx>
      <c:valAx>
        <c:axId val="1842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42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Sheet2!$A$25</c:f>
              <c:strCache>
                <c:ptCount val="1"/>
                <c:pt idx="0">
                  <c:v>利润总额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Sheet2!$B$22:$N$22</c:f>
              <c:strCache>
                <c:ptCount val="13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</c:strCache>
            </c:strRef>
          </c:cat>
          <c:val>
            <c:numRef>
              <c:f>Sheet2!$B$25:$N$25</c:f>
              <c:numCache>
                <c:formatCode>0</c:formatCode>
                <c:ptCount val="13"/>
                <c:pt idx="0">
                  <c:v>-1362.39896</c:v>
                </c:pt>
                <c:pt idx="1">
                  <c:v>-559.88113300000009</c:v>
                </c:pt>
                <c:pt idx="2">
                  <c:v>354.32218500000005</c:v>
                </c:pt>
                <c:pt idx="3">
                  <c:v>684.61063200000001</c:v>
                </c:pt>
                <c:pt idx="4">
                  <c:v>2124.4614750000028</c:v>
                </c:pt>
                <c:pt idx="5">
                  <c:v>363.82847699999388</c:v>
                </c:pt>
                <c:pt idx="6">
                  <c:v>990.68585900000289</c:v>
                </c:pt>
                <c:pt idx="7">
                  <c:v>1147.5355369999968</c:v>
                </c:pt>
                <c:pt idx="8">
                  <c:v>439.13661500000143</c:v>
                </c:pt>
                <c:pt idx="9">
                  <c:v>137.00526600000128</c:v>
                </c:pt>
                <c:pt idx="10">
                  <c:v>-694.04528799999855</c:v>
                </c:pt>
                <c:pt idx="11">
                  <c:v>-2514.549276000002</c:v>
                </c:pt>
                <c:pt idx="12">
                  <c:v>794.92273999999907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9-44E6-B650-034D1AC98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5682176"/>
        <c:axId val="185683968"/>
      </c:barChart>
      <c:lineChart>
        <c:grouping val="standard"/>
        <c:varyColors val="0"/>
        <c:ser>
          <c:idx val="0"/>
          <c:order val="0"/>
          <c:tx>
            <c:strRef>
              <c:f>Sheet2!$A$23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Sheet2!$B$22:$N$22</c:f>
              <c:strCache>
                <c:ptCount val="13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</c:strCache>
            </c:strRef>
          </c:cat>
          <c:val>
            <c:numRef>
              <c:f>Sheet2!$B$23:$N$23</c:f>
              <c:numCache>
                <c:formatCode>0</c:formatCode>
                <c:ptCount val="13"/>
                <c:pt idx="0">
                  <c:v>2808.9637499999999</c:v>
                </c:pt>
                <c:pt idx="1">
                  <c:v>3178.0728939999999</c:v>
                </c:pt>
                <c:pt idx="2">
                  <c:v>4418.4544560000004</c:v>
                </c:pt>
                <c:pt idx="3">
                  <c:v>4969.8667569999998</c:v>
                </c:pt>
                <c:pt idx="4">
                  <c:v>6385.4931329999899</c:v>
                </c:pt>
                <c:pt idx="5">
                  <c:v>4502.0067499999996</c:v>
                </c:pt>
                <c:pt idx="6">
                  <c:v>5471.2076189999998</c:v>
                </c:pt>
                <c:pt idx="7">
                  <c:v>5543.5024309999899</c:v>
                </c:pt>
                <c:pt idx="8">
                  <c:v>4927.7342900000003</c:v>
                </c:pt>
                <c:pt idx="9">
                  <c:v>5230.2430779999904</c:v>
                </c:pt>
                <c:pt idx="10">
                  <c:v>4538.7743440000004</c:v>
                </c:pt>
                <c:pt idx="11">
                  <c:v>5269.3576159999902</c:v>
                </c:pt>
                <c:pt idx="12">
                  <c:v>6177.2493959999892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9-44E6-B650-034D1AC98A0F}"/>
            </c:ext>
          </c:extLst>
        </c:ser>
        <c:ser>
          <c:idx val="1"/>
          <c:order val="1"/>
          <c:tx>
            <c:strRef>
              <c:f>Sheet2!$A$24</c:f>
              <c:strCache>
                <c:ptCount val="1"/>
                <c:pt idx="0">
                  <c:v>营业总成本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Sheet2!$B$22:$N$22</c:f>
              <c:strCache>
                <c:ptCount val="13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</c:strCache>
            </c:strRef>
          </c:cat>
          <c:val>
            <c:numRef>
              <c:f>Sheet2!$B$24:$N$24</c:f>
              <c:numCache>
                <c:formatCode>0</c:formatCode>
                <c:ptCount val="13"/>
                <c:pt idx="0">
                  <c:v>4171.3627100000003</c:v>
                </c:pt>
                <c:pt idx="1">
                  <c:v>3737.9540270000002</c:v>
                </c:pt>
                <c:pt idx="2">
                  <c:v>4064.1322709999999</c:v>
                </c:pt>
                <c:pt idx="3">
                  <c:v>4285.2561249999999</c:v>
                </c:pt>
                <c:pt idx="4">
                  <c:v>4261.0316579999999</c:v>
                </c:pt>
                <c:pt idx="5">
                  <c:v>4138.1782730000004</c:v>
                </c:pt>
                <c:pt idx="6">
                  <c:v>4480.5217599999996</c:v>
                </c:pt>
                <c:pt idx="7">
                  <c:v>4478.6790250000004</c:v>
                </c:pt>
                <c:pt idx="8">
                  <c:v>4512.9879959999998</c:v>
                </c:pt>
                <c:pt idx="9">
                  <c:v>5093.2378120000003</c:v>
                </c:pt>
                <c:pt idx="10">
                  <c:v>5115.2369349999899</c:v>
                </c:pt>
                <c:pt idx="11">
                  <c:v>7911.0824029999903</c:v>
                </c:pt>
                <c:pt idx="12">
                  <c:v>5382.3266559999993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9-44E6-B650-034D1AC98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82176"/>
        <c:axId val="185683968"/>
      </c:lineChart>
      <c:catAx>
        <c:axId val="1856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83968"/>
        <c:crosses val="autoZero"/>
        <c:auto val="1"/>
        <c:lblAlgn val="ctr"/>
        <c:lblOffset val="100"/>
        <c:noMultiLvlLbl val="0"/>
      </c:catAx>
      <c:valAx>
        <c:axId val="1856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24678950307099"/>
          <c:y val="0.81318031324515805"/>
          <c:w val="0.38838637632607598"/>
          <c:h val="0.1606758959051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zh-CN" sz="1000"/>
              <a:t>发电量（万千瓦时）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结算电量表!$D$116</c:f>
              <c:strCache>
                <c:ptCount val="1"/>
                <c:pt idx="0">
                  <c:v>本年累计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结算电量表!$A$117:$A$129</c:f>
              <c:strCache>
                <c:ptCount val="12"/>
                <c:pt idx="0">
                  <c:v>捡财塘</c:v>
                </c:pt>
                <c:pt idx="1">
                  <c:v>酒泉一</c:v>
                </c:pt>
                <c:pt idx="2">
                  <c:v>酒泉二</c:v>
                </c:pt>
                <c:pt idx="3">
                  <c:v>贝壳梁</c:v>
                </c:pt>
                <c:pt idx="4">
                  <c:v>三塘湖</c:v>
                </c:pt>
                <c:pt idx="5">
                  <c:v>淖毛湖</c:v>
                </c:pt>
                <c:pt idx="6">
                  <c:v>景峡</c:v>
                </c:pt>
                <c:pt idx="7">
                  <c:v>烟墩</c:v>
                </c:pt>
                <c:pt idx="8">
                  <c:v>小草湖</c:v>
                </c:pt>
                <c:pt idx="9">
                  <c:v>敦煌</c:v>
                </c:pt>
                <c:pt idx="10">
                  <c:v>格尔木</c:v>
                </c:pt>
                <c:pt idx="11">
                  <c:v>石嘴山</c:v>
                </c:pt>
              </c:strCache>
            </c:strRef>
          </c:cat>
          <c:val>
            <c:numRef>
              <c:f>结算电量表!$D$117:$D$129</c:f>
              <c:numCache>
                <c:formatCode>0_ </c:formatCode>
                <c:ptCount val="12"/>
                <c:pt idx="0">
                  <c:v>6310.4796000000006</c:v>
                </c:pt>
                <c:pt idx="1">
                  <c:v>5010.7684000000008</c:v>
                </c:pt>
                <c:pt idx="2">
                  <c:v>9256.4292000000005</c:v>
                </c:pt>
                <c:pt idx="3">
                  <c:v>7299.9004000000004</c:v>
                </c:pt>
                <c:pt idx="4">
                  <c:v>3457.1986999999999</c:v>
                </c:pt>
                <c:pt idx="5">
                  <c:v>1162.8353</c:v>
                </c:pt>
                <c:pt idx="6">
                  <c:v>7853.8336999999992</c:v>
                </c:pt>
                <c:pt idx="7">
                  <c:v>7235.5622000000003</c:v>
                </c:pt>
                <c:pt idx="8">
                  <c:v>2213.5362</c:v>
                </c:pt>
                <c:pt idx="9">
                  <c:v>1389.65</c:v>
                </c:pt>
                <c:pt idx="10">
                  <c:v>2759.8508999999999</c:v>
                </c:pt>
                <c:pt idx="11">
                  <c:v>1481.81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1-43EA-A701-F35E70538BE6}"/>
            </c:ext>
          </c:extLst>
        </c:ser>
        <c:ser>
          <c:idx val="1"/>
          <c:order val="1"/>
          <c:tx>
            <c:strRef>
              <c:f>结算电量表!$E$116</c:f>
              <c:strCache>
                <c:ptCount val="1"/>
                <c:pt idx="0">
                  <c:v>上年同期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结算电量表!$A$117:$A$129</c:f>
              <c:strCache>
                <c:ptCount val="12"/>
                <c:pt idx="0">
                  <c:v>捡财塘</c:v>
                </c:pt>
                <c:pt idx="1">
                  <c:v>酒泉一</c:v>
                </c:pt>
                <c:pt idx="2">
                  <c:v>酒泉二</c:v>
                </c:pt>
                <c:pt idx="3">
                  <c:v>贝壳梁</c:v>
                </c:pt>
                <c:pt idx="4">
                  <c:v>三塘湖</c:v>
                </c:pt>
                <c:pt idx="5">
                  <c:v>淖毛湖</c:v>
                </c:pt>
                <c:pt idx="6">
                  <c:v>景峡</c:v>
                </c:pt>
                <c:pt idx="7">
                  <c:v>烟墩</c:v>
                </c:pt>
                <c:pt idx="8">
                  <c:v>小草湖</c:v>
                </c:pt>
                <c:pt idx="9">
                  <c:v>敦煌</c:v>
                </c:pt>
                <c:pt idx="10">
                  <c:v>格尔木</c:v>
                </c:pt>
                <c:pt idx="11">
                  <c:v>石嘴山</c:v>
                </c:pt>
              </c:strCache>
            </c:strRef>
          </c:cat>
          <c:val>
            <c:numRef>
              <c:f>结算电量表!$E$117:$E$129</c:f>
              <c:numCache>
                <c:formatCode>0_ </c:formatCode>
                <c:ptCount val="12"/>
                <c:pt idx="0">
                  <c:v>3568.7692999999999</c:v>
                </c:pt>
                <c:pt idx="1">
                  <c:v>2942.2139999999999</c:v>
                </c:pt>
                <c:pt idx="2">
                  <c:v>5383.4276</c:v>
                </c:pt>
                <c:pt idx="3">
                  <c:v>2623.3163</c:v>
                </c:pt>
                <c:pt idx="4">
                  <c:v>1616.6280000000002</c:v>
                </c:pt>
                <c:pt idx="5">
                  <c:v>441.71320000000003</c:v>
                </c:pt>
                <c:pt idx="6">
                  <c:v>0</c:v>
                </c:pt>
                <c:pt idx="7">
                  <c:v>0</c:v>
                </c:pt>
                <c:pt idx="8">
                  <c:v>1045.03</c:v>
                </c:pt>
                <c:pt idx="9">
                  <c:v>877.67000000000007</c:v>
                </c:pt>
                <c:pt idx="10">
                  <c:v>1757.45</c:v>
                </c:pt>
                <c:pt idx="11">
                  <c:v>956.37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1-43EA-A701-F35E7053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08928"/>
        <c:axId val="185710464"/>
      </c:barChart>
      <c:catAx>
        <c:axId val="1857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85710464"/>
        <c:crosses val="autoZero"/>
        <c:auto val="1"/>
        <c:lblAlgn val="ctr"/>
        <c:lblOffset val="100"/>
        <c:noMultiLvlLbl val="0"/>
      </c:catAx>
      <c:valAx>
        <c:axId val="185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857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1"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Sheet2!$B$41</c:f>
              <c:strCache>
                <c:ptCount val="1"/>
                <c:pt idx="0">
                  <c:v>本月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Sheet2!$A$42:$A$54</c:f>
              <c:strCache>
                <c:ptCount val="12"/>
                <c:pt idx="0">
                  <c:v>捡财塘</c:v>
                </c:pt>
                <c:pt idx="1">
                  <c:v>酒泉一</c:v>
                </c:pt>
                <c:pt idx="2">
                  <c:v>酒泉二</c:v>
                </c:pt>
                <c:pt idx="3">
                  <c:v>贝壳梁</c:v>
                </c:pt>
                <c:pt idx="4">
                  <c:v>三塘湖</c:v>
                </c:pt>
                <c:pt idx="5">
                  <c:v>淖毛湖</c:v>
                </c:pt>
                <c:pt idx="6">
                  <c:v>景峡</c:v>
                </c:pt>
                <c:pt idx="7">
                  <c:v>烟墩</c:v>
                </c:pt>
                <c:pt idx="8">
                  <c:v>小草湖</c:v>
                </c:pt>
                <c:pt idx="9">
                  <c:v>敦煌</c:v>
                </c:pt>
                <c:pt idx="10">
                  <c:v>格尔木</c:v>
                </c:pt>
                <c:pt idx="11">
                  <c:v>石嘴山</c:v>
                </c:pt>
              </c:strCache>
            </c:strRef>
          </c:cat>
          <c:val>
            <c:numRef>
              <c:f>Sheet2!$B$42:$B$54</c:f>
              <c:numCache>
                <c:formatCode>0_ </c:formatCode>
                <c:ptCount val="12"/>
                <c:pt idx="0">
                  <c:v>1464.63</c:v>
                </c:pt>
                <c:pt idx="1">
                  <c:v>981.6893</c:v>
                </c:pt>
                <c:pt idx="2">
                  <c:v>1894.74</c:v>
                </c:pt>
                <c:pt idx="3">
                  <c:v>1512.7</c:v>
                </c:pt>
                <c:pt idx="4">
                  <c:v>694.49839999999995</c:v>
                </c:pt>
                <c:pt idx="5">
                  <c:v>150.24549999999999</c:v>
                </c:pt>
                <c:pt idx="6">
                  <c:v>761.92349999999999</c:v>
                </c:pt>
                <c:pt idx="7">
                  <c:v>853.36789999999996</c:v>
                </c:pt>
                <c:pt idx="8">
                  <c:v>310.24</c:v>
                </c:pt>
                <c:pt idx="9">
                  <c:v>373.28</c:v>
                </c:pt>
                <c:pt idx="10">
                  <c:v>647.1</c:v>
                </c:pt>
                <c:pt idx="11">
                  <c:v>332.49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8-4FA2-A8B4-0723FC369A38}"/>
            </c:ext>
          </c:extLst>
        </c:ser>
        <c:ser>
          <c:idx val="1"/>
          <c:order val="1"/>
          <c:tx>
            <c:strRef>
              <c:f>Sheet2!$C$41</c:f>
              <c:strCache>
                <c:ptCount val="1"/>
                <c:pt idx="0">
                  <c:v>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Sheet2!$A$42:$A$54</c:f>
              <c:strCache>
                <c:ptCount val="12"/>
                <c:pt idx="0">
                  <c:v>捡财塘</c:v>
                </c:pt>
                <c:pt idx="1">
                  <c:v>酒泉一</c:v>
                </c:pt>
                <c:pt idx="2">
                  <c:v>酒泉二</c:v>
                </c:pt>
                <c:pt idx="3">
                  <c:v>贝壳梁</c:v>
                </c:pt>
                <c:pt idx="4">
                  <c:v>三塘湖</c:v>
                </c:pt>
                <c:pt idx="5">
                  <c:v>淖毛湖</c:v>
                </c:pt>
                <c:pt idx="6">
                  <c:v>景峡</c:v>
                </c:pt>
                <c:pt idx="7">
                  <c:v>烟墩</c:v>
                </c:pt>
                <c:pt idx="8">
                  <c:v>小草湖</c:v>
                </c:pt>
                <c:pt idx="9">
                  <c:v>敦煌</c:v>
                </c:pt>
                <c:pt idx="10">
                  <c:v>格尔木</c:v>
                </c:pt>
                <c:pt idx="11">
                  <c:v>石嘴山</c:v>
                </c:pt>
              </c:strCache>
            </c:strRef>
          </c:cat>
          <c:val>
            <c:numRef>
              <c:f>Sheet2!$C$42:$C$54</c:f>
              <c:numCache>
                <c:formatCode>0_ </c:formatCode>
                <c:ptCount val="12"/>
                <c:pt idx="0">
                  <c:v>985.03219999999999</c:v>
                </c:pt>
                <c:pt idx="1">
                  <c:v>973.94</c:v>
                </c:pt>
                <c:pt idx="2">
                  <c:v>1306.4630999999999</c:v>
                </c:pt>
                <c:pt idx="3">
                  <c:v>1141.9749999999999</c:v>
                </c:pt>
                <c:pt idx="4">
                  <c:v>478.5</c:v>
                </c:pt>
                <c:pt idx="5">
                  <c:v>96.853499999999997</c:v>
                </c:pt>
                <c:pt idx="6">
                  <c:v>0</c:v>
                </c:pt>
                <c:pt idx="7">
                  <c:v>0</c:v>
                </c:pt>
                <c:pt idx="8">
                  <c:v>260.6651</c:v>
                </c:pt>
                <c:pt idx="9">
                  <c:v>255.86</c:v>
                </c:pt>
                <c:pt idx="10">
                  <c:v>559</c:v>
                </c:pt>
                <c:pt idx="11">
                  <c:v>313.74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8-4FA2-A8B4-0723FC36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33280"/>
        <c:axId val="186034816"/>
      </c:barChart>
      <c:barChart>
        <c:barDir val="col"/>
        <c:grouping val="clustered"/>
        <c:varyColors val="0"/>
        <c:ser>
          <c:idx val="2"/>
          <c:order val="2"/>
          <c:tx>
            <c:strRef>
              <c:f>Sheet2!$F$41</c:f>
              <c:strCache>
                <c:ptCount val="1"/>
                <c:pt idx="0">
                  <c:v>同比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Sheet2!$A$42:$A$54</c:f>
              <c:strCache>
                <c:ptCount val="12"/>
                <c:pt idx="0">
                  <c:v>捡财塘</c:v>
                </c:pt>
                <c:pt idx="1">
                  <c:v>酒泉一</c:v>
                </c:pt>
                <c:pt idx="2">
                  <c:v>酒泉二</c:v>
                </c:pt>
                <c:pt idx="3">
                  <c:v>贝壳梁</c:v>
                </c:pt>
                <c:pt idx="4">
                  <c:v>三塘湖</c:v>
                </c:pt>
                <c:pt idx="5">
                  <c:v>淖毛湖</c:v>
                </c:pt>
                <c:pt idx="6">
                  <c:v>景峡</c:v>
                </c:pt>
                <c:pt idx="7">
                  <c:v>烟墩</c:v>
                </c:pt>
                <c:pt idx="8">
                  <c:v>小草湖</c:v>
                </c:pt>
                <c:pt idx="9">
                  <c:v>敦煌</c:v>
                </c:pt>
                <c:pt idx="10">
                  <c:v>格尔木</c:v>
                </c:pt>
                <c:pt idx="11">
                  <c:v>石嘴山</c:v>
                </c:pt>
              </c:strCache>
            </c:strRef>
          </c:cat>
          <c:val>
            <c:numRef>
              <c:f>Sheet2!$F$42:$F$54</c:f>
              <c:numCache>
                <c:formatCode>0%</c:formatCode>
                <c:ptCount val="12"/>
                <c:pt idx="0">
                  <c:v>0.48688540334011426</c:v>
                </c:pt>
                <c:pt idx="1">
                  <c:v>7.9566503070003774E-3</c:v>
                </c:pt>
                <c:pt idx="2">
                  <c:v>0.4502820630754899</c:v>
                </c:pt>
                <c:pt idx="3">
                  <c:v>-0.41486022023249186</c:v>
                </c:pt>
                <c:pt idx="4">
                  <c:v>0.45140731452455579</c:v>
                </c:pt>
                <c:pt idx="5">
                  <c:v>0.55126557119773678</c:v>
                </c:pt>
                <c:pt idx="8">
                  <c:v>0.19018618142589866</c:v>
                </c:pt>
                <c:pt idx="9">
                  <c:v>0.45892284843273645</c:v>
                </c:pt>
                <c:pt idx="10">
                  <c:v>0.15760286225402509</c:v>
                </c:pt>
                <c:pt idx="11">
                  <c:v>5.9762860967680242E-2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8-4FA2-A8B4-0723FC369A38}"/>
            </c:ext>
          </c:extLst>
        </c:ser>
        <c:ser>
          <c:idx val="3"/>
          <c:order val="3"/>
          <c:tx>
            <c:strRef>
              <c:f>Sheet2!$G$41</c:f>
              <c:strCache>
                <c:ptCount val="1"/>
                <c:pt idx="0">
                  <c:v>较同期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Sheet2!$A$42:$A$54</c:f>
              <c:strCache>
                <c:ptCount val="12"/>
                <c:pt idx="0">
                  <c:v>捡财塘</c:v>
                </c:pt>
                <c:pt idx="1">
                  <c:v>酒泉一</c:v>
                </c:pt>
                <c:pt idx="2">
                  <c:v>酒泉二</c:v>
                </c:pt>
                <c:pt idx="3">
                  <c:v>贝壳梁</c:v>
                </c:pt>
                <c:pt idx="4">
                  <c:v>三塘湖</c:v>
                </c:pt>
                <c:pt idx="5">
                  <c:v>淖毛湖</c:v>
                </c:pt>
                <c:pt idx="6">
                  <c:v>景峡</c:v>
                </c:pt>
                <c:pt idx="7">
                  <c:v>烟墩</c:v>
                </c:pt>
                <c:pt idx="8">
                  <c:v>小草湖</c:v>
                </c:pt>
                <c:pt idx="9">
                  <c:v>敦煌</c:v>
                </c:pt>
                <c:pt idx="10">
                  <c:v>格尔木</c:v>
                </c:pt>
                <c:pt idx="11">
                  <c:v>石嘴山</c:v>
                </c:pt>
              </c:strCache>
            </c:strRef>
          </c:cat>
          <c:val>
            <c:numRef>
              <c:f>Sheet2!$G$42:$G$54</c:f>
              <c:numCache>
                <c:formatCode>0_ </c:formatCode>
                <c:ptCount val="12"/>
                <c:pt idx="0">
                  <c:v>479.59780000000012</c:v>
                </c:pt>
                <c:pt idx="1">
                  <c:v>7.7492999999999483</c:v>
                </c:pt>
                <c:pt idx="2">
                  <c:v>588.27690000000007</c:v>
                </c:pt>
                <c:pt idx="3">
                  <c:v>-473.75999999999988</c:v>
                </c:pt>
                <c:pt idx="4">
                  <c:v>215.99839999999995</c:v>
                </c:pt>
                <c:pt idx="5">
                  <c:v>53.391999999999996</c:v>
                </c:pt>
                <c:pt idx="8">
                  <c:v>49.574900000000014</c:v>
                </c:pt>
                <c:pt idx="9">
                  <c:v>117.41999999999996</c:v>
                </c:pt>
                <c:pt idx="10">
                  <c:v>88.100000000000023</c:v>
                </c:pt>
                <c:pt idx="11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8-4FA2-A8B4-0723FC36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36608"/>
        <c:axId val="186038144"/>
      </c:barChart>
      <c:catAx>
        <c:axId val="1860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34816"/>
        <c:crosses val="autoZero"/>
        <c:auto val="1"/>
        <c:lblAlgn val="ctr"/>
        <c:lblOffset val="100"/>
        <c:noMultiLvlLbl val="0"/>
      </c:catAx>
      <c:valAx>
        <c:axId val="186034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33280"/>
        <c:crosses val="autoZero"/>
        <c:crossBetween val="between"/>
      </c:valAx>
      <c:catAx>
        <c:axId val="18603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6038144"/>
        <c:crosses val="autoZero"/>
        <c:auto val="1"/>
        <c:lblAlgn val="ctr"/>
        <c:lblOffset val="100"/>
        <c:noMultiLvlLbl val="0"/>
      </c:catAx>
      <c:valAx>
        <c:axId val="18603814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186036608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交易电量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Sheet2!$B$32:$O$32</c:f>
              <c:strCache>
                <c:ptCount val="14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  <c:pt idx="13">
                  <c:v>2月</c:v>
                </c:pt>
              </c:strCache>
            </c:strRef>
          </c:cat>
          <c:val>
            <c:numRef>
              <c:f>Sheet2!$B$33:$O$33</c:f>
            </c:numRef>
          </c:val>
          <c:extLst>
            <c:ext xmlns:c16="http://schemas.microsoft.com/office/drawing/2014/chart" uri="{C3380CC4-5D6E-409C-BE32-E72D297353CC}">
              <c16:uniqueId val="{00000000-F317-4524-8457-1495E232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98080"/>
        <c:axId val="186800000"/>
      </c:barChart>
      <c:lineChart>
        <c:grouping val="standard"/>
        <c:varyColors val="0"/>
        <c:ser>
          <c:idx val="1"/>
          <c:order val="1"/>
          <c:tx>
            <c:strRef>
              <c:f>Sheet2!$A$34</c:f>
              <c:strCache>
                <c:ptCount val="1"/>
                <c:pt idx="0">
                  <c:v>甘肃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Sheet2!$B$32:$O$32</c:f>
              <c:strCache>
                <c:ptCount val="14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  <c:pt idx="13">
                  <c:v>2月</c:v>
                </c:pt>
              </c:strCache>
            </c:strRef>
          </c:cat>
          <c:val>
            <c:numRef>
              <c:f>Sheet2!$B$34:$O$34</c:f>
              <c:numCache>
                <c:formatCode>0.00</c:formatCode>
                <c:ptCount val="14"/>
                <c:pt idx="0">
                  <c:v>0.11941859800205901</c:v>
                </c:pt>
                <c:pt idx="1">
                  <c:v>0.13634897452290101</c:v>
                </c:pt>
                <c:pt idx="2">
                  <c:v>0.11662547229082</c:v>
                </c:pt>
                <c:pt idx="3">
                  <c:v>0.111729894375054</c:v>
                </c:pt>
                <c:pt idx="4">
                  <c:v>0.111247797320814</c:v>
                </c:pt>
                <c:pt idx="5">
                  <c:v>0.151242685456769</c:v>
                </c:pt>
                <c:pt idx="6">
                  <c:v>0.14822813096019999</c:v>
                </c:pt>
                <c:pt idx="7">
                  <c:v>0.18070686872312999</c:v>
                </c:pt>
                <c:pt idx="8">
                  <c:v>0.187649526046066</c:v>
                </c:pt>
                <c:pt idx="9">
                  <c:v>0.214097914089911</c:v>
                </c:pt>
                <c:pt idx="10">
                  <c:v>0.209238320516662</c:v>
                </c:pt>
                <c:pt idx="11">
                  <c:v>0.244857565525258</c:v>
                </c:pt>
                <c:pt idx="12">
                  <c:v>0.17678442498649499</c:v>
                </c:pt>
                <c:pt idx="13">
                  <c:v>0.19217264620353799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7-4524-8457-1495E232D2E2}"/>
            </c:ext>
          </c:extLst>
        </c:ser>
        <c:ser>
          <c:idx val="2"/>
          <c:order val="2"/>
          <c:tx>
            <c:strRef>
              <c:f>Sheet2!$A$35</c:f>
              <c:strCache>
                <c:ptCount val="1"/>
                <c:pt idx="0">
                  <c:v>新疆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Sheet2!$B$32:$O$32</c:f>
              <c:strCache>
                <c:ptCount val="14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  <c:pt idx="13">
                  <c:v>2月</c:v>
                </c:pt>
              </c:strCache>
            </c:strRef>
          </c:cat>
          <c:val>
            <c:numRef>
              <c:f>Sheet2!$B$35:$O$35</c:f>
              <c:numCache>
                <c:formatCode>0.00</c:formatCode>
                <c:ptCount val="14"/>
                <c:pt idx="0">
                  <c:v>0.23</c:v>
                </c:pt>
                <c:pt idx="1">
                  <c:v>0.216604683677036</c:v>
                </c:pt>
                <c:pt idx="2">
                  <c:v>0.20343401331910199</c:v>
                </c:pt>
                <c:pt idx="3">
                  <c:v>0.21977830249008801</c:v>
                </c:pt>
                <c:pt idx="4">
                  <c:v>0.22202612250905601</c:v>
                </c:pt>
                <c:pt idx="5">
                  <c:v>0.228689404294867</c:v>
                </c:pt>
                <c:pt idx="6">
                  <c:v>0.21766273487451401</c:v>
                </c:pt>
                <c:pt idx="7">
                  <c:v>0.219249009422392</c:v>
                </c:pt>
                <c:pt idx="8">
                  <c:v>0.226860217453908</c:v>
                </c:pt>
                <c:pt idx="9">
                  <c:v>0.17879264043898699</c:v>
                </c:pt>
                <c:pt idx="10">
                  <c:v>0.232194090656859</c:v>
                </c:pt>
                <c:pt idx="11">
                  <c:v>0.15122804769197001</c:v>
                </c:pt>
                <c:pt idx="12">
                  <c:v>0.15003953928823099</c:v>
                </c:pt>
                <c:pt idx="13">
                  <c:v>0.19106413609782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7-4524-8457-1495E232D2E2}"/>
            </c:ext>
          </c:extLst>
        </c:ser>
        <c:ser>
          <c:idx val="3"/>
          <c:order val="3"/>
          <c:tx>
            <c:strRef>
              <c:f>Sheet2!$A$36</c:f>
              <c:strCache>
                <c:ptCount val="1"/>
                <c:pt idx="0">
                  <c:v>青海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Sheet2!$B$32:$O$32</c:f>
              <c:strCache>
                <c:ptCount val="14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  <c:pt idx="13">
                  <c:v>2月</c:v>
                </c:pt>
              </c:strCache>
            </c:strRef>
          </c:cat>
          <c:val>
            <c:numRef>
              <c:f>Sheet2!$B$36:$O$36</c:f>
              <c:numCache>
                <c:formatCode>0.00</c:formatCode>
                <c:ptCount val="14"/>
                <c:pt idx="0">
                  <c:v>7.8303808612940506E-2</c:v>
                </c:pt>
                <c:pt idx="1">
                  <c:v>7.7664963910390794E-2</c:v>
                </c:pt>
                <c:pt idx="2">
                  <c:v>6.2049590306995098E-2</c:v>
                </c:pt>
                <c:pt idx="3">
                  <c:v>5.6217765976009401E-2</c:v>
                </c:pt>
                <c:pt idx="4">
                  <c:v>5.5736939778551299E-2</c:v>
                </c:pt>
                <c:pt idx="5">
                  <c:v>0.11660636139300901</c:v>
                </c:pt>
                <c:pt idx="6">
                  <c:v>9.9675952509868201E-2</c:v>
                </c:pt>
                <c:pt idx="7">
                  <c:v>0.10173400843802</c:v>
                </c:pt>
                <c:pt idx="8">
                  <c:v>0.11993375068202899</c:v>
                </c:pt>
                <c:pt idx="9">
                  <c:v>9.9319064587663403E-2</c:v>
                </c:pt>
                <c:pt idx="10">
                  <c:v>8.2787979871666001E-2</c:v>
                </c:pt>
                <c:pt idx="11">
                  <c:v>7.0736201184628297E-2</c:v>
                </c:pt>
                <c:pt idx="12">
                  <c:v>3.7202300992789802E-2</c:v>
                </c:pt>
                <c:pt idx="13">
                  <c:v>2.8840000000000001E-2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7-4524-8457-1495E232D2E2}"/>
            </c:ext>
          </c:extLst>
        </c:ser>
        <c:ser>
          <c:idx val="4"/>
          <c:order val="4"/>
          <c:tx>
            <c:strRef>
              <c:f>Sheet2!$A$37</c:f>
              <c:strCache>
                <c:ptCount val="1"/>
                <c:pt idx="0">
                  <c:v>宁夏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Sheet2!$B$32:$O$32</c:f>
              <c:strCache>
                <c:ptCount val="14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  <c:pt idx="13">
                  <c:v>2月</c:v>
                </c:pt>
              </c:strCache>
            </c:strRef>
          </c:cat>
          <c:val>
            <c:numRef>
              <c:f>Sheet2!$B$37:$O$37</c:f>
              <c:numCache>
                <c:formatCode>0.00</c:formatCode>
                <c:ptCount val="14"/>
                <c:pt idx="0">
                  <c:v>2.7349999999999999E-2</c:v>
                </c:pt>
                <c:pt idx="1">
                  <c:v>5.8584299719888003E-2</c:v>
                </c:pt>
                <c:pt idx="2">
                  <c:v>8.2116666666666699E-2</c:v>
                </c:pt>
                <c:pt idx="3">
                  <c:v>5.8329214137214098E-2</c:v>
                </c:pt>
                <c:pt idx="4">
                  <c:v>5.0625133928571403E-2</c:v>
                </c:pt>
                <c:pt idx="5">
                  <c:v>5.81117063313875E-2</c:v>
                </c:pt>
                <c:pt idx="6">
                  <c:v>4.48360163339383E-2</c:v>
                </c:pt>
                <c:pt idx="7">
                  <c:v>7.4966021194605006E-2</c:v>
                </c:pt>
                <c:pt idx="8">
                  <c:v>8.5176164658634507E-2</c:v>
                </c:pt>
                <c:pt idx="9">
                  <c:v>6.3727945205479405E-2</c:v>
                </c:pt>
                <c:pt idx="10">
                  <c:v>2.3433812982296898E-2</c:v>
                </c:pt>
                <c:pt idx="11">
                  <c:v>2.5745360501567401E-2</c:v>
                </c:pt>
                <c:pt idx="12">
                  <c:v>5.97633915892955E-2</c:v>
                </c:pt>
                <c:pt idx="13">
                  <c:v>5.7208713099630999E-2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7-4524-8457-1495E232D2E2}"/>
            </c:ext>
          </c:extLst>
        </c:ser>
        <c:ser>
          <c:idx val="5"/>
          <c:order val="5"/>
          <c:tx>
            <c:strRef>
              <c:f>Sheet2!$A$38</c:f>
              <c:strCache>
                <c:ptCount val="1"/>
                <c:pt idx="0">
                  <c:v>公司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Sheet2!$B$32:$O$32</c:f>
              <c:strCache>
                <c:ptCount val="14"/>
                <c:pt idx="0">
                  <c:v>1月
2017年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
2018年</c:v>
                </c:pt>
                <c:pt idx="13">
                  <c:v>2月</c:v>
                </c:pt>
              </c:strCache>
            </c:strRef>
          </c:cat>
          <c:val>
            <c:numRef>
              <c:f>Sheet2!$B$38:$O$38</c:f>
              <c:numCache>
                <c:formatCode>0.000</c:formatCode>
                <c:ptCount val="14"/>
                <c:pt idx="0">
                  <c:v>0.104</c:v>
                </c:pt>
                <c:pt idx="1">
                  <c:v>0.100157915361438</c:v>
                </c:pt>
                <c:pt idx="2">
                  <c:v>0.10256872117282401</c:v>
                </c:pt>
                <c:pt idx="3">
                  <c:v>9.9162880552271904E-2</c:v>
                </c:pt>
                <c:pt idx="4">
                  <c:v>9.6852692400679494E-2</c:v>
                </c:pt>
                <c:pt idx="5">
                  <c:v>0.149979381666071</c:v>
                </c:pt>
                <c:pt idx="6">
                  <c:v>0.14379986012236401</c:v>
                </c:pt>
                <c:pt idx="7">
                  <c:v>0.16907014097046599</c:v>
                </c:pt>
                <c:pt idx="8">
                  <c:v>0.162059373391819</c:v>
                </c:pt>
                <c:pt idx="9">
                  <c:v>0.17236234446353699</c:v>
                </c:pt>
                <c:pt idx="10">
                  <c:v>0.17925383096820199</c:v>
                </c:pt>
                <c:pt idx="11">
                  <c:v>0.18576926780667</c:v>
                </c:pt>
                <c:pt idx="12">
                  <c:v>0.15024000000000001</c:v>
                </c:pt>
                <c:pt idx="13">
                  <c:v>0.15575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7-4524-8457-1495E232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01536"/>
        <c:axId val="186815616"/>
      </c:lineChart>
      <c:catAx>
        <c:axId val="1867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00000"/>
        <c:crosses val="autoZero"/>
        <c:auto val="1"/>
        <c:lblAlgn val="ctr"/>
        <c:lblOffset val="100"/>
        <c:noMultiLvlLbl val="0"/>
      </c:catAx>
      <c:valAx>
        <c:axId val="1868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98080"/>
        <c:crosses val="autoZero"/>
        <c:crossBetween val="between"/>
      </c:valAx>
      <c:catAx>
        <c:axId val="18680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6815616"/>
        <c:crosses val="autoZero"/>
        <c:auto val="1"/>
        <c:lblAlgn val="ctr"/>
        <c:lblOffset val="100"/>
        <c:noMultiLvlLbl val="0"/>
      </c:catAx>
      <c:valAx>
        <c:axId val="1868156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015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</xdr:row>
      <xdr:rowOff>23811</xdr:rowOff>
    </xdr:from>
    <xdr:to>
      <xdr:col>24</xdr:col>
      <xdr:colOff>409575</xdr:colOff>
      <xdr:row>9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585786</xdr:colOff>
      <xdr:row>11</xdr:row>
      <xdr:rowOff>233362</xdr:rowOff>
    </xdr:from>
    <xdr:to>
      <xdr:col>26</xdr:col>
      <xdr:colOff>400050</xdr:colOff>
      <xdr:row>24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104775</xdr:colOff>
      <xdr:row>11</xdr:row>
      <xdr:rowOff>104775</xdr:rowOff>
    </xdr:from>
    <xdr:to>
      <xdr:col>32</xdr:col>
      <xdr:colOff>504825</xdr:colOff>
      <xdr:row>26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742950</xdr:colOff>
      <xdr:row>58</xdr:row>
      <xdr:rowOff>19050</xdr:rowOff>
    </xdr:from>
    <xdr:to>
      <xdr:col>10</xdr:col>
      <xdr:colOff>66675</xdr:colOff>
      <xdr:row>70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638174</xdr:colOff>
      <xdr:row>42</xdr:row>
      <xdr:rowOff>80962</xdr:rowOff>
    </xdr:from>
    <xdr:to>
      <xdr:col>18</xdr:col>
      <xdr:colOff>209549</xdr:colOff>
      <xdr:row>57</xdr:row>
      <xdr:rowOff>104775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304800</xdr:colOff>
      <xdr:row>40</xdr:row>
      <xdr:rowOff>152401</xdr:rowOff>
    </xdr:from>
    <xdr:to>
      <xdr:col>13</xdr:col>
      <xdr:colOff>647700</xdr:colOff>
      <xdr:row>60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17;&#26399;&#24037;&#20316;/12&#26376;/01-12&#26376;&#39044;&#31639;&#25191;&#34892;2018.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计"/>
      <sheetName val="白银"/>
      <sheetName val="酒一"/>
      <sheetName val="酒二"/>
      <sheetName val="青海"/>
      <sheetName val="哈密"/>
      <sheetName val="三塘湖"/>
      <sheetName val="淖毛湖"/>
      <sheetName val="景峡"/>
      <sheetName val="烟墩"/>
      <sheetName val="吐鲁番"/>
      <sheetName val="敦煌"/>
      <sheetName val="格尔木"/>
      <sheetName val="石嘴山"/>
      <sheetName val="云南"/>
      <sheetName val="楚雄"/>
      <sheetName val="大理"/>
      <sheetName val="广西"/>
      <sheetName val="电价"/>
      <sheetName val="电量"/>
      <sheetName val="交易电量"/>
      <sheetName val="利润"/>
      <sheetName val="主营收入"/>
      <sheetName val="两金压减"/>
      <sheetName val="外购动力费"/>
      <sheetName val="材料修理费"/>
      <sheetName val="设备利用小"/>
      <sheetName val="人工成本"/>
      <sheetName val="Sheet1"/>
    </sheetNames>
    <sheetDataSet>
      <sheetData sheetId="0" refreshError="1"/>
      <sheetData sheetId="1" refreshError="1">
        <row r="45">
          <cell r="B45">
            <v>107.282938</v>
          </cell>
          <cell r="C45">
            <v>-35.896413000000003</v>
          </cell>
          <cell r="D45">
            <v>-43.034307000000197</v>
          </cell>
          <cell r="E45">
            <v>47.434848000000201</v>
          </cell>
          <cell r="F45">
            <v>-59.493489999999497</v>
          </cell>
          <cell r="G45">
            <v>-162.68300400000001</v>
          </cell>
          <cell r="H45">
            <v>-102.976224</v>
          </cell>
          <cell r="I45">
            <v>-141.19605200000001</v>
          </cell>
          <cell r="J45">
            <v>-47.451334999998998</v>
          </cell>
          <cell r="K45">
            <v>-42.940033999999898</v>
          </cell>
          <cell r="L45">
            <v>-114.219346999999</v>
          </cell>
          <cell r="M45">
            <v>-66.427722000003001</v>
          </cell>
          <cell r="O45">
            <v>-1692.7600309059801</v>
          </cell>
        </row>
      </sheetData>
      <sheetData sheetId="2" refreshError="1">
        <row r="45">
          <cell r="B45">
            <v>-352.06770599999999</v>
          </cell>
          <cell r="C45">
            <v>-108.437065</v>
          </cell>
          <cell r="D45">
            <v>50.508380000000002</v>
          </cell>
          <cell r="E45">
            <v>-254.60634099999999</v>
          </cell>
          <cell r="F45">
            <v>113.590771000001</v>
          </cell>
          <cell r="G45">
            <v>-198.58387000000101</v>
          </cell>
          <cell r="H45">
            <v>-65.695351999997996</v>
          </cell>
          <cell r="I45">
            <v>-59.606146000000898</v>
          </cell>
          <cell r="J45">
            <v>-47.828351999996897</v>
          </cell>
          <cell r="K45">
            <v>-176.155385</v>
          </cell>
          <cell r="L45">
            <v>-275.00086499999998</v>
          </cell>
          <cell r="M45">
            <v>-383.62875699999898</v>
          </cell>
          <cell r="O45">
            <v>-2695.3804799999998</v>
          </cell>
        </row>
      </sheetData>
      <sheetData sheetId="3" refreshError="1">
        <row r="45">
          <cell r="B45">
            <v>-488.54771399999998</v>
          </cell>
          <cell r="C45">
            <v>-338.01178700000003</v>
          </cell>
          <cell r="D45">
            <v>173.661698</v>
          </cell>
          <cell r="E45">
            <v>-112.14772499999999</v>
          </cell>
          <cell r="F45">
            <v>159.46248600000101</v>
          </cell>
          <cell r="G45">
            <v>-516.78886300000102</v>
          </cell>
          <cell r="H45">
            <v>-264.60565499999899</v>
          </cell>
          <cell r="I45">
            <v>214.011742</v>
          </cell>
          <cell r="J45">
            <v>-213.85855699999999</v>
          </cell>
          <cell r="K45">
            <v>-422.79468699999899</v>
          </cell>
          <cell r="L45">
            <v>-456.66295200000002</v>
          </cell>
          <cell r="M45">
            <v>-669.35547299999996</v>
          </cell>
          <cell r="O45">
            <v>-4286.7695000000003</v>
          </cell>
        </row>
      </sheetData>
      <sheetData sheetId="4" refreshError="1">
        <row r="45">
          <cell r="B45">
            <v>45.381386999999997</v>
          </cell>
          <cell r="C45">
            <v>231.383241</v>
          </cell>
          <cell r="D45">
            <v>-9.5199689999999908</v>
          </cell>
          <cell r="E45">
            <v>469.18052799999998</v>
          </cell>
          <cell r="F45">
            <v>434.510009999999</v>
          </cell>
          <cell r="G45">
            <v>258.10538000000003</v>
          </cell>
          <cell r="H45">
            <v>197.42106699999999</v>
          </cell>
          <cell r="I45">
            <v>60.855641000000197</v>
          </cell>
          <cell r="J45">
            <v>109.58521599999899</v>
          </cell>
          <cell r="K45">
            <v>359.43843099999998</v>
          </cell>
          <cell r="L45">
            <v>351.56727100000001</v>
          </cell>
          <cell r="M45">
            <v>226.859388999999</v>
          </cell>
          <cell r="O45">
            <v>3388.57762512821</v>
          </cell>
        </row>
      </sheetData>
      <sheetData sheetId="5" refreshError="1">
        <row r="45">
          <cell r="B45">
            <v>-285.74242600000002</v>
          </cell>
          <cell r="C45">
            <v>-281.29071299999998</v>
          </cell>
          <cell r="D45">
            <v>-51.562356999999999</v>
          </cell>
          <cell r="E45">
            <v>71.380866999999995</v>
          </cell>
          <cell r="F45">
            <v>877.42836500000101</v>
          </cell>
          <cell r="G45">
            <v>517.350926999997</v>
          </cell>
          <cell r="H45">
            <v>772.97659499999997</v>
          </cell>
          <cell r="I45">
            <v>788.67111599999896</v>
          </cell>
          <cell r="J45">
            <v>496.62156499999901</v>
          </cell>
          <cell r="K45">
            <v>452.79968300000002</v>
          </cell>
          <cell r="L45">
            <v>-60.224106999999997</v>
          </cell>
          <cell r="M45">
            <v>-730.38525700000002</v>
          </cell>
          <cell r="O45">
            <v>2703.84563023077</v>
          </cell>
        </row>
      </sheetData>
      <sheetData sheetId="6" refreshError="1">
        <row r="45">
          <cell r="B45">
            <v>-40.408482999999997</v>
          </cell>
          <cell r="C45">
            <v>-31.748653000000001</v>
          </cell>
          <cell r="D45">
            <v>29.838094999999999</v>
          </cell>
          <cell r="E45">
            <v>147.35174699999999</v>
          </cell>
          <cell r="F45">
            <v>141.819121</v>
          </cell>
          <cell r="G45">
            <v>95.848938000000004</v>
          </cell>
          <cell r="H45">
            <v>131.597677</v>
          </cell>
          <cell r="I45">
            <v>78.559912999999995</v>
          </cell>
          <cell r="J45">
            <v>154.70031499999999</v>
          </cell>
          <cell r="K45">
            <v>-68.891625000000005</v>
          </cell>
          <cell r="L45">
            <v>-18.977891</v>
          </cell>
          <cell r="M45">
            <v>-30.848196000000002</v>
          </cell>
          <cell r="O45">
            <v>28.419199230770101</v>
          </cell>
        </row>
      </sheetData>
      <sheetData sheetId="7" refreshError="1">
        <row r="45">
          <cell r="B45">
            <v>-245.333943</v>
          </cell>
          <cell r="C45">
            <v>-249.54205999999999</v>
          </cell>
          <cell r="D45">
            <v>-81.400452000000001</v>
          </cell>
          <cell r="E45">
            <v>-75.970879999999994</v>
          </cell>
          <cell r="F45">
            <v>-3.5424369999999499</v>
          </cell>
          <cell r="G45">
            <v>21.090841999999999</v>
          </cell>
          <cell r="H45">
            <v>-9.9416340000000201</v>
          </cell>
          <cell r="I45">
            <v>-47.060459999999999</v>
          </cell>
          <cell r="J45">
            <v>16.097857000000001</v>
          </cell>
          <cell r="K45">
            <v>66.709674999999905</v>
          </cell>
          <cell r="L45">
            <v>-180.84741299999999</v>
          </cell>
          <cell r="M45">
            <v>-424.93179900000001</v>
          </cell>
          <cell r="O45">
            <v>-1324.9464013076899</v>
          </cell>
        </row>
      </sheetData>
      <sheetData sheetId="8" refreshError="1"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419.305522</v>
          </cell>
          <cell r="G45">
            <v>172.57407599999999</v>
          </cell>
          <cell r="H45">
            <v>300.87894499999999</v>
          </cell>
          <cell r="I45">
            <v>350.99598099999997</v>
          </cell>
          <cell r="J45">
            <v>161.258972</v>
          </cell>
          <cell r="K45">
            <v>200.176793</v>
          </cell>
          <cell r="L45">
            <v>97.532662000000002</v>
          </cell>
          <cell r="M45">
            <v>-31.773353</v>
          </cell>
          <cell r="O45">
            <v>1824.2809492307699</v>
          </cell>
        </row>
      </sheetData>
      <sheetData sheetId="9" refreshError="1"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319.846159</v>
          </cell>
          <cell r="G45">
            <v>227.831718</v>
          </cell>
          <cell r="H45">
            <v>350.44160699999998</v>
          </cell>
          <cell r="I45">
            <v>406.17568199999999</v>
          </cell>
          <cell r="J45">
            <v>164.56442100000001</v>
          </cell>
          <cell r="K45">
            <v>254.80484100000001</v>
          </cell>
          <cell r="L45">
            <v>42.068534999999997</v>
          </cell>
          <cell r="M45">
            <v>-242.83190999999999</v>
          </cell>
          <cell r="O45">
            <v>2176.0918830769201</v>
          </cell>
        </row>
      </sheetData>
      <sheetData sheetId="10" refreshError="1">
        <row r="45">
          <cell r="B45">
            <v>-233.40571299999999</v>
          </cell>
          <cell r="C45">
            <v>-182.796784</v>
          </cell>
          <cell r="D45">
            <v>-38.827029999999901</v>
          </cell>
          <cell r="E45">
            <v>92.402063999999996</v>
          </cell>
          <cell r="F45">
            <v>78.526140999999896</v>
          </cell>
          <cell r="G45">
            <v>138.98451700000001</v>
          </cell>
          <cell r="H45">
            <v>239.88756799999999</v>
          </cell>
          <cell r="I45">
            <v>159.79593899999901</v>
          </cell>
          <cell r="J45">
            <v>19.227654000000001</v>
          </cell>
          <cell r="K45">
            <v>-106.733328</v>
          </cell>
          <cell r="L45">
            <v>-179.232934</v>
          </cell>
          <cell r="M45">
            <v>-247.66150499999901</v>
          </cell>
          <cell r="O45">
            <v>-511.11280865384998</v>
          </cell>
        </row>
      </sheetData>
      <sheetData sheetId="11" refreshError="1">
        <row r="45">
          <cell r="B45">
            <v>-29.119153000000001</v>
          </cell>
          <cell r="C45">
            <v>-21.919844999999999</v>
          </cell>
          <cell r="D45">
            <v>26.4010660000001</v>
          </cell>
          <cell r="E45">
            <v>16.425838999999801</v>
          </cell>
          <cell r="F45">
            <v>50.130699000000099</v>
          </cell>
          <cell r="G45">
            <v>-15.733098</v>
          </cell>
          <cell r="H45">
            <v>-30.568947000000101</v>
          </cell>
          <cell r="I45">
            <v>5.4062149999995501</v>
          </cell>
          <cell r="J45">
            <v>24.376710000000401</v>
          </cell>
          <cell r="K45">
            <v>-0.53479899999980096</v>
          </cell>
          <cell r="L45">
            <v>-72.069297000000404</v>
          </cell>
          <cell r="M45">
            <v>-292.852925999999</v>
          </cell>
          <cell r="O45">
            <v>-11.3096</v>
          </cell>
        </row>
      </sheetData>
      <sheetData sheetId="12" refreshError="1">
        <row r="45">
          <cell r="B45">
            <v>-81.674513999999903</v>
          </cell>
          <cell r="C45">
            <v>122.30512899999999</v>
          </cell>
          <cell r="D45">
            <v>199.05095299999999</v>
          </cell>
          <cell r="E45">
            <v>262.00209999999998</v>
          </cell>
          <cell r="F45">
            <v>344.85461600000002</v>
          </cell>
          <cell r="G45">
            <v>266.34458499999897</v>
          </cell>
          <cell r="H45">
            <v>189.080172</v>
          </cell>
          <cell r="I45">
            <v>65.896471999999804</v>
          </cell>
          <cell r="J45">
            <v>97.017005999999995</v>
          </cell>
          <cell r="K45">
            <v>64.054040000000001</v>
          </cell>
          <cell r="L45">
            <v>39.551885999999897</v>
          </cell>
          <cell r="M45">
            <v>-125.53745000000001</v>
          </cell>
          <cell r="O45">
            <v>1644.1106</v>
          </cell>
        </row>
      </sheetData>
      <sheetData sheetId="13" refreshError="1">
        <row r="45">
          <cell r="B45">
            <v>-44.506059</v>
          </cell>
          <cell r="C45">
            <v>54.783104000000002</v>
          </cell>
          <cell r="D45">
            <v>47.643751000000002</v>
          </cell>
          <cell r="E45">
            <v>92.538452000000007</v>
          </cell>
          <cell r="F45">
            <v>125.451877</v>
          </cell>
          <cell r="G45">
            <v>76.831902999999897</v>
          </cell>
          <cell r="H45">
            <v>55.166634999999999</v>
          </cell>
          <cell r="I45">
            <v>53.700609999999998</v>
          </cell>
          <cell r="J45">
            <v>1.44670799999898</v>
          </cell>
          <cell r="K45">
            <v>9.8713450000000194</v>
          </cell>
          <cell r="L45">
            <v>72.245057000000998</v>
          </cell>
          <cell r="M45">
            <v>-225.55957500000099</v>
          </cell>
          <cell r="O45">
            <v>112.84032000000001</v>
          </cell>
        </row>
      </sheetData>
      <sheetData sheetId="14" refreshError="1">
        <row r="45">
          <cell r="B45">
            <v>672.183852</v>
          </cell>
          <cell r="C45">
            <v>566.96788600000002</v>
          </cell>
          <cell r="D45">
            <v>570.59511599999996</v>
          </cell>
          <cell r="E45">
            <v>413.25111099999901</v>
          </cell>
          <cell r="F45">
            <v>136.40994699999999</v>
          </cell>
          <cell r="G45">
            <v>-335.48060900000002</v>
          </cell>
          <cell r="H45">
            <v>-106.922391</v>
          </cell>
          <cell r="I45">
            <v>-106.690799999999</v>
          </cell>
          <cell r="J45">
            <v>-76.460530000000006</v>
          </cell>
          <cell r="K45">
            <v>-83.584632999999997</v>
          </cell>
          <cell r="L45">
            <v>668.558529999999</v>
          </cell>
        </row>
      </sheetData>
      <sheetData sheetId="15" refreshError="1">
        <row r="45">
          <cell r="B45">
            <v>318.901185</v>
          </cell>
          <cell r="C45">
            <v>568.69453699999997</v>
          </cell>
          <cell r="D45">
            <v>688.88545099999999</v>
          </cell>
          <cell r="E45">
            <v>426.25543800000003</v>
          </cell>
          <cell r="F45">
            <v>82.308369000000098</v>
          </cell>
          <cell r="G45">
            <v>-135.638575</v>
          </cell>
          <cell r="H45">
            <v>-140.223994</v>
          </cell>
          <cell r="I45">
            <v>-135.60299599999999</v>
          </cell>
          <cell r="J45">
            <v>-142.70771499999901</v>
          </cell>
          <cell r="K45">
            <v>-120.726206</v>
          </cell>
          <cell r="L45">
            <v>121.057523</v>
          </cell>
        </row>
      </sheetData>
      <sheetData sheetId="16" refreshError="1">
        <row r="45">
          <cell r="B45">
            <v>93.781228999999996</v>
          </cell>
          <cell r="C45">
            <v>95.579228999999998</v>
          </cell>
          <cell r="D45">
            <v>57.372630999999998</v>
          </cell>
          <cell r="E45">
            <v>47.904408999999902</v>
          </cell>
          <cell r="F45">
            <v>29.630772</v>
          </cell>
          <cell r="G45">
            <v>-43.012369</v>
          </cell>
          <cell r="H45">
            <v>2.0415780000000199</v>
          </cell>
          <cell r="I45">
            <v>5.7144870000000099</v>
          </cell>
          <cell r="J45">
            <v>17.770914999999899</v>
          </cell>
          <cell r="K45">
            <v>31.401154000000901</v>
          </cell>
          <cell r="L45">
            <v>35.977516999998997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0"/>
  <sheetViews>
    <sheetView workbookViewId="0">
      <selection activeCell="Q83" sqref="Q83"/>
    </sheetView>
  </sheetViews>
  <sheetFormatPr defaultColWidth="9" defaultRowHeight="13.5" x14ac:dyDescent="0.15"/>
  <cols>
    <col min="1" max="1" width="25.625" customWidth="1"/>
    <col min="2" max="2" width="9" customWidth="1"/>
    <col min="3" max="14" width="8.875" customWidth="1"/>
    <col min="15" max="15" width="10" customWidth="1"/>
    <col min="18" max="18" width="8.125" customWidth="1"/>
  </cols>
  <sheetData>
    <row r="1" spans="1:19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9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9" x14ac:dyDescent="0.15">
      <c r="A3" s="291" t="s">
        <v>14</v>
      </c>
      <c r="B3" s="292">
        <f>SUM(白银!B3,酒一!B3,酒二!B3,青海!B3,哈密!B3,吐鲁番!B3,敦煌!B3,格尔木!B3,石嘴山!B3)</f>
        <v>71343.618643697046</v>
      </c>
      <c r="C3" s="364">
        <f>SUM(白银!C3,酒一!C3,酒二!C3,青海!C3,哈密!C3,吐鲁番!C3,敦煌!C3,格尔木!C3,石嘴山!C3)</f>
        <v>6177.2493959999892</v>
      </c>
      <c r="D3" s="292">
        <f>SUM(白银!D3,酒一!D3,酒二!D3,青海!D3,哈密!D3,吐鲁番!D3,敦煌!D3,格尔木!D3,石嘴山!D3)</f>
        <v>4733.3722609999995</v>
      </c>
      <c r="E3" s="292">
        <f>SUM(白银!E3,酒一!E3,酒二!E3,青海!E3,哈密!E3,吐鲁番!E3,敦煌!E3,格尔木!E3,石嘴山!E3)</f>
        <v>6825.7437509999982</v>
      </c>
      <c r="F3" s="292">
        <f>SUM(白银!F3,酒一!F3,酒二!F3,青海!F3,哈密!F3,吐鲁番!F3,敦煌!F3,格尔木!F3,石嘴山!F3)</f>
        <v>7540.6682229999888</v>
      </c>
      <c r="G3" s="292">
        <f>SUM(白银!G3,酒一!G3,酒二!G3,青海!G3,哈密!G3,吐鲁番!G3,敦煌!G3,格尔木!G3,石嘴山!G3)</f>
        <v>0</v>
      </c>
      <c r="H3" s="292">
        <f>SUM(白银!H3,酒一!H3,酒二!H3,青海!H3,哈密!H3,吐鲁番!H3,敦煌!H3,格尔木!H3,石嘴山!H3)</f>
        <v>0</v>
      </c>
      <c r="I3" s="292">
        <f>SUM(白银!I3,酒一!I3,酒二!I3,青海!I3,哈密!I3,吐鲁番!I3,敦煌!I3,格尔木!I3,石嘴山!I3)</f>
        <v>0</v>
      </c>
      <c r="J3" s="292">
        <f>SUM(白银!J3,酒一!J3,酒二!J3,青海!J3,哈密!J3,吐鲁番!J3,敦煌!J3,格尔木!J3,石嘴山!J3)</f>
        <v>0</v>
      </c>
      <c r="K3" s="292">
        <f>SUM(白银!K3,酒一!K3,酒二!K3,青海!K3,哈密!K3,吐鲁番!K3,敦煌!K3,格尔木!K3,石嘴山!K3)</f>
        <v>0</v>
      </c>
      <c r="L3" s="292">
        <f>SUM(白银!L3,酒一!L3,酒二!L3,青海!L3,哈密!L3,吐鲁番!L3,敦煌!L3,格尔木!L3,石嘴山!L3)</f>
        <v>0</v>
      </c>
      <c r="M3" s="292">
        <f>SUM(白银!M5,酒一!M3,酒二!M3,青海!M3,哈密!M3,吐鲁番!M3,敦煌!M3,格尔木!M3,石嘴山!M3)</f>
        <v>0</v>
      </c>
      <c r="N3" s="292">
        <f>SUM(白银!N3,酒一!N3,酒二!N3,青海!N3,哈密!N3,吐鲁番!N3,敦煌!N3,格尔木!N3,石嘴山!N3)</f>
        <v>0</v>
      </c>
      <c r="O3" s="356">
        <f>SUM(C3:N3)</f>
        <v>25277.033630999977</v>
      </c>
      <c r="P3" s="366"/>
    </row>
    <row r="4" spans="1:19" x14ac:dyDescent="0.15">
      <c r="A4" s="291" t="s">
        <v>15</v>
      </c>
      <c r="B4" s="292">
        <f>SUM(白银!B4,酒一!B4,酒二!B4,青海!B4,哈密!B4,吐鲁番!B4,敦煌!B4,格尔木!B4,石嘴山!B4)</f>
        <v>71343.618643697046</v>
      </c>
      <c r="C4" s="364">
        <f>SUM(白银!C4,酒一!C4,酒二!C4,青海!C4,哈密!C4,吐鲁番!C4,敦煌!C4,格尔木!C4,石嘴山!C4)</f>
        <v>6177.2493959999892</v>
      </c>
      <c r="D4" s="292">
        <f>SUM(白银!D4,酒一!D4,酒二!D4,青海!D4,哈密!D4,吐鲁番!D4,敦煌!D4,格尔木!D4,石嘴山!D4)</f>
        <v>4733.3722609999995</v>
      </c>
      <c r="E4" s="292">
        <f>SUM(白银!E4,酒一!E4,酒二!E4,青海!E4,哈密!E4,吐鲁番!E4,敦煌!E4,格尔木!E4,石嘴山!E4)</f>
        <v>6825.7437509999982</v>
      </c>
      <c r="F4" s="292">
        <f>SUM(白银!F4,酒一!F4,酒二!F4,青海!F4,哈密!F4,吐鲁番!F4,敦煌!F4,格尔木!F4,石嘴山!F4)</f>
        <v>7540.6682229999888</v>
      </c>
      <c r="G4" s="292">
        <f>SUM(白银!G4,酒一!G4,酒二!G4,青海!G4,哈密!G4,吐鲁番!G4,敦煌!G4,格尔木!G4,石嘴山!G4)</f>
        <v>0</v>
      </c>
      <c r="H4" s="292">
        <f>SUM(白银!H4,酒一!H4,酒二!H4,青海!H4,哈密!H4,吐鲁番!H4,敦煌!H4,格尔木!H4,石嘴山!H4)</f>
        <v>0</v>
      </c>
      <c r="I4" s="292">
        <f>SUM(白银!I4,酒一!I4,酒二!I4,青海!I4,哈密!I4,吐鲁番!I4,敦煌!I4,格尔木!I4,石嘴山!I4)</f>
        <v>0</v>
      </c>
      <c r="J4" s="292">
        <f>SUM(白银!J4,酒一!J4,酒二!J4,青海!J4,哈密!J4,吐鲁番!J4,敦煌!J4,格尔木!J4,石嘴山!J4)</f>
        <v>0</v>
      </c>
      <c r="K4" s="292">
        <f>SUM(白银!K4,酒一!K4,酒二!K4,青海!K4,哈密!K4,吐鲁番!K4,敦煌!K4,格尔木!K4,石嘴山!K4)</f>
        <v>0</v>
      </c>
      <c r="L4" s="292">
        <f>SUM(白银!L4,酒一!L4,酒二!L4,青海!L4,哈密!L4,吐鲁番!L4,敦煌!L4,格尔木!L4,石嘴山!L4)</f>
        <v>0</v>
      </c>
      <c r="M4" s="292">
        <f>SUM(白银!M4,酒一!M4,酒二!M4,青海!M4,哈密!M4,吐鲁番!M4,敦煌!M4,格尔木!M4,石嘴山!M4)</f>
        <v>0</v>
      </c>
      <c r="N4" s="292">
        <f>SUM(白银!N4,酒一!N4,酒二!N4,青海!N4,哈密!N4,吐鲁番!N4,敦煌!N4,格尔木!N4,石嘴山!N4)</f>
        <v>0</v>
      </c>
      <c r="O4" s="292">
        <f t="shared" ref="O4:O67" si="0">SUM(C4:N4)</f>
        <v>25277.033630999977</v>
      </c>
      <c r="Q4">
        <v>220</v>
      </c>
      <c r="R4">
        <v>220</v>
      </c>
      <c r="S4" t="s">
        <v>16</v>
      </c>
    </row>
    <row r="5" spans="1:19" ht="16.899999999999999" customHeight="1" x14ac:dyDescent="0.15">
      <c r="A5" s="291" t="s">
        <v>17</v>
      </c>
      <c r="B5" s="292">
        <f>SUM(白银!B5,酒一!B5,酒二!B5,青海!B5,哈密!B5,吐鲁番!B5,敦煌!B5,格尔木!B5,石嘴山!B5)</f>
        <v>70840.26864369704</v>
      </c>
      <c r="C5" s="364">
        <f>SUM(白银!C5,酒一!C5,酒二!C5,青海!C5,哈密!C5,吐鲁番!C5,敦煌!C5,格尔木!C5,石嘴山!C5)</f>
        <v>6177.2493959999892</v>
      </c>
      <c r="D5" s="292">
        <f>SUM(白银!D5,酒一!D5,酒二!D5,青海!D5,哈密!D5,吐鲁番!D5,敦煌!D5,格尔木!D5,石嘴山!D5)</f>
        <v>4733.3722609999995</v>
      </c>
      <c r="E5" s="292">
        <f>SUM(白银!E5,酒一!E5,酒二!E5,青海!E5,哈密!E5,吐鲁番!E5,敦煌!E5,格尔木!E77,石嘴山!E5)</f>
        <v>6096.827264999989</v>
      </c>
      <c r="F5" s="292">
        <f>SUM(白银!F5,酒一!F5,酒二!F5,青海!F5,哈密!F5,吐鲁番!F5,敦煌!F5,格尔木!F5,石嘴山!F5)</f>
        <v>7540.6682229999888</v>
      </c>
      <c r="G5" s="292">
        <f>SUM(白银!G5,酒一!G5,酒二!G5,青海!G5,哈密!G5,吐鲁番!G5,敦煌!G5,格尔木!G5,石嘴山!G5)</f>
        <v>0</v>
      </c>
      <c r="H5" s="292">
        <f>SUM(白银!H5,酒一!H5,酒二!H5,青海!H5,哈密!H5,吐鲁番!H5,敦煌!H5,格尔木!H5,石嘴山!H5)</f>
        <v>0</v>
      </c>
      <c r="I5" s="292">
        <f>SUM(白银!I5,酒一!I5,酒二!I5,青海!I5,哈密!I5,吐鲁番!I5,敦煌!I5,格尔木!I5,石嘴山!I5)</f>
        <v>0</v>
      </c>
      <c r="J5" s="292">
        <f>SUM(白银!J5,酒一!J5,酒二!J5,青海!J5,哈密!J5,吐鲁番!J5,敦煌!J5,格尔木!J5,石嘴山!J5)</f>
        <v>0</v>
      </c>
      <c r="K5" s="292">
        <f>SUM(白银!K5,酒一!K5,酒二!K5,青海!K5,哈密!K5,吐鲁番!K5,敦煌!K5,格尔木!K5,石嘴山!K5)</f>
        <v>0</v>
      </c>
      <c r="L5" s="292">
        <f>SUM(白银!L5,酒一!L5,酒二!L5,青海!L5,哈密!L5,吐鲁番!L5,敦煌!L5,格尔木!L5,石嘴山!L5)</f>
        <v>0</v>
      </c>
      <c r="M5" s="292">
        <f>SUM(白银!M5,酒一!M5,酒二!M5,青海!M5,哈密!M5,吐鲁番!M5,敦煌!M5,格尔木!M5,石嘴山!M5)</f>
        <v>0</v>
      </c>
      <c r="N5" s="292">
        <f>SUM(白银!N5,酒一!N5,酒二!N5,青海!N5,哈密!N5,吐鲁番!N5,敦煌!N5,格尔木!N5,石嘴山!N5)</f>
        <v>0</v>
      </c>
      <c r="O5" s="292">
        <f t="shared" si="0"/>
        <v>24548.117144999967</v>
      </c>
    </row>
    <row r="6" spans="1:19" x14ac:dyDescent="0.15">
      <c r="A6" s="291" t="s">
        <v>18</v>
      </c>
      <c r="B6" s="292">
        <f>SUM(白银!B6,酒一!B6,酒二!B6,青海!B6,哈密!B6,吐鲁番!B6,敦煌!B6,格尔木!B6,石嘴山!B6)</f>
        <v>503.35</v>
      </c>
      <c r="C6" s="364">
        <f>SUM(白银!C6,酒一!C6,酒二!C6,青海!C6,哈密!C6,吐鲁番!C6,敦煌!C6,格尔木!C6,石嘴山!C6)</f>
        <v>0</v>
      </c>
      <c r="D6" s="292">
        <f>SUM(白银!D6,酒一!D6,酒二!D6,青海!D6,哈密!D6,吐鲁番!D6,敦煌!D6,格尔木!D6,石嘴山!D6)</f>
        <v>0</v>
      </c>
      <c r="E6" s="292">
        <f>SUM(白银!E6,酒一!E6,酒二!E6,青海!E6,哈密!E6,吐鲁番!E6,敦煌!E6,格尔木!E6,石嘴山!E6)</f>
        <v>68.680234999999996</v>
      </c>
      <c r="F6" s="292">
        <f>SUM(白银!F6,酒一!F6,酒二!F6,青海!F6,哈密!F6,吐鲁番!F6,敦煌!F6,格尔木!F6,石嘴山!F6)</f>
        <v>0</v>
      </c>
      <c r="G6" s="292">
        <f>SUM(白银!G6,酒一!G6,酒二!G6,青海!G6,哈密!G6,吐鲁番!G6,敦煌!G6,格尔木!G6,石嘴山!G6)</f>
        <v>0</v>
      </c>
      <c r="H6" s="292">
        <f>SUM(白银!H6,酒一!H6,酒二!H6,青海!H6,哈密!H6,吐鲁番!H6,敦煌!H6,格尔木!H6,石嘴山!H6)</f>
        <v>0</v>
      </c>
      <c r="I6" s="292">
        <f>SUM(白银!I6,酒一!I6,酒二!I6,青海!I6,哈密!I6,吐鲁番!I6,敦煌!I6,格尔木!I6,石嘴山!I6)</f>
        <v>0</v>
      </c>
      <c r="J6" s="292">
        <f>SUM(白银!J6,酒一!J6,酒二!J6,青海!J6,哈密!J6,吐鲁番!J6,敦煌!J6,格尔木!J6,石嘴山!J6)</f>
        <v>0</v>
      </c>
      <c r="K6" s="292">
        <f>SUM(白银!K6,酒一!K6,酒二!K6,青海!K6,哈密!K6,吐鲁番!K6,敦煌!K6,格尔木!K6,石嘴山!K6)</f>
        <v>0</v>
      </c>
      <c r="L6" s="292">
        <f>SUM(白银!L6,酒一!L6,酒二!L6,青海!L6,哈密!L6,吐鲁番!L6,敦煌!L6,格尔木!L6,石嘴山!L6)</f>
        <v>0</v>
      </c>
      <c r="M6" s="292">
        <f>SUM(白银!M6,酒一!M6,酒二!M6,青海!M6,哈密!M6,吐鲁番!M6,敦煌!M6,格尔木!M6,石嘴山!M6)</f>
        <v>0</v>
      </c>
      <c r="N6" s="292">
        <f>SUM(白银!N6,酒一!N6,酒二!N6,青海!N6,哈密!N6,吐鲁番!N6,敦煌!N6,格尔木!N6,石嘴山!N6)</f>
        <v>0</v>
      </c>
      <c r="O6" s="292">
        <f t="shared" si="0"/>
        <v>68.680234999999996</v>
      </c>
    </row>
    <row r="7" spans="1:19" hidden="1" x14ac:dyDescent="0.15">
      <c r="A7" s="291" t="s">
        <v>19</v>
      </c>
      <c r="B7" s="292">
        <f>SUM(白银!B7,酒一!B7,酒二!B7,青海!B7,哈密!B7,吐鲁番!B7,敦煌!B7,格尔木!B7,石嘴山!B7)</f>
        <v>0</v>
      </c>
      <c r="C7" s="364">
        <f>SUM(白银!C7,酒一!C7,酒二!C7,青海!C7,哈密!C7,吐鲁番!C7,敦煌!C7,格尔木!C7,石嘴山!C7)</f>
        <v>0</v>
      </c>
      <c r="D7" s="292">
        <f>SUM(白银!D7,酒一!D7,酒二!D7,青海!D7,哈密!D7,吐鲁番!D7,敦煌!D7,格尔木!D7,石嘴山!D7)</f>
        <v>0</v>
      </c>
      <c r="E7" s="292">
        <f>SUM(白银!E7,酒一!E7,酒二!E7,青海!E7,哈密!E7,吐鲁番!E7,敦煌!E7,格尔木!E7,石嘴山!E7)</f>
        <v>0</v>
      </c>
      <c r="F7" s="292">
        <f>SUM(白银!F7,酒一!F7,酒二!F7,青海!F7,哈密!F7,吐鲁番!F7,敦煌!F7,格尔木!F7,石嘴山!F7)</f>
        <v>0</v>
      </c>
      <c r="G7" s="292">
        <f>SUM(白银!G7,酒一!G7,酒二!G7,青海!G7,哈密!G7,吐鲁番!G7,敦煌!G7,格尔木!G7,石嘴山!G7)</f>
        <v>0</v>
      </c>
      <c r="H7" s="292">
        <f>SUM(白银!H7,酒一!H7,酒二!H7,青海!H7,哈密!H7,吐鲁番!H7,敦煌!H7,格尔木!H7,石嘴山!H7)</f>
        <v>0</v>
      </c>
      <c r="I7" s="292">
        <f>SUM(白银!I7,酒一!I7,酒二!I7,青海!I7,哈密!I7,吐鲁番!I7,敦煌!I7,格尔木!I7,石嘴山!I7)</f>
        <v>0</v>
      </c>
      <c r="J7" s="292">
        <f>SUM(白银!J7,酒一!J7,酒二!J7,青海!J7,哈密!J7,吐鲁番!J7,敦煌!J7,格尔木!J7,石嘴山!J7)</f>
        <v>0</v>
      </c>
      <c r="K7" s="292">
        <f>SUM(白银!K7,酒一!K7,酒二!K7,青海!K7,哈密!K7,吐鲁番!K7,敦煌!K7,格尔木!K7,石嘴山!K7)</f>
        <v>0</v>
      </c>
      <c r="L7" s="292">
        <f>SUM(白银!L7,酒一!L7,酒二!L7,青海!L7,哈密!L7,吐鲁番!L7,敦煌!L7,格尔木!L7,石嘴山!L7)</f>
        <v>0</v>
      </c>
      <c r="M7" s="292">
        <f>SUM(白银!M7,酒一!M7,酒二!M7,青海!M7,哈密!M7,吐鲁番!M7,敦煌!M7,格尔木!M7,石嘴山!M7)</f>
        <v>0</v>
      </c>
      <c r="N7" s="292">
        <f>SUM(白银!N7,酒一!N7,酒二!N7,青海!N7,哈密!N7,吐鲁番!N7,敦煌!N7,格尔木!N7,石嘴山!N7)</f>
        <v>0</v>
      </c>
      <c r="O7" s="292">
        <f t="shared" si="0"/>
        <v>0</v>
      </c>
    </row>
    <row r="8" spans="1:19" hidden="1" x14ac:dyDescent="0.15">
      <c r="A8" s="291" t="s">
        <v>20</v>
      </c>
      <c r="B8" s="292">
        <f>SUM(白银!B8,酒一!B8,酒二!B8,青海!B8,哈密!B8,吐鲁番!B8,敦煌!B8,格尔木!B8,石嘴山!B8)</f>
        <v>0</v>
      </c>
      <c r="C8" s="364">
        <f>SUM(白银!C8,酒一!C8,酒二!C8,青海!C8,哈密!C8,吐鲁番!C8,敦煌!C8,格尔木!C8,石嘴山!C8)</f>
        <v>0</v>
      </c>
      <c r="D8" s="292">
        <f>SUM(白银!D8,酒一!D8,酒二!D8,青海!D8,哈密!D8,吐鲁番!D8,敦煌!D8,格尔木!D8,石嘴山!D8)</f>
        <v>0</v>
      </c>
      <c r="E8" s="292">
        <f>SUM(白银!E8,酒一!E8,酒二!E8,青海!E8,哈密!E8,吐鲁番!E8,敦煌!E8,格尔木!E8,石嘴山!E8)</f>
        <v>0</v>
      </c>
      <c r="F8" s="292">
        <f>SUM(白银!F8,酒一!F8,酒二!F8,青海!F8,哈密!F8,吐鲁番!F8,敦煌!F8,格尔木!F8,石嘴山!F8)</f>
        <v>0</v>
      </c>
      <c r="G8" s="292">
        <f>SUM(白银!G8,酒一!G8,酒二!G8,青海!G8,哈密!G8,吐鲁番!G8,敦煌!G8,格尔木!G8,石嘴山!G8)</f>
        <v>0</v>
      </c>
      <c r="H8" s="292">
        <f>SUM(白银!H8,酒一!H8,酒二!H8,青海!H8,哈密!H8,吐鲁番!H8,敦煌!H8,格尔木!H8,石嘴山!H8)</f>
        <v>0</v>
      </c>
      <c r="I8" s="292">
        <f>SUM(白银!I8,酒一!I8,酒二!I8,青海!I8,哈密!I8,吐鲁番!I8,敦煌!I8,格尔木!I8,石嘴山!I8)</f>
        <v>0</v>
      </c>
      <c r="J8" s="292">
        <f>SUM(白银!J8,酒一!J8,酒二!J8,青海!J8,哈密!J8,吐鲁番!J8,敦煌!J8,格尔木!J8,石嘴山!J8)</f>
        <v>0</v>
      </c>
      <c r="K8" s="292">
        <f>SUM(白银!K8,酒一!K8,酒二!K8,青海!K8,哈密!K8,吐鲁番!K8,敦煌!K8,格尔木!K8,石嘴山!K8)</f>
        <v>0</v>
      </c>
      <c r="L8" s="292">
        <f>SUM(白银!L8,酒一!L8,酒二!L8,青海!L8,哈密!L8,吐鲁番!L8,敦煌!L8,格尔木!L8,石嘴山!L8)</f>
        <v>0</v>
      </c>
      <c r="M8" s="292">
        <f>SUM(白银!M8,酒一!M8,酒二!M8,青海!M8,哈密!M8,吐鲁番!M8,敦煌!M8,格尔木!M8,石嘴山!M8)</f>
        <v>0</v>
      </c>
      <c r="N8" s="292">
        <f>SUM(白银!N8,酒一!N8,酒二!N8,青海!N8,哈密!N8,吐鲁番!N8,敦煌!N8,格尔木!N8,石嘴山!N8)</f>
        <v>0</v>
      </c>
      <c r="O8" s="292">
        <f t="shared" si="0"/>
        <v>0</v>
      </c>
    </row>
    <row r="9" spans="1:19" hidden="1" x14ac:dyDescent="0.15">
      <c r="A9" s="291" t="s">
        <v>21</v>
      </c>
      <c r="B9" s="292">
        <f>SUM(白银!B9,酒一!B9,酒二!B9,青海!B9,哈密!B9,吐鲁番!B9,敦煌!B9,格尔木!B9,石嘴山!B9)</f>
        <v>0</v>
      </c>
      <c r="C9" s="364">
        <f>SUM(白银!C9,酒一!C9,酒二!C9,青海!C9,哈密!C9,吐鲁番!C9,敦煌!C9,格尔木!C9,石嘴山!C9)</f>
        <v>0</v>
      </c>
      <c r="D9" s="292">
        <f>SUM(白银!D9,酒一!D9,酒二!D9,青海!D9,哈密!D9,吐鲁番!D9,敦煌!D9,格尔木!D9,石嘴山!D9)</f>
        <v>0</v>
      </c>
      <c r="E9" s="292">
        <f>SUM(白银!E9,酒一!E9,酒二!E9,青海!E9,哈密!E9,吐鲁番!E9,敦煌!E9,格尔木!E9,石嘴山!E9)</f>
        <v>0</v>
      </c>
      <c r="F9" s="292">
        <f>SUM(白银!F9,酒一!F9,酒二!F9,青海!F9,哈密!F9,吐鲁番!F9,敦煌!F9,格尔木!F9,石嘴山!F9)</f>
        <v>0</v>
      </c>
      <c r="G9" s="292">
        <f>SUM(白银!G9,酒一!G9,酒二!G9,青海!G9,哈密!G9,吐鲁番!G9,敦煌!G9,格尔木!G9,石嘴山!G9)</f>
        <v>0</v>
      </c>
      <c r="H9" s="292">
        <f>SUM(白银!H9,酒一!H9,酒二!H9,青海!H9,哈密!H9,吐鲁番!H9,敦煌!H9,格尔木!H9,石嘴山!H9)</f>
        <v>0</v>
      </c>
      <c r="I9" s="292">
        <f>SUM(白银!I9,酒一!I9,酒二!I9,青海!I9,哈密!I9,吐鲁番!I9,敦煌!I9,格尔木!I9,石嘴山!I9)</f>
        <v>0</v>
      </c>
      <c r="J9" s="292">
        <f>SUM(白银!J9,酒一!J9,酒二!J9,青海!J9,哈密!J9,吐鲁番!J9,敦煌!J9,格尔木!J9,石嘴山!J9)</f>
        <v>0</v>
      </c>
      <c r="K9" s="292">
        <f>SUM(白银!K9,酒一!K9,酒二!K9,青海!K9,哈密!K9,吐鲁番!K9,敦煌!K9,格尔木!K9,石嘴山!K9)</f>
        <v>0</v>
      </c>
      <c r="L9" s="292">
        <f>SUM(白银!L9,酒一!L9,酒二!L9,青海!L9,哈密!L9,吐鲁番!L9,敦煌!L9,格尔木!L9,石嘴山!L9)</f>
        <v>0</v>
      </c>
      <c r="M9" s="292">
        <f>SUM(白银!M9,酒一!M9,酒二!M9,青海!M9,哈密!M9,吐鲁番!M9,敦煌!M9,格尔木!M9,石嘴山!M9)</f>
        <v>0</v>
      </c>
      <c r="N9" s="292">
        <f>SUM(白银!N9,酒一!N9,酒二!N9,青海!N9,哈密!N9,吐鲁番!N9,敦煌!N9,格尔木!N9,石嘴山!N9)</f>
        <v>0</v>
      </c>
      <c r="O9" s="292">
        <f t="shared" si="0"/>
        <v>0</v>
      </c>
    </row>
    <row r="10" spans="1:19" x14ac:dyDescent="0.15">
      <c r="A10" s="291" t="s">
        <v>22</v>
      </c>
      <c r="B10" s="292">
        <f>SUM(白银!B10,酒一!B10,酒二!B10,青海!B10,哈密!B10,吐鲁番!B10,敦煌!B10,格尔木!B10,石嘴山!B10)</f>
        <v>68335.164107999997</v>
      </c>
      <c r="C10" s="364">
        <f>SUM(白银!C10,酒一!C10,酒二!C10,青海!C10,哈密!C10,吐鲁番!C10,敦煌!C10,格尔木!C10,石嘴山!C10)</f>
        <v>5382.3266559999993</v>
      </c>
      <c r="D10" s="292">
        <f>SUM(白银!D10,酒一!D10,酒二!D10,青海!D10,哈密!D10,吐鲁番!D10,敦煌!D10,格尔木!D10,石嘴山!D10)</f>
        <v>4759.177279999999</v>
      </c>
      <c r="E10" s="292">
        <f>SUM(白银!E10,酒一!E10,酒二!E10,青海!E10,哈密!E10,吐鲁番!E10,敦煌!E10,格尔木!E10,石嘴山!E10)</f>
        <v>5162.1614709999949</v>
      </c>
      <c r="F10" s="292">
        <f>SUM(白银!F10,酒一!F10,酒二!F10,青海!F10,哈密!F10,吐鲁番!F10,敦煌!F10,格尔木!F10,石嘴山!F10)</f>
        <v>5716.3319169999859</v>
      </c>
      <c r="G10" s="292">
        <f>SUM(白银!G10,酒一!G10,酒二!G10,青海!G10,哈密!G10,吐鲁番!G10,敦煌!G10,格尔木!G10,石嘴山!G10)</f>
        <v>0</v>
      </c>
      <c r="H10" s="292">
        <f>SUM(白银!H10,酒一!H10,酒二!H10,青海!H10,哈密!H10,吐鲁番!H10,敦煌!H10,格尔木!H10,石嘴山!H10)</f>
        <v>0</v>
      </c>
      <c r="I10" s="292">
        <f>SUM(白银!I10,酒一!I10,酒二!I10,青海!I10,哈密!I10,吐鲁番!I10,敦煌!I10,格尔木!I10,石嘴山!I10)</f>
        <v>0</v>
      </c>
      <c r="J10" s="292">
        <f>SUM(白银!J10,酒一!J10,酒二!J10,青海!J10,哈密!J10,吐鲁番!J10,敦煌!J10,格尔木!J10,石嘴山!J10)</f>
        <v>0</v>
      </c>
      <c r="K10" s="292">
        <f>SUM(白银!K10,酒一!K10,酒二!K10,青海!K10,哈密!K10,吐鲁番!K10,敦煌!K10,格尔木!K10,石嘴山!K10)</f>
        <v>0</v>
      </c>
      <c r="L10" s="292">
        <f>SUM(白银!L10,酒一!L10,酒二!L10,青海!L10,哈密!L10,吐鲁番!L10,敦煌!L10,格尔木!L10,石嘴山!L10)</f>
        <v>0</v>
      </c>
      <c r="M10" s="292">
        <f>SUM(白银!M10,酒一!M10,酒二!M10,青海!M10,哈密!M10,吐鲁番!M10,敦煌!M10,格尔木!M10,石嘴山!M10)</f>
        <v>0</v>
      </c>
      <c r="N10" s="292">
        <f>SUM(白银!N10,酒一!N10,酒二!N10,青海!N10,哈密!N10,吐鲁番!N10,敦煌!N10,格尔木!N10,石嘴山!N10)</f>
        <v>0</v>
      </c>
      <c r="O10" s="292">
        <f t="shared" si="0"/>
        <v>21019.997323999978</v>
      </c>
      <c r="Q10">
        <f>Q21+Q23+Q25+Q73+Q4-Q35</f>
        <v>5382.5</v>
      </c>
    </row>
    <row r="11" spans="1:19" x14ac:dyDescent="0.15">
      <c r="A11" s="291" t="s">
        <v>23</v>
      </c>
      <c r="B11" s="292">
        <f>SUM(白银!B11,酒一!B11,酒二!B11,青海!B11,哈密!B11,吐鲁番!B11,敦煌!B11,格尔木!B11,石嘴山!B11)</f>
        <v>43685.251887999999</v>
      </c>
      <c r="C11" s="364">
        <f>SUM(白银!C11,酒一!C11,酒二!C11,青海!C11,哈密!C11,吐鲁番!C11,敦煌!C11,格尔木!C11,石嘴山!C11)</f>
        <v>3428.9741379999996</v>
      </c>
      <c r="D11" s="292">
        <f>SUM(白银!D11,酒一!D11,酒二!D11,青海!D11,哈密!D11,吐鲁番!D11,敦煌!D11,格尔木!D11,石嘴山!D11)</f>
        <v>3079.9023439999983</v>
      </c>
      <c r="E11" s="292">
        <f>SUM(白银!E11,酒一!E11,酒二!E11,青海!E11,哈密!E11,吐鲁番!E11,敦煌!E11,格尔木!E11,石嘴山!E11)</f>
        <v>3208.6588369999981</v>
      </c>
      <c r="F11" s="292">
        <f>SUM(白银!F11,酒一!F11,酒二!F11,青海!F11,哈密!F11,吐鲁番!F11,敦煌!F11,格尔木!F11,石嘴山!F11)</f>
        <v>3611.9766599999866</v>
      </c>
      <c r="G11" s="292">
        <f>SUM(白银!G11,酒一!G11,酒二!G11,青海!G11,哈密!G11,吐鲁番!G11,敦煌!G11,格尔木!G11,石嘴山!G11)</f>
        <v>0</v>
      </c>
      <c r="H11" s="292">
        <f>SUM(白银!H11,酒一!H11,酒二!H11,青海!H11,哈密!H11,吐鲁番!H11,敦煌!H11,格尔木!H11,石嘴山!H11)</f>
        <v>0</v>
      </c>
      <c r="I11" s="292">
        <f>SUM(白银!I11,酒一!I11,酒二!I11,青海!I11,哈密!I11,吐鲁番!I11,敦煌!I11,格尔木!I11,石嘴山!I11)</f>
        <v>0</v>
      </c>
      <c r="J11" s="292">
        <f>SUM(白银!J11,酒一!J11,酒二!J11,青海!J11,哈密!J11,吐鲁番!J11,敦煌!J11,格尔木!J11,石嘴山!J11)</f>
        <v>0</v>
      </c>
      <c r="K11" s="292">
        <f>SUM(白银!K11,酒一!K11,酒二!K11,青海!K11,哈密!K11,吐鲁番!K11,敦煌!K11,格尔木!K11,石嘴山!K11)</f>
        <v>0</v>
      </c>
      <c r="L11" s="292">
        <f>SUM(白银!L11,酒一!L11,酒二!L11,青海!L11,哈密!L11,吐鲁番!L11,敦煌!L11,格尔木!L11,石嘴山!L11)</f>
        <v>0</v>
      </c>
      <c r="M11" s="292">
        <f>SUM(白银!M11,酒一!M11,酒二!M11,青海!M11,哈密!M11,吐鲁番!M11,敦煌!M11,格尔木!M11,石嘴山!M11)</f>
        <v>0</v>
      </c>
      <c r="N11" s="292">
        <f>SUM(白银!N11,酒一!N11,酒二!N11,青海!N11,哈密!N11,吐鲁番!N11,敦煌!N11,格尔木!N11,石嘴山!N11)</f>
        <v>0</v>
      </c>
      <c r="O11" s="292">
        <f t="shared" si="0"/>
        <v>13329.511978999981</v>
      </c>
    </row>
    <row r="12" spans="1:19" x14ac:dyDescent="0.15">
      <c r="A12" s="291" t="s">
        <v>24</v>
      </c>
      <c r="B12" s="292">
        <f>SUM(白银!B12,酒一!B12,酒二!B12,青海!B12,哈密!B12,吐鲁番!B12,敦煌!B12,格尔木!B12,石嘴山!B12)</f>
        <v>43105.251887999999</v>
      </c>
      <c r="C12" s="364">
        <f>SUM(白银!C12,酒一!C12,酒二!C12,青海!C12,哈密!C12,吐鲁番!C12,敦煌!C12,格尔木!C12,石嘴山!C12)</f>
        <v>3428.9741379999996</v>
      </c>
      <c r="D12" s="292">
        <f>SUM(白银!D12,酒一!D12,酒二!D12,青海!D12,哈密!D12,吐鲁番!D12,敦煌!D12,格尔木!D12,石嘴山!D12)</f>
        <v>3079.9023439999983</v>
      </c>
      <c r="E12" s="292">
        <f>SUM(白银!E12,酒一!E12,酒二!E12,青海!E12,哈密!E12,吐鲁番!E12,敦煌!E12,格尔木!E12,石嘴山!E12)</f>
        <v>3065.3367759999974</v>
      </c>
      <c r="F12" s="292">
        <f>SUM(白银!F12,酒一!F12,酒二!F12,青海!F12,哈密!F12,吐鲁番!F12,敦煌!F12,格尔木!F12,石嘴山!F12)</f>
        <v>3611.9766599999966</v>
      </c>
      <c r="G12" s="292">
        <f>SUM(白银!G12,酒一!G12,酒二!G12,青海!G12,哈密!G12,吐鲁番!G12,敦煌!G12,格尔木!G12,石嘴山!G12)</f>
        <v>0</v>
      </c>
      <c r="H12" s="292">
        <f>SUM(白银!H12,酒一!H12,酒二!H12,青海!H12,哈密!H12,吐鲁番!H12,敦煌!H12,格尔木!H12,石嘴山!H12)</f>
        <v>0</v>
      </c>
      <c r="I12" s="292">
        <f>SUM(白银!I12,酒一!I12,酒二!I12,青海!I12,哈密!I12,吐鲁番!I12,敦煌!I12,格尔木!I12,石嘴山!I12)</f>
        <v>0</v>
      </c>
      <c r="J12" s="292">
        <f>SUM(白银!J12,酒一!J12,酒二!J12,青海!J12,哈密!J12,吐鲁番!J12,敦煌!J12,格尔木!J12,石嘴山!J12)</f>
        <v>0</v>
      </c>
      <c r="K12" s="292">
        <f>SUM(白银!K12,酒一!K12,酒二!K12,青海!K12,哈密!K12,吐鲁番!K12,敦煌!K12,格尔木!K12,石嘴山!K12)</f>
        <v>0</v>
      </c>
      <c r="L12" s="292">
        <f>SUM(白银!L12,酒一!L12,酒二!L12,青海!L12,哈密!L12,吐鲁番!L12,敦煌!L12,格尔木!L12,石嘴山!L12)</f>
        <v>0</v>
      </c>
      <c r="M12" s="292">
        <f>SUM(白银!M12,酒一!M12,酒二!M12,青海!M12,哈密!M12,吐鲁番!M12,敦煌!M12,格尔木!M12,石嘴山!M12)</f>
        <v>0</v>
      </c>
      <c r="N12" s="292">
        <f>SUM(白银!N12,酒一!N12,酒二!N12,青海!N12,哈密!N12,吐鲁番!N12,敦煌!N12,格尔木!N12,石嘴山!N12)</f>
        <v>0</v>
      </c>
      <c r="O12" s="292">
        <f t="shared" si="0"/>
        <v>13186.189917999993</v>
      </c>
    </row>
    <row r="13" spans="1:19" x14ac:dyDescent="0.15">
      <c r="A13" s="291" t="s">
        <v>25</v>
      </c>
      <c r="B13" s="292">
        <f>SUM(白银!B13,酒一!B13,酒二!B13,青海!B13,哈密!B13,吐鲁番!B13,敦煌!B13,格尔木!B13,石嘴山!B13)</f>
        <v>580</v>
      </c>
      <c r="C13" s="364">
        <f>SUM(白银!C13,酒一!C13,酒二!C13,青海!C13,哈密!C13,吐鲁番!C13,敦煌!C13,格尔木!C13,石嘴山!C13)</f>
        <v>0</v>
      </c>
      <c r="D13" s="292">
        <f>SUM(白银!D13,酒一!D13,酒二!D13,青海!D13,哈密!D13,吐鲁番!D13,敦煌!D13,格尔木!D13,石嘴山!D13)</f>
        <v>0</v>
      </c>
      <c r="E13" s="292">
        <f>SUM(白银!E13,酒一!E13,酒二!E13,青海!E13,哈密!E13,吐鲁番!E13,敦煌!E13,格尔木!E13,石嘴山!E13)</f>
        <v>143.32206099999999</v>
      </c>
      <c r="F13" s="292">
        <f>SUM(白银!F13,酒一!F13,酒二!F13,青海!F13,哈密!F13,吐鲁番!F13,敦煌!F13,格尔木!F13,石嘴山!F13)</f>
        <v>0</v>
      </c>
      <c r="G13" s="292">
        <f>SUM(白银!G13,酒一!G13,酒二!G13,青海!G13,哈密!G13,吐鲁番!G13,敦煌!G13,格尔木!G13,石嘴山!G13)</f>
        <v>0</v>
      </c>
      <c r="H13" s="292">
        <f>SUM(白银!H13,酒一!H13,酒二!H13,青海!H13,哈密!H13,吐鲁番!H13,敦煌!H13,格尔木!H13,石嘴山!H13)</f>
        <v>0</v>
      </c>
      <c r="I13" s="292">
        <f>SUM(白银!I13,酒一!I13,酒二!I13,青海!I13,哈密!I13,吐鲁番!I13,敦煌!I13,格尔木!I13,石嘴山!I13)</f>
        <v>0</v>
      </c>
      <c r="J13" s="292">
        <f>SUM(白银!J13,酒一!J13,酒二!J13,青海!J13,哈密!J13,吐鲁番!J13,敦煌!J13,格尔木!J13,石嘴山!J13)</f>
        <v>0</v>
      </c>
      <c r="K13" s="292">
        <f>SUM(白银!K13,酒一!K13,酒二!K13,青海!K13,哈密!K13,吐鲁番!K13,敦煌!K13,格尔木!K13,石嘴山!K13)</f>
        <v>0</v>
      </c>
      <c r="L13" s="292">
        <f>SUM(白银!L13,酒一!L13,酒二!L13,青海!L13,哈密!L13,吐鲁番!L13,敦煌!L13,格尔木!L13,石嘴山!L13)</f>
        <v>0</v>
      </c>
      <c r="M13" s="292">
        <f>SUM(白银!M13,酒一!M13,酒二!M13,青海!M13,哈密!M13,吐鲁番!M13,敦煌!M13,格尔木!M13,石嘴山!M13)</f>
        <v>0</v>
      </c>
      <c r="N13" s="292">
        <f>SUM(白银!N13,酒一!N13,酒二!N13,青海!N13,哈密!N13,吐鲁番!N13,敦煌!N13,格尔木!N13,石嘴山!N13)</f>
        <v>0</v>
      </c>
      <c r="O13" s="292">
        <f t="shared" si="0"/>
        <v>143.32206099999999</v>
      </c>
    </row>
    <row r="14" spans="1:19" hidden="1" x14ac:dyDescent="0.15">
      <c r="A14" s="291" t="s">
        <v>26</v>
      </c>
      <c r="B14" s="292">
        <f>SUM(白银!B14,酒一!B14,酒二!B14,青海!B14,哈密!B14,吐鲁番!B14,敦煌!B14,格尔木!B14,石嘴山!B14)</f>
        <v>0</v>
      </c>
      <c r="C14" s="364">
        <f>SUM(白银!C14,酒一!C14,酒二!C14,青海!C14,哈密!C14,吐鲁番!C14,敦煌!C14,格尔木!C14,石嘴山!C14)</f>
        <v>0</v>
      </c>
      <c r="D14" s="292">
        <f>SUM(白银!D14,酒一!D14,酒二!D14,青海!D14,哈密!D14,吐鲁番!D14,敦煌!D14,格尔木!D14,石嘴山!D14)</f>
        <v>0</v>
      </c>
      <c r="E14" s="292">
        <f>SUM(白银!E14,酒一!E14,酒二!E14,青海!E14,哈密!E14,吐鲁番!E14,敦煌!E14,格尔木!E14,石嘴山!E14)</f>
        <v>0</v>
      </c>
      <c r="F14" s="292">
        <f>SUM(白银!F14,酒一!F14,酒二!F14,青海!F14,哈密!F14,吐鲁番!F14,敦煌!F14,格尔木!F14,石嘴山!F14)</f>
        <v>0</v>
      </c>
      <c r="G14" s="292">
        <f>SUM(白银!G14,酒一!G14,酒二!G14,青海!G14,哈密!G14,吐鲁番!G14,敦煌!G14,格尔木!G14,石嘴山!G14)</f>
        <v>0</v>
      </c>
      <c r="H14" s="292">
        <f>SUM(白银!H14,酒一!H14,酒二!H14,青海!H14,哈密!H14,吐鲁番!H14,敦煌!H14,格尔木!H14,石嘴山!H14)</f>
        <v>0</v>
      </c>
      <c r="I14" s="292">
        <f>SUM(白银!I14,酒一!I14,酒二!I14,青海!I14,哈密!I14,吐鲁番!I14,敦煌!I14,格尔木!I14,石嘴山!I14)</f>
        <v>0</v>
      </c>
      <c r="J14" s="292">
        <f>SUM(白银!J14,酒一!J14,酒二!J14,青海!J14,哈密!J14,吐鲁番!J14,敦煌!J14,格尔木!J14,石嘴山!J14)</f>
        <v>0</v>
      </c>
      <c r="K14" s="292">
        <f>SUM(白银!K14,酒一!K14,酒二!K14,青海!K14,哈密!K14,吐鲁番!K14,敦煌!K14,格尔木!K14,石嘴山!K14)</f>
        <v>0</v>
      </c>
      <c r="L14" s="292">
        <f>SUM(白银!L14,酒一!L14,酒二!L14,青海!L14,哈密!L14,吐鲁番!L14,敦煌!L14,格尔木!L14,石嘴山!L14)</f>
        <v>0</v>
      </c>
      <c r="M14" s="292">
        <f>SUM(白银!M14,酒一!M14,酒二!M14,青海!M14,哈密!M14,吐鲁番!M14,敦煌!M14,格尔木!M14,石嘴山!M14)</f>
        <v>0</v>
      </c>
      <c r="N14" s="292">
        <f>SUM(白银!N14,酒一!N14,酒二!N14,青海!N14,哈密!N14,吐鲁番!N14,敦煌!N14,格尔木!N14,石嘴山!N14)</f>
        <v>0</v>
      </c>
      <c r="O14" s="292">
        <f t="shared" si="0"/>
        <v>0</v>
      </c>
    </row>
    <row r="15" spans="1:19" hidden="1" x14ac:dyDescent="0.15">
      <c r="A15" s="291" t="s">
        <v>27</v>
      </c>
      <c r="B15" s="292">
        <f>SUM(白银!B15,酒一!B15,酒二!B15,青海!B15,哈密!B15,吐鲁番!B15,敦煌!B15,格尔木!B15,石嘴山!B15)</f>
        <v>0</v>
      </c>
      <c r="C15" s="364">
        <f>SUM(白银!C15,酒一!C15,酒二!C15,青海!C15,哈密!C15,吐鲁番!C15,敦煌!C15,格尔木!C15,石嘴山!C15)</f>
        <v>0</v>
      </c>
      <c r="D15" s="292">
        <f>SUM(白银!D15,酒一!D15,酒二!D15,青海!D15,哈密!D15,吐鲁番!D15,敦煌!D15,格尔木!D15,石嘴山!D15)</f>
        <v>0</v>
      </c>
      <c r="E15" s="292">
        <f>SUM(白银!E15,酒一!E15,酒二!E15,青海!E15,哈密!E15,吐鲁番!E15,敦煌!E15,格尔木!E15,石嘴山!E15)</f>
        <v>0</v>
      </c>
      <c r="F15" s="292">
        <f>SUM(白银!F15,酒一!F15,酒二!F15,青海!F15,哈密!F15,吐鲁番!F15,敦煌!F15,格尔木!F15,石嘴山!F15)</f>
        <v>0</v>
      </c>
      <c r="G15" s="292">
        <f>SUM(白银!G15,酒一!G15,酒二!G15,青海!G15,哈密!G15,吐鲁番!G15,敦煌!G15,格尔木!G15,石嘴山!G15)</f>
        <v>0</v>
      </c>
      <c r="H15" s="292">
        <f>SUM(白银!H15,酒一!H15,酒二!H15,青海!H15,哈密!H15,吐鲁番!H15,敦煌!H15,格尔木!H15,石嘴山!H15)</f>
        <v>0</v>
      </c>
      <c r="I15" s="292">
        <f>SUM(白银!I15,酒一!I15,酒二!I15,青海!I15,哈密!I15,吐鲁番!I15,敦煌!I15,格尔木!I15,石嘴山!I15)</f>
        <v>0</v>
      </c>
      <c r="J15" s="292">
        <f>SUM(白银!J15,酒一!J15,酒二!J15,青海!J15,哈密!J15,吐鲁番!J15,敦煌!J15,格尔木!J15,石嘴山!J15)</f>
        <v>0</v>
      </c>
      <c r="K15" s="292">
        <f>SUM(白银!K15,酒一!K15,酒二!K15,青海!K15,哈密!K15,吐鲁番!K15,敦煌!K15,格尔木!K15,石嘴山!K15)</f>
        <v>0</v>
      </c>
      <c r="L15" s="292">
        <f>SUM(白银!L15,酒一!L15,酒二!L15,青海!L15,哈密!L15,吐鲁番!L15,敦煌!L15,格尔木!L15,石嘴山!L15)</f>
        <v>0</v>
      </c>
      <c r="M15" s="292">
        <f>SUM(白银!M15,酒一!M15,酒二!M15,青海!M15,哈密!M15,吐鲁番!M15,敦煌!M15,格尔木!M15,石嘴山!M15)</f>
        <v>0</v>
      </c>
      <c r="N15" s="292">
        <f>SUM(白银!N15,酒一!N15,酒二!N15,青海!N15,哈密!N15,吐鲁番!N15,敦煌!N15,格尔木!N15,石嘴山!N15)</f>
        <v>0</v>
      </c>
      <c r="O15" s="292">
        <f t="shared" si="0"/>
        <v>0</v>
      </c>
    </row>
    <row r="16" spans="1:19" hidden="1" x14ac:dyDescent="0.15">
      <c r="A16" s="291" t="s">
        <v>28</v>
      </c>
      <c r="B16" s="292">
        <f>SUM(白银!B16,酒一!B16,酒二!B16,青海!B16,哈密!B16,吐鲁番!B16,敦煌!B16,格尔木!B16,石嘴山!B16)</f>
        <v>0</v>
      </c>
      <c r="C16" s="364">
        <f>SUM(白银!C16,酒一!C16,酒二!C16,青海!C16,哈密!C16,吐鲁番!C16,敦煌!C16,格尔木!C16,石嘴山!C16)</f>
        <v>0</v>
      </c>
      <c r="D16" s="292">
        <f>SUM(白银!D16,酒一!D16,酒二!D16,青海!D16,哈密!D16,吐鲁番!D16,敦煌!D16,格尔木!D16,石嘴山!D16)</f>
        <v>0</v>
      </c>
      <c r="E16" s="292">
        <f>SUM(白银!E16,酒一!E16,酒二!E16,青海!E16,哈密!E16,吐鲁番!E16,敦煌!E16,格尔木!E16,石嘴山!E16)</f>
        <v>0</v>
      </c>
      <c r="F16" s="292">
        <f>SUM(白银!F16,酒一!F16,酒二!F16,青海!F16,哈密!F16,吐鲁番!F16,敦煌!F16,格尔木!F16,石嘴山!F16)</f>
        <v>0</v>
      </c>
      <c r="G16" s="292">
        <f>SUM(白银!G16,酒一!G16,酒二!G16,青海!G16,哈密!G16,吐鲁番!G16,敦煌!G16,格尔木!G16,石嘴山!G16)</f>
        <v>0</v>
      </c>
      <c r="H16" s="292">
        <f>SUM(白银!H16,酒一!H16,酒二!H16,青海!H16,哈密!H16,吐鲁番!H16,敦煌!H16,格尔木!H16,石嘴山!H16)</f>
        <v>0</v>
      </c>
      <c r="I16" s="292">
        <f>SUM(白银!I16,酒一!I16,酒二!I16,青海!I16,哈密!I16,吐鲁番!I16,敦煌!I16,格尔木!I16,石嘴山!I16)</f>
        <v>0</v>
      </c>
      <c r="J16" s="292">
        <f>SUM(白银!J16,酒一!J16,酒二!J16,青海!J16,哈密!J16,吐鲁番!J16,敦煌!J16,格尔木!J16,石嘴山!J16)</f>
        <v>0</v>
      </c>
      <c r="K16" s="292">
        <f>SUM(白银!K16,酒一!K16,酒二!K16,青海!K16,哈密!K16,吐鲁番!K16,敦煌!K16,格尔木!K16,石嘴山!K16)</f>
        <v>0</v>
      </c>
      <c r="L16" s="292">
        <f>SUM(白银!L16,酒一!L16,酒二!L16,青海!L16,哈密!L16,吐鲁番!L16,敦煌!L16,格尔木!L16,石嘴山!L16)</f>
        <v>0</v>
      </c>
      <c r="M16" s="292">
        <f>SUM(白银!M16,酒一!M16,酒二!M16,青海!M16,哈密!M16,吐鲁番!M16,敦煌!M16,格尔木!M16,石嘴山!M16)</f>
        <v>0</v>
      </c>
      <c r="N16" s="292">
        <f>SUM(白银!N16,酒一!N16,酒二!N16,青海!N16,哈密!N16,吐鲁番!N16,敦煌!N16,格尔木!N16,石嘴山!N16)</f>
        <v>0</v>
      </c>
      <c r="O16" s="292">
        <f t="shared" si="0"/>
        <v>0</v>
      </c>
    </row>
    <row r="17" spans="1:20" hidden="1" x14ac:dyDescent="0.15">
      <c r="A17" s="291" t="s">
        <v>29</v>
      </c>
      <c r="B17" s="292">
        <f>SUM(白银!B17,酒一!B17,酒二!B17,青海!B17,哈密!B17,吐鲁番!B17,敦煌!B17,格尔木!B17,石嘴山!B17)</f>
        <v>0</v>
      </c>
      <c r="C17" s="364">
        <f>SUM(白银!C17,酒一!C17,酒二!C17,青海!C17,哈密!C17,吐鲁番!C17,敦煌!C17,格尔木!C17,石嘴山!C17)</f>
        <v>0</v>
      </c>
      <c r="D17" s="292">
        <f>SUM(白银!D17,酒一!D17,酒二!D17,青海!D17,哈密!D17,吐鲁番!D17,敦煌!D17,格尔木!D17,石嘴山!D17)</f>
        <v>0</v>
      </c>
      <c r="E17" s="292">
        <f>SUM(白银!E17,酒一!E17,酒二!E17,青海!E17,哈密!E17,吐鲁番!E17,敦煌!E17,格尔木!E17,石嘴山!E17)</f>
        <v>0</v>
      </c>
      <c r="F17" s="292">
        <f>SUM(白银!F17,酒一!F17,酒二!F17,青海!F17,哈密!F17,吐鲁番!F17,敦煌!F17,格尔木!F17,石嘴山!F17)</f>
        <v>0</v>
      </c>
      <c r="G17" s="292">
        <f>SUM(白银!G17,酒一!G17,酒二!G17,青海!G17,哈密!G17,吐鲁番!G17,敦煌!G17,格尔木!G17,石嘴山!G17)</f>
        <v>0</v>
      </c>
      <c r="H17" s="292">
        <f>SUM(白银!H17,酒一!H17,酒二!H17,青海!H17,哈密!H17,吐鲁番!H17,敦煌!H17,格尔木!H17,石嘴山!H17)</f>
        <v>0</v>
      </c>
      <c r="I17" s="292">
        <f>SUM(白银!I17,酒一!I17,酒二!I17,青海!I17,哈密!I17,吐鲁番!I17,敦煌!I17,格尔木!I17,石嘴山!I17)</f>
        <v>0</v>
      </c>
      <c r="J17" s="292">
        <f>SUM(白银!J17,酒一!J17,酒二!J17,青海!J17,哈密!J17,吐鲁番!J17,敦煌!J17,格尔木!J17,石嘴山!J17)</f>
        <v>0</v>
      </c>
      <c r="K17" s="292">
        <f>SUM(白银!K17,酒一!K17,酒二!K17,青海!K17,哈密!K17,吐鲁番!K17,敦煌!K17,格尔木!K17,石嘴山!K17)</f>
        <v>0</v>
      </c>
      <c r="L17" s="292">
        <f>SUM(白银!L17,酒一!L17,酒二!L17,青海!L17,哈密!L17,吐鲁番!L17,敦煌!L17,格尔木!L17,石嘴山!L17)</f>
        <v>0</v>
      </c>
      <c r="M17" s="292">
        <f>SUM(白银!M17,酒一!M17,酒二!M17,青海!M17,哈密!M17,吐鲁番!M17,敦煌!M17,格尔木!M17,石嘴山!M17)</f>
        <v>0</v>
      </c>
      <c r="N17" s="292">
        <f>SUM(白银!N17,酒一!N17,酒二!N17,青海!N17,哈密!N17,吐鲁番!N17,敦煌!N17,格尔木!N17,石嘴山!N17)</f>
        <v>0</v>
      </c>
      <c r="O17" s="292">
        <f t="shared" si="0"/>
        <v>0</v>
      </c>
    </row>
    <row r="18" spans="1:20" hidden="1" x14ac:dyDescent="0.15">
      <c r="A18" s="291" t="s">
        <v>30</v>
      </c>
      <c r="B18" s="292">
        <f>SUM(白银!B18,酒一!B18,酒二!B18,青海!B18,哈密!B18,吐鲁番!B18,敦煌!B18,格尔木!B18,石嘴山!B18)</f>
        <v>0</v>
      </c>
      <c r="C18" s="364">
        <f>SUM(白银!C18,酒一!C18,酒二!C18,青海!C18,哈密!C18,吐鲁番!C18,敦煌!C18,格尔木!C18,石嘴山!C18)</f>
        <v>0</v>
      </c>
      <c r="D18" s="292">
        <f>SUM(白银!D18,酒一!D18,酒二!D18,青海!D18,哈密!D18,吐鲁番!D18,敦煌!D18,格尔木!D18,石嘴山!D18)</f>
        <v>0</v>
      </c>
      <c r="E18" s="292">
        <f>SUM(白银!E18,酒一!E18,酒二!E18,青海!E18,哈密!E18,吐鲁番!E18,敦煌!E18,格尔木!E18,石嘴山!E18)</f>
        <v>0</v>
      </c>
      <c r="F18" s="292">
        <f>SUM(白银!F18,酒一!F18,酒二!F18,青海!F18,哈密!F18,吐鲁番!F18,敦煌!F18,格尔木!F18,石嘴山!F18)</f>
        <v>0</v>
      </c>
      <c r="G18" s="292">
        <f>SUM(白银!G18,酒一!G18,酒二!G18,青海!G18,哈密!G18,吐鲁番!G18,敦煌!G18,格尔木!G18,石嘴山!G18)</f>
        <v>0</v>
      </c>
      <c r="H18" s="292">
        <f>SUM(白银!H18,酒一!H18,酒二!H18,青海!H18,哈密!H18,吐鲁番!H18,敦煌!H18,格尔木!H18,石嘴山!H18)</f>
        <v>0</v>
      </c>
      <c r="I18" s="292">
        <f>SUM(白银!I18,酒一!I18,酒二!I18,青海!I18,哈密!I18,吐鲁番!I18,敦煌!I18,格尔木!I18,石嘴山!I18)</f>
        <v>0</v>
      </c>
      <c r="J18" s="292">
        <f>SUM(白银!J18,酒一!J18,酒二!J18,青海!J18,哈密!J18,吐鲁番!J18,敦煌!J18,格尔木!J18,石嘴山!J18)</f>
        <v>0</v>
      </c>
      <c r="K18" s="292">
        <f>SUM(白银!K18,酒一!K18,酒二!K18,青海!K18,哈密!K18,吐鲁番!K18,敦煌!K18,格尔木!K18,石嘴山!K18)</f>
        <v>0</v>
      </c>
      <c r="L18" s="292">
        <f>SUM(白银!L18,酒一!L18,酒二!L18,青海!L18,哈密!L18,吐鲁番!L18,敦煌!L18,格尔木!L18,石嘴山!L18)</f>
        <v>0</v>
      </c>
      <c r="M18" s="292">
        <f>SUM(白银!M18,酒一!M18,酒二!M18,青海!M18,哈密!M18,吐鲁番!M18,敦煌!M18,格尔木!M18,石嘴山!M18)</f>
        <v>0</v>
      </c>
      <c r="N18" s="292">
        <f>SUM(白银!N18,酒一!N18,酒二!N18,青海!N18,哈密!N18,吐鲁番!N18,敦煌!N18,格尔木!N18,石嘴山!N18)</f>
        <v>0</v>
      </c>
      <c r="O18" s="292">
        <f t="shared" si="0"/>
        <v>0</v>
      </c>
    </row>
    <row r="19" spans="1:20" hidden="1" x14ac:dyDescent="0.15">
      <c r="A19" s="291" t="s">
        <v>31</v>
      </c>
      <c r="B19" s="292">
        <f>SUM(白银!B19,酒一!B19,酒二!B19,青海!B19,哈密!B19,吐鲁番!B19,敦煌!B19,格尔木!B19,石嘴山!B19)</f>
        <v>0</v>
      </c>
      <c r="C19" s="364">
        <f>SUM(白银!C19,酒一!C19,酒二!C19,青海!C19,哈密!C19,吐鲁番!C19,敦煌!C19,格尔木!C19,石嘴山!C19)</f>
        <v>0</v>
      </c>
      <c r="D19" s="292">
        <f>SUM(白银!D19,酒一!D19,酒二!D19,青海!D19,哈密!D19,吐鲁番!D19,敦煌!D19,格尔木!D19,石嘴山!D19)</f>
        <v>0</v>
      </c>
      <c r="E19" s="292">
        <f>SUM(白银!E19,酒一!E19,酒二!E19,青海!E19,哈密!E19,吐鲁番!E19,敦煌!E19,格尔木!E19,石嘴山!E19)</f>
        <v>0</v>
      </c>
      <c r="F19" s="292">
        <f>SUM(白银!F19,酒一!F19,酒二!F19,青海!F19,哈密!F19,吐鲁番!F19,敦煌!F19,格尔木!F19,石嘴山!F19)</f>
        <v>0</v>
      </c>
      <c r="G19" s="292">
        <f>SUM(白银!G19,酒一!G19,酒二!G19,青海!G19,哈密!G19,吐鲁番!G19,敦煌!G19,格尔木!G19,石嘴山!G19)</f>
        <v>0</v>
      </c>
      <c r="H19" s="292">
        <f>SUM(白银!H19,酒一!H19,酒二!H19,青海!H19,哈密!H19,吐鲁番!H19,敦煌!H19,格尔木!H19,石嘴山!H19)</f>
        <v>0</v>
      </c>
      <c r="I19" s="292">
        <f>SUM(白银!I19,酒一!I19,酒二!I19,青海!I19,哈密!I19,吐鲁番!I19,敦煌!I19,格尔木!I19,石嘴山!I19)</f>
        <v>0</v>
      </c>
      <c r="J19" s="292">
        <f>SUM(白银!J19,酒一!J19,酒二!J19,青海!J19,哈密!J19,吐鲁番!J19,敦煌!J19,格尔木!J19,石嘴山!J19)</f>
        <v>0</v>
      </c>
      <c r="K19" s="292">
        <f>SUM(白银!K19,酒一!K19,酒二!K19,青海!K19,哈密!K19,吐鲁番!K19,敦煌!K19,格尔木!K19,石嘴山!K19)</f>
        <v>0</v>
      </c>
      <c r="L19" s="292">
        <f>SUM(白银!L19,酒一!L19,酒二!L19,青海!L19,哈密!L19,吐鲁番!L19,敦煌!L19,格尔木!L19,石嘴山!L19)</f>
        <v>0</v>
      </c>
      <c r="M19" s="292">
        <f>SUM(白银!M19,酒一!M19,酒二!M19,青海!M19,哈密!M19,吐鲁番!M19,敦煌!M19,格尔木!M19,石嘴山!M19)</f>
        <v>0</v>
      </c>
      <c r="N19" s="292">
        <f>SUM(白银!N19,酒一!N19,酒二!N19,青海!N19,哈密!N19,吐鲁番!N19,敦煌!N19,格尔木!N19,石嘴山!N19)</f>
        <v>0</v>
      </c>
      <c r="O19" s="292">
        <f t="shared" si="0"/>
        <v>0</v>
      </c>
    </row>
    <row r="20" spans="1:20" hidden="1" x14ac:dyDescent="0.15">
      <c r="A20" s="291" t="s">
        <v>32</v>
      </c>
      <c r="B20" s="292">
        <f>SUM(白银!B20,酒一!B20,酒二!B20,青海!B20,哈密!B20,吐鲁番!B20,敦煌!B20,格尔木!B20,石嘴山!B20)</f>
        <v>0</v>
      </c>
      <c r="C20" s="364">
        <f>SUM(白银!C20,酒一!C20,酒二!C20,青海!C20,哈密!C20,吐鲁番!C20,敦煌!C20,格尔木!C20,石嘴山!C20)</f>
        <v>0</v>
      </c>
      <c r="D20" s="292">
        <f>SUM(白银!D20,酒一!D20,酒二!D20,青海!D20,哈密!D20,吐鲁番!D20,敦煌!D20,格尔木!D20,石嘴山!D20)</f>
        <v>0</v>
      </c>
      <c r="E20" s="292">
        <f>SUM(白银!E20,酒一!E20,酒二!E20,青海!E20,哈密!E20,吐鲁番!E20,敦煌!E20,格尔木!E20,石嘴山!E20)</f>
        <v>0</v>
      </c>
      <c r="F20" s="292">
        <f>SUM(白银!F20,酒一!F20,酒二!F20,青海!F20,哈密!F20,吐鲁番!F20,敦煌!F20,格尔木!F20,石嘴山!F20)</f>
        <v>0</v>
      </c>
      <c r="G20" s="292">
        <f>SUM(白银!G20,酒一!G20,酒二!G20,青海!G20,哈密!G20,吐鲁番!G20,敦煌!G20,格尔木!G20,石嘴山!G20)</f>
        <v>0</v>
      </c>
      <c r="H20" s="292">
        <f>SUM(白银!H20,酒一!H20,酒二!H20,青海!H20,哈密!H20,吐鲁番!H20,敦煌!H20,格尔木!H20,石嘴山!H20)</f>
        <v>0</v>
      </c>
      <c r="I20" s="292">
        <f>SUM(白银!I20,酒一!I20,酒二!I20,青海!I20,哈密!I20,吐鲁番!I20,敦煌!I20,格尔木!I20,石嘴山!I20)</f>
        <v>0</v>
      </c>
      <c r="J20" s="292">
        <f>SUM(白银!J20,酒一!J20,酒二!J20,青海!J20,哈密!J20,吐鲁番!J20,敦煌!J20,格尔木!J20,石嘴山!J20)</f>
        <v>0</v>
      </c>
      <c r="K20" s="292">
        <f>SUM(白银!K20,酒一!K20,酒二!K20,青海!K20,哈密!K20,吐鲁番!K20,敦煌!K20,格尔木!K20,石嘴山!K20)</f>
        <v>0</v>
      </c>
      <c r="L20" s="292">
        <f>SUM(白银!L20,酒一!L20,酒二!L20,青海!L20,哈密!L20,吐鲁番!L20,敦煌!L20,格尔木!L20,石嘴山!L20)</f>
        <v>0</v>
      </c>
      <c r="M20" s="292">
        <f>SUM(白银!M20,酒一!M20,酒二!M20,青海!M20,哈密!M20,吐鲁番!M20,敦煌!M20,格尔木!M20,石嘴山!M20)</f>
        <v>0</v>
      </c>
      <c r="N20" s="292">
        <f>SUM(白银!N20,酒一!N20,酒二!N20,青海!N20,哈密!N20,吐鲁番!N20,敦煌!N20,格尔木!N20,石嘴山!N20)</f>
        <v>0</v>
      </c>
      <c r="O20" s="292">
        <f t="shared" si="0"/>
        <v>0</v>
      </c>
    </row>
    <row r="21" spans="1:20" x14ac:dyDescent="0.15">
      <c r="A21" s="291" t="s">
        <v>33</v>
      </c>
      <c r="B21" s="292">
        <f>SUM(白银!B21,酒一!B21,酒二!B21,青海!B21,哈密!B21,吐鲁番!B21,敦煌!B21,格尔木!B21,石嘴山!B21)</f>
        <v>935.58999999999992</v>
      </c>
      <c r="C21" s="364">
        <f>SUM(白银!C21,酒一!C21,酒二!C21,青海!C21,哈密!C21,吐鲁番!C21,敦煌!C21,格尔木!C21,石嘴山!C21)</f>
        <v>12.60987499999999</v>
      </c>
      <c r="D21" s="292">
        <f>SUM(白银!D21,酒一!D21,酒二!D21,青海!D21,哈密!D21,吐鲁番!D21,敦煌!D21,格尔木!D21,石嘴山!D21)</f>
        <v>15.050754</v>
      </c>
      <c r="E21" s="293">
        <f>SUM(白银!E21,酒一!E21,酒二!E21,青海!E21,哈密!E21,吐鲁番!E21,敦煌!E21,格尔木!E21,石嘴山!E21)</f>
        <v>77.771523000000002</v>
      </c>
      <c r="F21" s="292">
        <f>SUM(白银!F21,酒一!F21,酒二!F21,青海!F21,哈密!F21,吐鲁番!F21,敦煌!F21,格尔木!F21,石嘴山!F21)</f>
        <v>104.62866200000001</v>
      </c>
      <c r="G21" s="292">
        <f>SUM(白银!G21,酒一!G21,酒二!G21,青海!G21,哈密!G21,吐鲁番!G21,敦煌!G21,格尔木!G21,石嘴山!G21)</f>
        <v>0</v>
      </c>
      <c r="H21" s="292">
        <f>SUM(白银!H21,酒一!H21,酒二!H21,青海!H21,哈密!H21,吐鲁番!H21,敦煌!H21,格尔木!H21,石嘴山!H21)</f>
        <v>0</v>
      </c>
      <c r="I21" s="292">
        <f>SUM(白银!I21,酒一!I21,酒二!I21,青海!I21,哈密!I21,吐鲁番!I21,敦煌!I21,格尔木!I21,石嘴山!I21)</f>
        <v>0</v>
      </c>
      <c r="J21" s="292">
        <f>SUM(白银!J21,酒一!J21,酒二!J21,青海!J21,哈密!J21,吐鲁番!J21,敦煌!J21,格尔木!J21,石嘴山!J21)</f>
        <v>0</v>
      </c>
      <c r="K21" s="292">
        <f>SUM(白银!K21,酒一!K21,酒二!K21,青海!K21,哈密!K21,吐鲁番!K21,敦煌!K21,格尔木!K21,石嘴山!K21)</f>
        <v>0</v>
      </c>
      <c r="L21" s="292">
        <f>SUM(白银!L21,酒一!L21,酒二!L21,青海!L21,哈密!L21,吐鲁番!L21,敦煌!L21,格尔木!L21,石嘴山!L21)</f>
        <v>0</v>
      </c>
      <c r="M21" s="292">
        <f>SUM(白银!M21,酒一!M21,酒二!M21,青海!M21,哈密!M21,吐鲁番!M21,敦煌!M21,格尔木!M21,石嘴山!M21)</f>
        <v>0</v>
      </c>
      <c r="N21" s="292">
        <f>SUM(白银!N21,酒一!N21,酒二!N21,青海!N21,哈密!N21,吐鲁番!N21,敦煌!N21,格尔木!N21,石嘴山!N21)</f>
        <v>0</v>
      </c>
      <c r="O21" s="292">
        <f t="shared" si="0"/>
        <v>210.06081399999999</v>
      </c>
      <c r="Q21">
        <v>50</v>
      </c>
      <c r="R21">
        <v>5</v>
      </c>
      <c r="S21">
        <v>35</v>
      </c>
      <c r="T21">
        <v>7</v>
      </c>
    </row>
    <row r="22" spans="1:20" hidden="1" x14ac:dyDescent="0.15">
      <c r="A22" s="291" t="s">
        <v>34</v>
      </c>
      <c r="B22" s="292">
        <f>SUM(白银!B22,酒一!B22,酒二!B22,青海!B22,哈密!B22,吐鲁番!B22,敦煌!B22,格尔木!B22,石嘴山!B22)</f>
        <v>0</v>
      </c>
      <c r="C22" s="364">
        <f>SUM(白银!C22,酒一!C22,酒二!C22,青海!C22,哈密!C22,吐鲁番!C22,敦煌!C22,格尔木!C22,石嘴山!C22)</f>
        <v>0</v>
      </c>
      <c r="D22" s="292">
        <f>SUM(白银!D22,酒一!D22,酒二!D22,青海!D22,哈密!D22,吐鲁番!D22,敦煌!D22,格尔木!D22,石嘴山!D22)</f>
        <v>0</v>
      </c>
      <c r="E22" s="292">
        <f>SUM(白银!E22,酒一!E22,酒二!E22,青海!E22,哈密!E22,吐鲁番!E22,敦煌!E22,格尔木!E22,石嘴山!E22)</f>
        <v>0</v>
      </c>
      <c r="F22" s="292">
        <f>SUM(白银!F22,酒一!F22,酒二!F22,青海!F22,哈密!F22,吐鲁番!F22,敦煌!F22,格尔木!F22,石嘴山!F22)</f>
        <v>0</v>
      </c>
      <c r="G22" s="292">
        <f>SUM(白银!G22,酒一!G22,酒二!G22,青海!G22,哈密!G22,吐鲁番!G22,敦煌!G22,格尔木!G22,石嘴山!G22)</f>
        <v>0</v>
      </c>
      <c r="H22" s="292">
        <f>SUM(白银!H22,酒一!H22,酒二!H22,青海!H22,哈密!H22,吐鲁番!H22,敦煌!H22,格尔木!H22,石嘴山!H22)</f>
        <v>0</v>
      </c>
      <c r="I22" s="292">
        <f>SUM(白银!I22,酒一!I22,酒二!I22,青海!I22,哈密!I22,吐鲁番!I22,敦煌!I22,格尔木!I22,石嘴山!I22)</f>
        <v>0</v>
      </c>
      <c r="J22" s="292">
        <f>SUM(白银!J22,酒一!J22,酒二!J22,青海!J22,哈密!J22,吐鲁番!J22,敦煌!J22,格尔木!J22,石嘴山!J22)</f>
        <v>0</v>
      </c>
      <c r="K22" s="292">
        <f>SUM(白银!K22,酒一!K22,酒二!K22,青海!K22,哈密!K22,吐鲁番!K22,敦煌!K22,格尔木!K22,石嘴山!K22)</f>
        <v>0</v>
      </c>
      <c r="L22" s="292">
        <f>SUM(白银!L22,酒一!L22,酒二!L22,青海!L22,哈密!L22,吐鲁番!L22,敦煌!L22,格尔木!L22,石嘴山!L22)</f>
        <v>0</v>
      </c>
      <c r="M22" s="292">
        <f>SUM(白银!M22,酒一!M22,酒二!M22,青海!M22,哈密!M22,吐鲁番!M22,敦煌!M22,格尔木!M22,石嘴山!M22)</f>
        <v>0</v>
      </c>
      <c r="N22" s="292">
        <f>SUM(白银!N22,酒一!N22,酒二!N22,青海!N22,哈密!N22,吐鲁番!N22,敦煌!N22,格尔木!N22,石嘴山!N22)</f>
        <v>0</v>
      </c>
      <c r="O22" s="292">
        <f t="shared" si="0"/>
        <v>0</v>
      </c>
    </row>
    <row r="23" spans="1:20" x14ac:dyDescent="0.15">
      <c r="A23" s="291" t="s">
        <v>35</v>
      </c>
      <c r="B23" s="292">
        <f>SUM(白银!B23,酒一!B23,酒二!B23,青海!B23,哈密!B23,吐鲁番!B23,敦煌!B23,格尔木!B23,石嘴山!B23)</f>
        <v>4399.2412199999999</v>
      </c>
      <c r="C23" s="364">
        <f>SUM(白银!C23,酒一!C23,酒二!C23,青海!C23,哈密!C23,吐鲁番!C23,敦煌!C23,格尔木!C23,石嘴山!C23)</f>
        <v>345.19972499999977</v>
      </c>
      <c r="D23" s="292">
        <f>SUM(白银!D23,酒一!D23,酒二!D23,青海!D23,哈密!D23,吐鲁番!D23,敦煌!D23,格尔木!D23,石嘴山!D23)</f>
        <v>199.58639099999996</v>
      </c>
      <c r="E23" s="292">
        <f>SUM(白银!E23,酒一!E23,酒二!E23,青海!E23,哈密!E23,吐鲁番!E23,敦煌!E23,格尔木!E23,石嘴山!E23)</f>
        <v>262.1994679999998</v>
      </c>
      <c r="F23" s="292">
        <f>SUM(白银!F23,酒一!F23,酒二!F23,青海!F23,哈密!F23,吐鲁番!F23,敦煌!F23,格尔木!F23,石嘴山!F23)</f>
        <v>422.65117599999957</v>
      </c>
      <c r="G23" s="292">
        <f>SUM(白银!G23,酒一!G23,酒二!G23,青海!G23,哈密!G23,吐鲁番!G23,敦煌!G23,格尔木!G23,石嘴山!G23)</f>
        <v>0</v>
      </c>
      <c r="H23" s="292">
        <f>SUM(白银!H23,酒一!H23,酒二!H23,青海!H23,哈密!H23,吐鲁番!H23,敦煌!H23,格尔木!H23,石嘴山!H23)</f>
        <v>0</v>
      </c>
      <c r="I23" s="292">
        <f>SUM(白银!I23,酒一!I23,酒二!I23,青海!I23,哈密!I23,吐鲁番!I23,敦煌!I23,格尔木!I23,石嘴山!I23)</f>
        <v>0</v>
      </c>
      <c r="J23" s="292">
        <f>SUM(白银!J23,酒一!J23,酒二!J23,青海!J23,哈密!J23,吐鲁番!J23,敦煌!J23,格尔木!J23,石嘴山!J23)</f>
        <v>0</v>
      </c>
      <c r="K23" s="292">
        <f>SUM(白银!K23,酒一!K23,酒二!K23,青海!K23,哈密!K23,吐鲁番!K23,敦煌!K23,格尔木!K23,石嘴山!K23)</f>
        <v>0</v>
      </c>
      <c r="L23" s="292">
        <f>SUM(白银!L23,酒一!L23,酒二!L23,青海!L23,哈密!L23,吐鲁番!L23,敦煌!L23,格尔木!L23,石嘴山!L23)</f>
        <v>0</v>
      </c>
      <c r="M23" s="292">
        <f>SUM(白银!M23,酒一!M23,酒二!M23,青海!M23,哈密!M23,吐鲁番!M23,敦煌!M23,格尔木!M23,石嘴山!M23)</f>
        <v>0</v>
      </c>
      <c r="N23" s="292">
        <f>SUM(白银!N23,酒一!N23,酒二!N23,青海!N23,哈密!N23,吐鲁番!N23,敦煌!N23,格尔木!N23,石嘴山!N23)</f>
        <v>0</v>
      </c>
      <c r="O23" s="292">
        <f t="shared" si="0"/>
        <v>1229.6367599999992</v>
      </c>
      <c r="P23" s="46"/>
      <c r="Q23" s="46">
        <v>300</v>
      </c>
      <c r="R23">
        <v>10</v>
      </c>
      <c r="S23">
        <v>4.5</v>
      </c>
    </row>
    <row r="24" spans="1:20" hidden="1" x14ac:dyDescent="0.15">
      <c r="A24" s="291" t="s">
        <v>36</v>
      </c>
      <c r="B24" s="292">
        <f>SUM(白银!B24,酒一!B24,酒二!B24,青海!B24,哈密!B24,吐鲁番!B24,敦煌!B24,格尔木!B24,石嘴山!B24)</f>
        <v>0</v>
      </c>
      <c r="C24" s="364">
        <f>SUM(白银!C24,酒一!C24,酒二!C24,青海!C24,哈密!C24,吐鲁番!C24,敦煌!C24,格尔木!C24,石嘴山!C24)</f>
        <v>0</v>
      </c>
      <c r="D24" s="292">
        <f>SUM(白银!D24,酒一!D24,酒二!D24,青海!D24,哈密!D24,吐鲁番!D24,敦煌!D24,格尔木!D24,石嘴山!D24)</f>
        <v>0</v>
      </c>
      <c r="E24" s="292">
        <f>SUM(白银!E24,酒一!E24,酒二!E24,青海!E24,哈密!E24,吐鲁番!E24,敦煌!E24,格尔木!E24,石嘴山!E24)</f>
        <v>0</v>
      </c>
      <c r="F24" s="292">
        <f>SUM(白银!F24,酒一!F24,酒二!F24,青海!F24,哈密!F24,吐鲁番!F24,敦煌!F24,格尔木!F24,石嘴山!F24)</f>
        <v>0</v>
      </c>
      <c r="G24" s="292">
        <f>SUM(白银!G24,酒一!G24,酒二!G24,青海!G24,哈密!G24,吐鲁番!G24,敦煌!G24,格尔木!G24,石嘴山!G24)</f>
        <v>0</v>
      </c>
      <c r="H24" s="292">
        <f>SUM(白银!H24,酒一!H24,酒二!H24,青海!H24,哈密!H24,吐鲁番!H24,敦煌!H24,格尔木!H24,石嘴山!H24)</f>
        <v>0</v>
      </c>
      <c r="I24" s="292">
        <f>SUM(白银!I24,酒一!I24,酒二!I24,青海!I24,哈密!I24,吐鲁番!I24,敦煌!I24,格尔木!I24,石嘴山!I24)</f>
        <v>0</v>
      </c>
      <c r="J24" s="292">
        <f>SUM(白银!J24,酒一!J24,酒二!J24,青海!J24,哈密!J24,吐鲁番!J24,敦煌!J24,格尔木!J24,石嘴山!J24)</f>
        <v>0</v>
      </c>
      <c r="K24" s="292">
        <f>SUM(白银!K24,酒一!K24,酒二!K24,青海!K24,哈密!K24,吐鲁番!K24,敦煌!K24,格尔木!K24,石嘴山!K24)</f>
        <v>0</v>
      </c>
      <c r="L24" s="292">
        <f>SUM(白银!L24,酒一!L24,酒二!L24,青海!L24,哈密!L24,吐鲁番!L24,敦煌!L24,格尔木!L24,石嘴山!L24)</f>
        <v>0</v>
      </c>
      <c r="M24" s="292">
        <f>SUM(白银!M24,酒一!M24,酒二!M24,青海!M24,哈密!M24,吐鲁番!M24,敦煌!M24,格尔木!M24,石嘴山!M24)</f>
        <v>0</v>
      </c>
      <c r="N24" s="292">
        <f>SUM(白银!N24,酒一!N24,酒二!N24,青海!N24,哈密!N24,吐鲁番!N24,敦煌!N24,格尔木!N24,石嘴山!N24)</f>
        <v>0</v>
      </c>
      <c r="O24" s="292">
        <f t="shared" si="0"/>
        <v>0</v>
      </c>
      <c r="P24" s="46"/>
      <c r="Q24" s="46"/>
    </row>
    <row r="25" spans="1:20" x14ac:dyDescent="0.15">
      <c r="A25" s="291" t="s">
        <v>37</v>
      </c>
      <c r="B25" s="292">
        <f>SUM(白银!B25,酒一!B25,酒二!B25,青海!B25,哈密!B25,吐鲁番!B25,敦煌!B25,格尔木!B25,石嘴山!B25)</f>
        <v>18434.030999999999</v>
      </c>
      <c r="C25" s="364">
        <f>SUM(白银!C25,酒一!C25,酒二!C25,青海!C25,哈密!C25,吐鲁番!C25,敦煌!C25,格尔木!C25,石嘴山!C25)</f>
        <v>1595.5429179999969</v>
      </c>
      <c r="D25" s="292">
        <f>SUM(白银!D25,酒一!D25,酒二!D25,青海!D25,哈密!D25,吐鲁番!D25,敦煌!D25,格尔木!D25,石嘴山!D25)</f>
        <v>1464.6377909999969</v>
      </c>
      <c r="E25" s="292">
        <f>SUM(白银!E25,酒一!E25,酒二!E25,青海!E25,哈密!E25,吐鲁番!E25,敦煌!E25,格尔木!E25,石嘴山!E25)</f>
        <v>1613.5316429999968</v>
      </c>
      <c r="F25" s="292">
        <f>SUM(白银!F25,酒一!F25,酒二!F25,青海!F25,哈密!F25,吐鲁番!F25,敦煌!F25,格尔木!F25,石嘴山!F25)</f>
        <v>1577.075418999998</v>
      </c>
      <c r="G25" s="292">
        <f>SUM(白银!G25,酒一!G25,酒二!G25,青海!G25,哈密!G25,吐鲁番!G25,敦煌!G25,格尔木!G25,石嘴山!G25)</f>
        <v>0</v>
      </c>
      <c r="H25" s="292">
        <f>SUM(白银!H25,酒一!H25,酒二!H25,青海!H25,哈密!H25,吐鲁番!H25,敦煌!H25,格尔木!H25,石嘴山!H25)</f>
        <v>0</v>
      </c>
      <c r="I25" s="292">
        <f>SUM(白银!I25,酒一!I25,酒二!I25,青海!I25,哈密!I25,吐鲁番!I25,敦煌!I25,格尔木!I25,石嘴山!I25)</f>
        <v>0</v>
      </c>
      <c r="J25" s="292">
        <f>SUM(白银!J25,酒一!J25,酒二!J25,青海!J25,哈密!J25,吐鲁番!J25,敦煌!J25,格尔木!J25,石嘴山!J25)</f>
        <v>0</v>
      </c>
      <c r="K25" s="292">
        <f>SUM(白银!K25,酒一!K25,酒二!K25,青海!K25,哈密!K25,吐鲁番!K25,敦煌!K25,格尔木!K25,石嘴山!K25)</f>
        <v>0</v>
      </c>
      <c r="L25" s="292">
        <f>SUM(白银!L25,酒一!L25,酒二!L25,青海!L25,哈密!L25,吐鲁番!L25,敦煌!L25,格尔木!L25,石嘴山!L25)</f>
        <v>0</v>
      </c>
      <c r="M25" s="292">
        <f>SUM(白银!M25,酒一!M25,酒二!M25,青海!M25,哈密!M25,吐鲁番!M25,敦煌!M25,格尔木!M25,石嘴山!M25)</f>
        <v>0</v>
      </c>
      <c r="N25" s="292">
        <f>SUM(白银!N25,酒一!N25,酒二!N25,青海!N25,哈密!N25,吐鲁番!N25,敦煌!N25,格尔木!N25,石嘴山!N25)</f>
        <v>0</v>
      </c>
      <c r="O25" s="292">
        <f t="shared" si="0"/>
        <v>6250.7877709999884</v>
      </c>
      <c r="P25" s="46"/>
      <c r="Q25" s="46">
        <v>1600</v>
      </c>
    </row>
    <row r="26" spans="1:20" hidden="1" x14ac:dyDescent="0.15">
      <c r="A26" s="291" t="s">
        <v>38</v>
      </c>
      <c r="B26" s="292">
        <f>SUM(白银!B26,酒一!B26,酒二!B26,青海!B26,哈密!B26,吐鲁番!B26,敦煌!B26,格尔木!B26,石嘴山!B26)</f>
        <v>0</v>
      </c>
      <c r="C26" s="364">
        <f>SUM(白银!C26,酒一!C26,酒二!C26,青海!C26,哈密!C26,吐鲁番!C26,敦煌!C26,格尔木!C26,石嘴山!C26)</f>
        <v>1597.1998549999998</v>
      </c>
      <c r="D26" s="292">
        <f>SUM(白银!D26,酒一!D26,酒二!D26,青海!D26,哈密!D26,吐鲁番!D26,敦煌!D26,格尔木!D26,石嘴山!D26)</f>
        <v>1465.7777649999969</v>
      </c>
      <c r="E26" s="292">
        <f>SUM(白银!E26,酒一!E26,酒二!E26,青海!E26,哈密!E26,吐鲁番!E26,敦煌!E26,格尔木!E26,石嘴山!E26)</f>
        <v>1616.0197179999986</v>
      </c>
      <c r="F26" s="292">
        <f>SUM(白银!F26,酒一!F26,酒二!F26,青海!F26,哈密!F26,吐鲁番!F26,敦煌!F26,格尔木!F26,石嘴山!F26)</f>
        <v>1576.029996999999</v>
      </c>
      <c r="G26" s="292">
        <f>SUM(白银!G26,酒一!G26,酒二!G26,青海!G26,哈密!G26,吐鲁番!G26,敦煌!G26,格尔木!G26,石嘴山!G26)</f>
        <v>0</v>
      </c>
      <c r="H26" s="292">
        <f>SUM(白银!H26,酒一!H26,酒二!H26,青海!H26,哈密!H26,吐鲁番!H26,敦煌!H26,格尔木!H26,石嘴山!H26)</f>
        <v>0</v>
      </c>
      <c r="I26" s="292">
        <f>SUM(白银!I26,酒一!I26,酒二!I26,青海!I26,哈密!I26,吐鲁番!I26,敦煌!I26,格尔木!I26,石嘴山!I26)</f>
        <v>0</v>
      </c>
      <c r="J26" s="292">
        <f>SUM(白银!J26,酒一!J26,酒二!J26,青海!J26,哈密!J26,吐鲁番!J26,敦煌!J26,格尔木!J26,石嘴山!J26)</f>
        <v>0</v>
      </c>
      <c r="K26" s="292">
        <f>SUM(白银!K26,酒一!K26,酒二!K26,青海!K26,哈密!K26,吐鲁番!K26,敦煌!K26,格尔木!K26,石嘴山!K26)</f>
        <v>0</v>
      </c>
      <c r="L26" s="292">
        <f>SUM(白银!L26,酒一!L26,酒二!L26,青海!L26,哈密!L26,吐鲁番!L26,敦煌!L26,格尔木!L26,石嘴山!L26)</f>
        <v>0</v>
      </c>
      <c r="M26" s="292">
        <f>SUM(白银!M26,酒一!M26,酒二!M26,青海!M26,哈密!M26,吐鲁番!M26,敦煌!M26,格尔木!M26,石嘴山!M26)</f>
        <v>0</v>
      </c>
      <c r="N26" s="292">
        <f>SUM(白银!N26,酒一!N26,酒二!N26,青海!N26,哈密!N26,吐鲁番!N26,敦煌!N26,格尔木!N26,石嘴山!N26)</f>
        <v>0</v>
      </c>
      <c r="O26" s="292">
        <f t="shared" si="0"/>
        <v>6255.0273349999943</v>
      </c>
      <c r="Q26" s="46"/>
    </row>
    <row r="27" spans="1:20" hidden="1" x14ac:dyDescent="0.15">
      <c r="A27" s="291" t="s">
        <v>39</v>
      </c>
      <c r="B27" s="292">
        <f>SUM(白银!B27,酒一!B27,酒二!B27,青海!B27,哈密!B27,吐鲁番!B27,敦煌!B27,格尔木!B27,石嘴山!B27)</f>
        <v>0</v>
      </c>
      <c r="C27" s="364">
        <f>SUM(白银!C27,酒一!C27,酒二!C27,青海!C27,哈密!C27,吐鲁番!C27,敦煌!C27,格尔木!C27,石嘴山!C27)</f>
        <v>2.1456179999999989</v>
      </c>
      <c r="D27" s="292">
        <f>SUM(白银!D27,酒一!D27,酒二!D27,青海!D27,哈密!D27,吐鲁番!D27,敦煌!D27,格尔木!D27,石嘴山!D27)</f>
        <v>1.7030339999999977</v>
      </c>
      <c r="E27" s="292">
        <f>SUM(白银!E27,酒一!E27,酒二!E27,青海!E27,哈密!E27,吐鲁番!E27,敦煌!E27,格尔木!E27,石嘴山!E27)</f>
        <v>2.8966179999999988</v>
      </c>
      <c r="F27" s="292">
        <f>SUM(白银!F27,酒一!F27,酒二!F27,青海!F27,哈密!F27,吐鲁番!F27,敦煌!F27,格尔木!F27,石嘴山!F27)</f>
        <v>1.1950109999999987</v>
      </c>
      <c r="G27" s="292">
        <f>SUM(白银!G27,酒一!G27,酒二!G27,青海!G27,哈密!G27,吐鲁番!G27,敦煌!G27,格尔木!G27,石嘴山!G27)</f>
        <v>0</v>
      </c>
      <c r="H27" s="292">
        <f>SUM(白银!H27,酒一!H27,酒二!H27,青海!H27,哈密!H27,吐鲁番!H27,敦煌!H27,格尔木!H27,石嘴山!H27)</f>
        <v>0</v>
      </c>
      <c r="I27" s="292">
        <f>SUM(白银!I27,酒一!I27,酒二!I27,青海!I27,哈密!I27,吐鲁番!I27,敦煌!I27,格尔木!I27,石嘴山!I27)</f>
        <v>0</v>
      </c>
      <c r="J27" s="292">
        <f>SUM(白银!J27,酒一!J27,酒二!J27,青海!J27,哈密!J27,吐鲁番!J27,敦煌!J27,格尔木!J27,石嘴山!J27)</f>
        <v>0</v>
      </c>
      <c r="K27" s="292">
        <f>SUM(白银!K27,酒一!K27,酒二!K27,青海!K27,哈密!K27,吐鲁番!K27,敦煌!K27,格尔木!K27,石嘴山!K27)</f>
        <v>0</v>
      </c>
      <c r="L27" s="292">
        <f>SUM(白银!L27,酒一!L27,酒二!L27,青海!L27,哈密!L27,吐鲁番!L27,敦煌!L27,格尔木!L27,石嘴山!L27)</f>
        <v>0</v>
      </c>
      <c r="M27" s="292">
        <f>SUM(白银!M27,酒一!M27,酒二!M27,青海!M27,哈密!M27,吐鲁番!M27,敦煌!M27,格尔木!M27,石嘴山!M27)</f>
        <v>0</v>
      </c>
      <c r="N27" s="292">
        <f>SUM(白银!N27,酒一!N27,酒二!N27,青海!N27,哈密!N27,吐鲁番!N27,敦煌!N27,格尔木!N27,石嘴山!N27)</f>
        <v>0</v>
      </c>
      <c r="O27" s="292">
        <f t="shared" si="0"/>
        <v>7.9402809999999953</v>
      </c>
      <c r="Q27" s="46"/>
    </row>
    <row r="28" spans="1:20" ht="24" hidden="1" x14ac:dyDescent="0.15">
      <c r="A28" s="291" t="s">
        <v>40</v>
      </c>
      <c r="B28" s="292">
        <f>SUM(白银!B28,酒一!B28,酒二!B28,青海!B28,哈密!B28,吐鲁番!B28,敦煌!B28,格尔木!B28,石嘴山!B28)</f>
        <v>0</v>
      </c>
      <c r="C28" s="364">
        <f>SUM(白银!C28,酒一!C28,酒二!C28,青海!C28,哈密!C28,吐鲁番!C28,敦煌!C28,格尔木!C28,石嘴山!C28)</f>
        <v>0</v>
      </c>
      <c r="D28" s="292">
        <f>SUM(白银!D28,酒一!D28,酒二!D28,青海!D28,哈密!D28,吐鲁番!D28,敦煌!D28,格尔木!D28,石嘴山!D28)</f>
        <v>0</v>
      </c>
      <c r="E28" s="292">
        <f>SUM(白银!E28,酒一!E28,酒二!E28,青海!E28,哈密!E28,吐鲁番!E28,敦煌!E28,格尔木!E28,石嘴山!E28)</f>
        <v>0</v>
      </c>
      <c r="F28" s="292">
        <f>SUM(白银!F28,酒一!F28,酒二!F28,青海!F28,哈密!F28,吐鲁番!F28,敦煌!F28,格尔木!F28,石嘴山!F28)</f>
        <v>0</v>
      </c>
      <c r="G28" s="292">
        <f>SUM(白银!G28,酒一!G28,酒二!G28,青海!G28,哈密!G28,吐鲁番!G28,敦煌!G28,格尔木!G28,石嘴山!G28)</f>
        <v>0</v>
      </c>
      <c r="H28" s="292">
        <f>SUM(白银!H28,酒一!H28,酒二!H28,青海!H28,哈密!H28,吐鲁番!H28,敦煌!H28,格尔木!H28,石嘴山!H28)</f>
        <v>0</v>
      </c>
      <c r="I28" s="292">
        <f>SUM(白银!I28,酒一!I28,酒二!I28,青海!I28,哈密!I28,吐鲁番!I28,敦煌!I28,格尔木!I28,石嘴山!I28)</f>
        <v>0</v>
      </c>
      <c r="J28" s="292">
        <f>SUM(白银!J28,酒一!J28,酒二!J28,青海!J28,哈密!J28,吐鲁番!J28,敦煌!J28,格尔木!J28,石嘴山!J28)</f>
        <v>0</v>
      </c>
      <c r="K28" s="292">
        <f>SUM(白银!K28,酒一!K28,酒二!K28,青海!K28,哈密!K28,吐鲁番!K28,敦煌!K28,格尔木!K28,石嘴山!K28)</f>
        <v>0</v>
      </c>
      <c r="L28" s="292">
        <f>SUM(白银!L28,酒一!L28,酒二!L28,青海!L28,哈密!L28,吐鲁番!L28,敦煌!L28,格尔木!L28,石嘴山!L28)</f>
        <v>0</v>
      </c>
      <c r="M28" s="292">
        <f>SUM(白银!M28,酒一!M28,酒二!M28,青海!M28,哈密!M28,吐鲁番!M28,敦煌!M28,格尔木!M28,石嘴山!M28)</f>
        <v>0</v>
      </c>
      <c r="N28" s="292">
        <f>SUM(白银!N28,酒一!N28,酒二!N28,青海!N28,哈密!N28,吐鲁番!N28,敦煌!N28,格尔木!N28,石嘴山!N28)</f>
        <v>0</v>
      </c>
      <c r="O28" s="292">
        <f t="shared" si="0"/>
        <v>0</v>
      </c>
      <c r="Q28" s="46"/>
    </row>
    <row r="29" spans="1:20" x14ac:dyDescent="0.15">
      <c r="A29" s="291" t="s">
        <v>41</v>
      </c>
      <c r="B29" s="292">
        <f>SUM(白银!B29,酒一!B29,酒二!B29,青海!B29,哈密!B29,吐鲁番!B29,敦煌!B29,格尔木!B29,石嘴山!B29)</f>
        <v>881.05</v>
      </c>
      <c r="C29" s="364">
        <f>SUM(白银!C29,酒一!C29,酒二!C29,青海!C29,哈密!C29,吐鲁番!C29,敦煌!C29,格尔木!C29,石嘴山!C29)</f>
        <v>0</v>
      </c>
      <c r="D29" s="292">
        <f>SUM(白银!D29,酒一!D29,酒二!D29,青海!D29,哈密!D29,吐鲁番!D29,敦煌!D29,格尔木!D29,石嘴山!D29)</f>
        <v>0</v>
      </c>
      <c r="E29" s="292">
        <f>SUM(白银!E29,酒一!E29,酒二!E29,青海!E29,哈密!E29,吐鲁番!E29,敦煌!E29,格尔木!E29,石嘴山!E29)</f>
        <v>0</v>
      </c>
      <c r="F29" s="292">
        <f>SUM(白银!F29,酒一!F29,酒二!F29,青海!F29,哈密!F29,吐鲁番!F29,敦煌!F29,格尔木!F29,石嘴山!F29)</f>
        <v>0</v>
      </c>
      <c r="G29" s="292">
        <f>SUM(白银!G29,酒一!G29,酒二!G29,青海!G29,哈密!G29,吐鲁番!G29,敦煌!G29,格尔木!G29,石嘴山!G29)</f>
        <v>0</v>
      </c>
      <c r="H29" s="292">
        <f>SUM(白银!H29,酒一!H29,酒二!H29,青海!H29,哈密!H29,吐鲁番!H29,敦煌!H29,格尔木!H29,石嘴山!H29)</f>
        <v>0</v>
      </c>
      <c r="I29" s="292">
        <f>SUM(白银!I29,酒一!I29,酒二!I29,青海!I29,哈密!I29,吐鲁番!I29,敦煌!I29,格尔木!I29,石嘴山!I29)</f>
        <v>0</v>
      </c>
      <c r="J29" s="292">
        <f>SUM(白银!J29,酒一!J29,酒二!J29,青海!J29,哈密!J29,吐鲁番!J29,敦煌!J29,格尔木!J29,石嘴山!J29)</f>
        <v>0</v>
      </c>
      <c r="K29" s="292">
        <f>SUM(白银!K29,酒一!K29,酒二!K29,青海!K29,哈密!K29,吐鲁番!K29,敦煌!K29,格尔木!K29,石嘴山!K29)</f>
        <v>0</v>
      </c>
      <c r="L29" s="292">
        <f>SUM(白银!L29,酒一!L29,酒二!L29,青海!L29,哈密!L29,吐鲁番!L29,敦煌!L29,格尔木!L29,石嘴山!L29)</f>
        <v>0</v>
      </c>
      <c r="M29" s="292">
        <f>SUM(白银!M29,酒一!M29,酒二!M29,青海!M29,哈密!M29,吐鲁番!M29,敦煌!M29,格尔木!M29,石嘴山!M29)</f>
        <v>0</v>
      </c>
      <c r="N29" s="292">
        <f>SUM(白银!N29,酒一!N29,酒二!N29,青海!N29,哈密!N29,吐鲁番!N29,敦煌!N29,格尔木!N29,石嘴山!N29)</f>
        <v>0</v>
      </c>
      <c r="O29" s="292">
        <f t="shared" si="0"/>
        <v>0</v>
      </c>
    </row>
    <row r="30" spans="1:20" hidden="1" x14ac:dyDescent="0.15">
      <c r="A30" s="291" t="s">
        <v>42</v>
      </c>
      <c r="B30" s="292">
        <f>SUM(白银!B30,酒一!B30,酒二!B30,青海!B30,哈密!B30,吐鲁番!B30,敦煌!B30,格尔木!B30,石嘴山!B30)</f>
        <v>0</v>
      </c>
      <c r="C30" s="364">
        <f>SUM(白银!C30,酒一!C30,酒二!C30,青海!C30,哈密!C30,吐鲁番!C30,敦煌!C30,格尔木!C30,石嘴山!C30)</f>
        <v>0</v>
      </c>
      <c r="D30" s="292">
        <f>SUM(白银!D30,酒一!D30,酒二!D30,青海!D30,哈密!D30,吐鲁番!D30,敦煌!D30,格尔木!D30,石嘴山!D30)</f>
        <v>0</v>
      </c>
      <c r="E30" s="292">
        <f>SUM(白银!E30,酒一!E30,酒二!E30,青海!E30,哈密!E30,吐鲁番!E30,敦煌!E30,格尔木!E30,石嘴山!E30)</f>
        <v>0</v>
      </c>
      <c r="F30" s="292">
        <f>SUM(白银!F30,酒一!F30,酒二!F30,青海!F30,哈密!F30,吐鲁番!F30,敦煌!F30,格尔木!F30,石嘴山!F30)</f>
        <v>0</v>
      </c>
      <c r="G30" s="292">
        <f>SUM(白银!G30,酒一!G30,酒二!G30,青海!G30,哈密!G30,吐鲁番!G30,敦煌!G30,格尔木!G30,石嘴山!G30)</f>
        <v>0</v>
      </c>
      <c r="H30" s="292">
        <f>SUM(白银!H30,酒一!H30,酒二!H30,青海!H30,哈密!H30,吐鲁番!H30,敦煌!H30,格尔木!H30,石嘴山!H30)</f>
        <v>0</v>
      </c>
      <c r="I30" s="292">
        <f>SUM(白银!I30,酒一!I30,酒二!I30,青海!I30,哈密!I30,吐鲁番!I30,敦煌!I30,格尔木!I30,石嘴山!I30)</f>
        <v>0</v>
      </c>
      <c r="J30" s="292">
        <f>SUM(白银!J30,酒一!J30,酒二!J30,青海!J30,哈密!J30,吐鲁番!J30,敦煌!J30,格尔木!J30,石嘴山!J30)</f>
        <v>0</v>
      </c>
      <c r="K30" s="292">
        <f>SUM(白银!K30,酒一!K30,酒二!K30,青海!K30,哈密!K30,吐鲁番!K30,敦煌!K30,格尔木!K30,石嘴山!K30)</f>
        <v>0</v>
      </c>
      <c r="L30" s="292">
        <f>SUM(白银!L30,酒一!L30,酒二!L30,青海!L30,哈密!L30,吐鲁番!L30,敦煌!L30,格尔木!L30,石嘴山!L30)</f>
        <v>0</v>
      </c>
      <c r="M30" s="292">
        <f>SUM(白银!M30,酒一!M30,酒二!M30,青海!M30,哈密!M30,吐鲁番!M30,敦煌!M30,格尔木!M30,石嘴山!M30)</f>
        <v>0</v>
      </c>
      <c r="N30" s="292">
        <f>SUM(白银!N30,酒一!N30,酒二!N30,青海!N30,哈密!N30,吐鲁番!N30,敦煌!N30,格尔木!N30,石嘴山!N30)</f>
        <v>0</v>
      </c>
      <c r="O30" s="292">
        <f t="shared" si="0"/>
        <v>0</v>
      </c>
    </row>
    <row r="31" spans="1:20" ht="24" hidden="1" x14ac:dyDescent="0.15">
      <c r="A31" s="291" t="s">
        <v>43</v>
      </c>
      <c r="B31" s="292">
        <f>SUM(白银!B31,酒一!B31,酒二!B31,青海!B31,哈密!B31,吐鲁番!B31,敦煌!B31,格尔木!B31,石嘴山!B31)</f>
        <v>0</v>
      </c>
      <c r="C31" s="364">
        <f>SUM(白银!C31,酒一!C31,酒二!C31,青海!C31,哈密!C31,吐鲁番!C31,敦煌!C31,格尔木!C31,石嘴山!C31)</f>
        <v>0</v>
      </c>
      <c r="D31" s="292">
        <f>SUM(白银!D31,酒一!D31,酒二!D31,青海!D31,哈密!D31,吐鲁番!D31,敦煌!D31,格尔木!D31,石嘴山!D31)</f>
        <v>0</v>
      </c>
      <c r="E31" s="292">
        <f>SUM(白银!E31,酒一!E31,酒二!E31,青海!E31,哈密!E31,吐鲁番!E31,敦煌!E31,格尔木!E31,石嘴山!E31)</f>
        <v>0</v>
      </c>
      <c r="F31" s="292">
        <f>SUM(白银!F31,酒一!F31,酒二!F31,青海!F31,哈密!F31,吐鲁番!F31,敦煌!F31,格尔木!F31,石嘴山!F31)</f>
        <v>0</v>
      </c>
      <c r="G31" s="292">
        <f>SUM(白银!G31,酒一!G31,酒二!G31,青海!G31,哈密!G31,吐鲁番!G31,敦煌!G31,格尔木!G31,石嘴山!G31)</f>
        <v>0</v>
      </c>
      <c r="H31" s="292">
        <f>SUM(白银!H31,酒一!H31,酒二!H31,青海!H31,哈密!H31,吐鲁番!H31,敦煌!H31,格尔木!H31,石嘴山!H31)</f>
        <v>0</v>
      </c>
      <c r="I31" s="292">
        <f>SUM(白银!I31,酒一!I31,酒二!I31,青海!I31,哈密!I31,吐鲁番!I31,敦煌!I31,格尔木!I31,石嘴山!I31)</f>
        <v>0</v>
      </c>
      <c r="J31" s="292">
        <f>SUM(白银!J31,酒一!J31,酒二!J31,青海!J31,哈密!J31,吐鲁番!J31,敦煌!J31,格尔木!J31,石嘴山!J31)</f>
        <v>0</v>
      </c>
      <c r="K31" s="292">
        <f>SUM(白银!K31,酒一!K31,酒二!K31,青海!K31,哈密!K31,吐鲁番!K31,敦煌!K31,格尔木!K31,石嘴山!K31)</f>
        <v>0</v>
      </c>
      <c r="L31" s="292">
        <f>SUM(白银!L31,酒一!L31,酒二!L31,青海!L31,哈密!L31,吐鲁番!L31,敦煌!L31,格尔木!L31,石嘴山!L31)</f>
        <v>0</v>
      </c>
      <c r="M31" s="292">
        <f>SUM(白银!M31,酒一!M31,酒二!M31,青海!M31,哈密!M31,吐鲁番!M31,敦煌!M31,格尔木!M31,石嘴山!M31)</f>
        <v>0</v>
      </c>
      <c r="N31" s="292">
        <f>SUM(白银!N31,酒一!N31,酒二!N31,青海!N31,哈密!N31,吐鲁番!N31,敦煌!N31,格尔木!N31,石嘴山!N31)</f>
        <v>0</v>
      </c>
      <c r="O31" s="292">
        <f t="shared" si="0"/>
        <v>0</v>
      </c>
    </row>
    <row r="32" spans="1:20" ht="24" hidden="1" x14ac:dyDescent="0.15">
      <c r="A32" s="291" t="s">
        <v>44</v>
      </c>
      <c r="B32" s="292">
        <f>SUM(白银!B32,酒一!B32,酒二!B32,青海!B32,哈密!B32,吐鲁番!B32,敦煌!B32,格尔木!B32,石嘴山!B32)</f>
        <v>0</v>
      </c>
      <c r="C32" s="364">
        <f>SUM(白银!C32,酒一!C32,酒二!C32,青海!C32,哈密!C32,吐鲁番!C32,敦煌!C32,格尔木!C32,石嘴山!C32)</f>
        <v>0</v>
      </c>
      <c r="D32" s="292">
        <f>SUM(白银!D32,酒一!D32,酒二!D32,青海!D32,哈密!D32,吐鲁番!D32,敦煌!D32,格尔木!D32,石嘴山!D32)</f>
        <v>0</v>
      </c>
      <c r="E32" s="292">
        <f>SUM(白银!E32,酒一!E32,酒二!E32,青海!E32,哈密!E32,吐鲁番!E32,敦煌!E32,格尔木!E32,石嘴山!E32)</f>
        <v>0</v>
      </c>
      <c r="F32" s="292">
        <f>SUM(白银!F32,酒一!F32,酒二!F32,青海!F32,哈密!F32,吐鲁番!F32,敦煌!F32,格尔木!F32,石嘴山!F32)</f>
        <v>0</v>
      </c>
      <c r="G32" s="292">
        <f>SUM(白银!G32,酒一!G32,酒二!G32,青海!G32,哈密!G32,吐鲁番!G32,敦煌!G32,格尔木!G32,石嘴山!G32)</f>
        <v>0</v>
      </c>
      <c r="H32" s="292">
        <f>SUM(白银!H32,酒一!H32,酒二!H32,青海!H32,哈密!H32,吐鲁番!H32,敦煌!H32,格尔木!H32,石嘴山!H32)</f>
        <v>0</v>
      </c>
      <c r="I32" s="292">
        <f>SUM(白银!I32,酒一!I32,酒二!I32,青海!I32,哈密!I32,吐鲁番!I32,敦煌!I32,格尔木!I32,石嘴山!I32)</f>
        <v>0</v>
      </c>
      <c r="J32" s="292">
        <f>SUM(白银!J32,酒一!J32,酒二!J32,青海!J32,哈密!J32,吐鲁番!J32,敦煌!J32,格尔木!J32,石嘴山!J32)</f>
        <v>0</v>
      </c>
      <c r="K32" s="292">
        <f>SUM(白银!K32,酒一!K32,酒二!K32,青海!K32,哈密!K32,吐鲁番!K32,敦煌!K32,格尔木!K32,石嘴山!K32)</f>
        <v>0</v>
      </c>
      <c r="L32" s="292">
        <f>SUM(白银!L32,酒一!L32,酒二!L32,青海!L32,哈密!L32,吐鲁番!L32,敦煌!L32,格尔木!L32,石嘴山!L32)</f>
        <v>0</v>
      </c>
      <c r="M32" s="292">
        <f>SUM(白银!M32,酒一!M32,酒二!M32,青海!M32,哈密!M32,吐鲁番!M32,敦煌!M32,格尔木!M32,石嘴山!M32)</f>
        <v>0</v>
      </c>
      <c r="N32" s="292">
        <f>SUM(白银!N32,酒一!N32,酒二!N32,青海!N32,哈密!N32,吐鲁番!N32,敦煌!N32,格尔木!N32,石嘴山!N32)</f>
        <v>0</v>
      </c>
      <c r="O32" s="292">
        <f t="shared" si="0"/>
        <v>0</v>
      </c>
    </row>
    <row r="33" spans="1:18" ht="23.25" hidden="1" customHeight="1" x14ac:dyDescent="0.15">
      <c r="A33" s="291" t="s">
        <v>45</v>
      </c>
      <c r="B33" s="292">
        <f>SUM(白银!B33,酒一!B33,酒二!B33,青海!B33,哈密!B33,吐鲁番!B33,敦煌!B33,格尔木!B33,石嘴山!B33)</f>
        <v>0</v>
      </c>
      <c r="C33" s="364">
        <f>SUM(白银!C33,酒一!C33,酒二!C33,青海!C33,哈密!C33,吐鲁番!C33,敦煌!C33,格尔木!C33,石嘴山!C33)</f>
        <v>0</v>
      </c>
      <c r="D33" s="292">
        <f>SUM(白银!D33,酒一!D33,酒二!D33,青海!D33,哈密!D33,吐鲁番!D33,敦煌!D33,格尔木!D33,石嘴山!D33)</f>
        <v>0</v>
      </c>
      <c r="E33" s="292">
        <f>SUM(白银!E33,酒一!E33,酒二!E33,青海!E33,哈密!E33,吐鲁番!E33,敦煌!E33,格尔木!E33,石嘴山!E33)</f>
        <v>0</v>
      </c>
      <c r="F33" s="292">
        <f>SUM(白银!F33,酒一!F33,酒二!F33,青海!F33,哈密!F33,吐鲁番!F33,敦煌!F33,格尔木!F33,石嘴山!F33)</f>
        <v>0</v>
      </c>
      <c r="G33" s="292">
        <f>SUM(白银!G33,酒一!G33,酒二!G33,青海!G33,哈密!G33,吐鲁番!G33,敦煌!G33,格尔木!G33,石嘴山!G33)</f>
        <v>0</v>
      </c>
      <c r="H33" s="292">
        <f>SUM(白银!H33,酒一!H33,酒二!H33,青海!H33,哈密!H33,吐鲁番!H33,敦煌!H33,格尔木!H33,石嘴山!H33)</f>
        <v>0</v>
      </c>
      <c r="I33" s="292">
        <f>SUM(白银!I33,酒一!I33,酒二!I33,青海!I33,哈密!I33,吐鲁番!I33,敦煌!I33,格尔木!I33,石嘴山!I33)</f>
        <v>0</v>
      </c>
      <c r="J33" s="292">
        <f>SUM(白银!J33,酒一!J33,酒二!J33,青海!J33,哈密!J33,吐鲁番!J33,敦煌!J33,格尔木!J33,石嘴山!J33)</f>
        <v>0</v>
      </c>
      <c r="K33" s="292">
        <f>SUM(白银!K33,酒一!K33,酒二!K33,青海!K33,哈密!K33,吐鲁番!K33,敦煌!K33,格尔木!K33,石嘴山!K33)</f>
        <v>0</v>
      </c>
      <c r="L33" s="292">
        <f>SUM(白银!L33,酒一!L33,酒二!L33,青海!L33,哈密!L33,吐鲁番!L33,敦煌!L33,格尔木!L33,石嘴山!L33)</f>
        <v>0</v>
      </c>
      <c r="M33" s="292">
        <f>SUM(白银!M33,酒一!M33,酒二!M33,青海!M33,哈密!M33,吐鲁番!M33,敦煌!M33,格尔木!M33,石嘴山!M33)</f>
        <v>0</v>
      </c>
      <c r="N33" s="292">
        <f>SUM(白银!N33,酒一!N33,酒二!N33,青海!N33,哈密!N33,吐鲁番!N33,敦煌!N33,格尔木!N33,石嘴山!N33)</f>
        <v>0</v>
      </c>
      <c r="O33" s="292">
        <f t="shared" si="0"/>
        <v>0</v>
      </c>
    </row>
    <row r="34" spans="1:18" ht="18" hidden="1" customHeight="1" x14ac:dyDescent="0.15">
      <c r="A34" s="291" t="s">
        <v>46</v>
      </c>
      <c r="B34" s="292">
        <f>SUM(白银!B34,酒一!B34,酒二!B34,青海!B34,哈密!B34,吐鲁番!B34,敦煌!B34,格尔木!B34,石嘴山!B34)</f>
        <v>0</v>
      </c>
      <c r="C34" s="364">
        <f>SUM(白银!C34,酒一!C34,酒二!C34,青海!C34,哈密!C34,吐鲁番!C34,敦煌!C34,格尔木!C34,石嘴山!C34)</f>
        <v>0</v>
      </c>
      <c r="D34" s="292">
        <f>SUM(白银!D34,酒一!D34,酒二!D34,青海!D34,哈密!D34,吐鲁番!D34,敦煌!D34,格尔木!D34,石嘴山!D34)</f>
        <v>0</v>
      </c>
      <c r="E34" s="292">
        <f>SUM(白银!E34,酒一!E34,酒二!E34,青海!E34,哈密!E34,吐鲁番!E34,敦煌!E34,格尔木!E34,石嘴山!E34)</f>
        <v>0</v>
      </c>
      <c r="F34" s="292">
        <f>SUM(白银!F34,酒一!F34,酒二!F34,青海!F34,哈密!F34,吐鲁番!F34,敦煌!F34,格尔木!F34,石嘴山!F34)</f>
        <v>0</v>
      </c>
      <c r="G34" s="292">
        <f>SUM(白银!G34,酒一!G34,酒二!G34,青海!G34,哈密!G34,吐鲁番!G34,敦煌!G34,格尔木!G34,石嘴山!G34)</f>
        <v>0</v>
      </c>
      <c r="H34" s="292">
        <f>SUM(白银!H34,酒一!H34,酒二!H34,青海!H34,哈密!H34,吐鲁番!H34,敦煌!H34,格尔木!H34,石嘴山!H34)</f>
        <v>0</v>
      </c>
      <c r="I34" s="292">
        <f>SUM(白银!I34,酒一!I34,酒二!I34,青海!I34,哈密!I34,吐鲁番!I34,敦煌!I34,格尔木!I34,石嘴山!I34)</f>
        <v>0</v>
      </c>
      <c r="J34" s="292">
        <f>SUM(白银!J34,酒一!J34,酒二!J34,青海!J34,哈密!J34,吐鲁番!J34,敦煌!J34,格尔木!J34,石嘴山!J34)</f>
        <v>0</v>
      </c>
      <c r="K34" s="292">
        <f>SUM(白银!K34,酒一!K34,酒二!K34,青海!K34,哈密!K34,吐鲁番!K34,敦煌!K34,格尔木!K34,石嘴山!K34)</f>
        <v>0</v>
      </c>
      <c r="L34" s="292">
        <f>SUM(白银!L34,酒一!L34,酒二!L34,青海!L34,哈密!L34,吐鲁番!L34,敦煌!L34,格尔木!L34,石嘴山!L34)</f>
        <v>0</v>
      </c>
      <c r="M34" s="292">
        <f>SUM(白银!M34,酒一!M34,酒二!M34,青海!M34,哈密!M34,吐鲁番!M34,敦煌!M34,格尔木!M34,石嘴山!M34)</f>
        <v>0</v>
      </c>
      <c r="N34" s="292">
        <f>SUM(白银!N34,酒一!N34,酒二!N34,青海!N34,哈密!N34,吐鲁番!N34,敦煌!N34,格尔木!N34,石嘴山!N34)</f>
        <v>0</v>
      </c>
      <c r="O34" s="292">
        <f t="shared" si="0"/>
        <v>0</v>
      </c>
    </row>
    <row r="35" spans="1:18" x14ac:dyDescent="0.15">
      <c r="A35" s="291" t="s">
        <v>47</v>
      </c>
      <c r="B35" s="292">
        <f>SUM(白银!B35,酒一!B35,酒二!B35,青海!B35,哈密!B35,吐鲁番!B35,敦煌!B35,格尔木!B35,石嘴山!B35)</f>
        <v>775.9</v>
      </c>
      <c r="C35" s="364">
        <f>SUM(白银!C35,酒一!C35,酒二!C35,青海!C35,哈密!C35,吐鲁番!C35,敦煌!C35,格尔木!C35,石嘴山!C35)</f>
        <v>0</v>
      </c>
      <c r="D35" s="292">
        <f>SUM(白银!D35,酒一!D35,酒二!D35,青海!D35,哈密!D35,吐鲁番!D35,敦煌!D35,格尔木!D35,石嘴山!D35)</f>
        <v>0</v>
      </c>
      <c r="E35" s="293">
        <f>SUM(白银!E35,酒一!E35,酒二!E35,青海!E35,哈密!E35,吐鲁番!E35,敦煌!E35,格尔木!E35,石嘴山!E35)</f>
        <v>46.857067999999998</v>
      </c>
      <c r="F35" s="292">
        <f>SUM(白银!F35,酒一!F35,酒二!F35,青海!F35,哈密!F35,吐鲁番!F35,敦煌!F35,格尔木!F35,石嘴山!F35)</f>
        <v>50.582591999999998</v>
      </c>
      <c r="G35" s="292">
        <f>SUM(白银!G35,酒一!G35,酒二!G35,青海!G35,哈密!G35,吐鲁番!G35,敦煌!G35,格尔木!G35,石嘴山!G35)</f>
        <v>0</v>
      </c>
      <c r="H35" s="292">
        <f>SUM(白银!H35,酒一!H35,酒二!H35,青海!H35,哈密!H35,吐鲁番!H35,敦煌!H35,格尔木!H35,石嘴山!H35)</f>
        <v>0</v>
      </c>
      <c r="I35" s="292">
        <f>SUM(白银!I35,酒一!I35,酒二!I35,青海!I35,哈密!I35,吐鲁番!I35,敦煌!I35,格尔木!I35,石嘴山!I35)</f>
        <v>0</v>
      </c>
      <c r="J35" s="292">
        <f>SUM(白银!J35,酒一!J35,酒二!J35,青海!J35,哈密!J35,吐鲁番!J35,敦煌!J35,格尔木!J35,石嘴山!J35)</f>
        <v>0</v>
      </c>
      <c r="K35" s="292">
        <f>SUM(白银!K35,酒一!K35,酒二!K35,青海!K35,哈密!K35,吐鲁番!K35,敦煌!K35,格尔木!K35,石嘴山!K35)</f>
        <v>0</v>
      </c>
      <c r="L35" s="292">
        <f>SUM(白银!L35,酒一!L35,酒二!L35,青海!L35,哈密!L35,吐鲁番!L35,敦煌!L35,格尔木!L35,石嘴山!L35)</f>
        <v>0</v>
      </c>
      <c r="M35" s="292">
        <f>SUM(白银!M35,酒一!M35,酒二!M35,青海!M35,哈密!M35,吐鲁番!M35,敦煌!M35,格尔木!M35,石嘴山!M35)</f>
        <v>0</v>
      </c>
      <c r="N35" s="292">
        <f>SUM(白银!N35,酒一!N35,酒二!N35,青海!N35,哈密!N35,吐鲁番!N35,敦煌!N35,格尔木!N35,石嘴山!N35)</f>
        <v>0</v>
      </c>
      <c r="O35" s="292">
        <f t="shared" si="0"/>
        <v>97.439660000000003</v>
      </c>
      <c r="Q35">
        <v>121</v>
      </c>
      <c r="R35">
        <v>121</v>
      </c>
    </row>
    <row r="36" spans="1:18" x14ac:dyDescent="0.15">
      <c r="A36" s="291" t="s">
        <v>48</v>
      </c>
      <c r="B36" s="292">
        <f>SUM(白银!B36,酒一!B36,酒二!B36,青海!B36,哈密!B36,吐鲁番!B36,敦煌!B36,格尔木!B36,石嘴山!B36)</f>
        <v>3784.3545356970394</v>
      </c>
      <c r="C36" s="364">
        <f>SUM(白银!C36,酒一!C36,酒二!C36,青海!C36,哈密!C36,吐鲁番!C36,敦煌!C36,格尔木!C36,石嘴山!C36)</f>
        <v>794.92273999999895</v>
      </c>
      <c r="D36" s="292">
        <f>SUM(白银!D36,酒一!D36,酒二!D36,青海!D36,哈密!D36,吐鲁番!D36,敦煌!D36,格尔木!D36,石嘴山!D36)</f>
        <v>-25.805018999998197</v>
      </c>
      <c r="E36" s="292">
        <f>SUM(白银!E36,酒一!E36,酒二!E36,青海!E36,哈密!E36,吐鲁番!E36,敦煌!E36,格尔木!E36,石嘴山!E36)</f>
        <v>1710.4393479999885</v>
      </c>
      <c r="F36" s="292">
        <f>SUM(白银!F36,酒一!F36,酒二!F36,青海!F36,哈密!F36,吐鲁番!F36,敦煌!F36,格尔木!F36,石嘴山!F36)</f>
        <v>1874.918897999999</v>
      </c>
      <c r="G36" s="292">
        <f>SUM(白银!G36,酒一!G36,酒二!G36,青海!G36,哈密!G36,吐鲁番!G36,敦煌!G36,格尔木!G36,石嘴山!G36)</f>
        <v>0</v>
      </c>
      <c r="H36" s="292">
        <f>SUM(白银!H36,酒一!H36,酒二!H36,青海!H36,哈密!H36,吐鲁番!H36,敦煌!H36,格尔木!H36,石嘴山!H36)</f>
        <v>0</v>
      </c>
      <c r="I36" s="292">
        <f>SUM(白银!I36,酒一!I36,酒二!I36,青海!I36,哈密!I36,吐鲁番!I36,敦煌!I36,格尔木!I36,石嘴山!I36)</f>
        <v>0</v>
      </c>
      <c r="J36" s="292">
        <f>SUM(白银!J36,酒一!J36,酒二!J36,青海!J36,哈密!J36,吐鲁番!J36,敦煌!J36,格尔木!J36,石嘴山!J36)</f>
        <v>0</v>
      </c>
      <c r="K36" s="292">
        <f>SUM(白银!K36,酒一!K36,酒二!K36,青海!K36,哈密!K36,吐鲁番!K36,敦煌!K36,格尔木!K36,石嘴山!K36)</f>
        <v>0</v>
      </c>
      <c r="L36" s="292">
        <f>SUM(白银!L36,酒一!L36,酒二!L36,青海!L36,哈密!L36,吐鲁番!L36,敦煌!L36,格尔木!L36,石嘴山!L36)</f>
        <v>0</v>
      </c>
      <c r="M36" s="292">
        <f>SUM(白银!M36,酒一!M36,酒二!M36,青海!M36,哈密!M36,吐鲁番!M36,敦煌!M36,格尔木!M36,石嘴山!M36)</f>
        <v>0</v>
      </c>
      <c r="N36" s="292">
        <f>SUM(白银!N36,酒一!N36,酒二!N36,青海!N36,哈密!N36,吐鲁番!N36,敦煌!N36,格尔木!N36,石嘴山!N36)</f>
        <v>0</v>
      </c>
      <c r="O36" s="292">
        <f t="shared" si="0"/>
        <v>4354.4759669999885</v>
      </c>
    </row>
    <row r="37" spans="1:18" x14ac:dyDescent="0.15">
      <c r="A37" s="291" t="s">
        <v>49</v>
      </c>
      <c r="B37" s="292">
        <f>SUM(白银!B37,酒一!B37,酒二!B37,青海!B37,哈密!B37,吐鲁番!B37,敦煌!B37,格尔木!B37,石嘴山!B37)</f>
        <v>0</v>
      </c>
      <c r="C37" s="364">
        <f>SUM(白银!C37,酒一!C37,酒二!C37,青海!C37,哈密!C37,吐鲁番!C37,敦煌!C37,格尔木!C37,石嘴山!C37)</f>
        <v>0</v>
      </c>
      <c r="D37" s="292">
        <f>SUM(白银!D37,酒一!D37,酒二!D37,青海!D37,哈密!D37,吐鲁番!D37,敦煌!D37,格尔木!D37,石嘴山!D37)</f>
        <v>5.6410260000000001</v>
      </c>
      <c r="E37" s="292">
        <f>SUM(白银!E37,酒一!E37,酒二!E37,青海!E37,哈密!E37,吐鲁番!E37,敦煌!E37,格尔木!E37,石嘴山!E37)</f>
        <v>0</v>
      </c>
      <c r="F37" s="292">
        <f>SUM(白银!F37,酒一!F37,酒二!F37,青海!F37,哈密!F37,吐鲁番!F37,敦煌!F37,格尔木!F37,石嘴山!F37)</f>
        <v>0.31452999999999998</v>
      </c>
      <c r="G37" s="292">
        <f>SUM(白银!G37,酒一!G37,酒二!G37,青海!G37,哈密!G37,吐鲁番!G37,敦煌!G37,格尔木!G37,石嘴山!G37)</f>
        <v>0</v>
      </c>
      <c r="H37" s="292">
        <f>SUM(白银!H37,酒一!H37,酒二!H37,青海!H37,哈密!H37,吐鲁番!H37,敦煌!H37,格尔木!H37,石嘴山!H37)</f>
        <v>0</v>
      </c>
      <c r="I37" s="292">
        <f>SUM(白银!I37,酒一!I37,酒二!I37,青海!I37,哈密!I37,吐鲁番!I37,敦煌!I37,格尔木!I37,石嘴山!I37)</f>
        <v>0</v>
      </c>
      <c r="J37" s="292">
        <f>SUM(白银!J37,酒一!J37,酒二!J37,青海!J37,哈密!J37,吐鲁番!J37,敦煌!J37,格尔木!J37,石嘴山!J37)</f>
        <v>0</v>
      </c>
      <c r="K37" s="292">
        <f>SUM(白银!K37,酒一!K37,酒二!K37,青海!K37,哈密!K37,吐鲁番!K37,敦煌!K37,格尔木!K37,石嘴山!K37)</f>
        <v>0</v>
      </c>
      <c r="L37" s="292">
        <f>SUM(白银!L37,酒一!L37,酒二!L37,青海!L37,哈密!L37,吐鲁番!L37,敦煌!L37,格尔木!L37,石嘴山!L37)</f>
        <v>0</v>
      </c>
      <c r="M37" s="292">
        <f>SUM(白银!M37,酒一!M37,酒二!M37,青海!M37,哈密!M37,吐鲁番!M37,敦煌!M37,格尔木!M37,石嘴山!M37)</f>
        <v>0</v>
      </c>
      <c r="N37" s="292">
        <f>SUM(白银!N37,酒一!N37,酒二!N37,青海!N37,哈密!N37,吐鲁番!N37,敦煌!N37,格尔木!N37,石嘴山!N37)</f>
        <v>0</v>
      </c>
      <c r="O37" s="292">
        <f t="shared" si="0"/>
        <v>5.9555559999999996</v>
      </c>
    </row>
    <row r="38" spans="1:18" hidden="1" x14ac:dyDescent="0.15">
      <c r="A38" s="291" t="s">
        <v>50</v>
      </c>
      <c r="B38" s="292">
        <f>SUM(白银!B38,酒一!B38,酒二!B38,青海!B38,哈密!B38,吐鲁番!B38,敦煌!B38,格尔木!B38,石嘴山!B38)</f>
        <v>0</v>
      </c>
      <c r="C38" s="364">
        <f>SUM(白银!C38,酒一!C38,酒二!C38,青海!C38,哈密!C38,吐鲁番!C38,敦煌!C38,格尔木!C38,石嘴山!C38)</f>
        <v>0</v>
      </c>
      <c r="D38" s="292">
        <f>SUM(白银!D38,酒一!D38,酒二!D38,青海!D38,哈密!D38,吐鲁番!D38,敦煌!D38,格尔木!D38,石嘴山!D38)</f>
        <v>0</v>
      </c>
      <c r="E38" s="292">
        <f>SUM(白银!E38,酒一!E38,酒二!E38,青海!E38,哈密!E38,吐鲁番!E38,敦煌!E38,格尔木!E38,石嘴山!E38)</f>
        <v>0</v>
      </c>
      <c r="F38" s="292">
        <f>SUM(白银!F38,酒一!F38,酒二!F38,青海!F38,哈密!F38,吐鲁番!F38,敦煌!F38,格尔木!F38,石嘴山!F38)</f>
        <v>0</v>
      </c>
      <c r="G38" s="292">
        <f>SUM(白银!G38,酒一!G38,酒二!G38,青海!G38,哈密!G38,吐鲁番!G38,敦煌!G38,格尔木!G38,石嘴山!G38)</f>
        <v>0</v>
      </c>
      <c r="H38" s="292">
        <f>SUM(白银!H38,酒一!H38,酒二!H38,青海!H38,哈密!H38,吐鲁番!H38,敦煌!H38,格尔木!H38,石嘴山!H38)</f>
        <v>0</v>
      </c>
      <c r="I38" s="292">
        <f>SUM(白银!I38,酒一!I38,酒二!I38,青海!I38,哈密!I38,吐鲁番!I38,敦煌!I38,格尔木!I38,石嘴山!I38)</f>
        <v>0</v>
      </c>
      <c r="J38" s="292">
        <f>SUM(白银!J38,酒一!J38,酒二!J38,青海!J38,哈密!J38,吐鲁番!J38,敦煌!J38,格尔木!J38,石嘴山!J38)</f>
        <v>0</v>
      </c>
      <c r="K38" s="292">
        <f>SUM(白银!K38,酒一!K38,酒二!K38,青海!K38,哈密!K38,吐鲁番!K38,敦煌!K38,格尔木!K38,石嘴山!K38)</f>
        <v>0</v>
      </c>
      <c r="L38" s="292">
        <f>SUM(白银!L38,酒一!L38,酒二!L38,青海!L38,哈密!L38,吐鲁番!L38,敦煌!L38,格尔木!L38,石嘴山!L38)</f>
        <v>0</v>
      </c>
      <c r="M38" s="292">
        <f>SUM(白银!M38,酒一!M38,酒二!M38,青海!M38,哈密!M38,吐鲁番!M38,敦煌!M38,格尔木!M38,石嘴山!M38)</f>
        <v>0</v>
      </c>
      <c r="N38" s="292">
        <f>SUM(白银!N38,酒一!N38,酒二!N38,青海!N38,哈密!N38,吐鲁番!N38,敦煌!N38,格尔木!N38,石嘴山!N38)</f>
        <v>0</v>
      </c>
      <c r="O38" s="292">
        <f t="shared" si="0"/>
        <v>0</v>
      </c>
    </row>
    <row r="39" spans="1:18" hidden="1" x14ac:dyDescent="0.15">
      <c r="A39" s="291" t="s">
        <v>51</v>
      </c>
      <c r="B39" s="292">
        <f>SUM(白银!B39,酒一!B39,酒二!B39,青海!B39,哈密!B39,吐鲁番!B39,敦煌!B39,格尔木!B39,石嘴山!B39)</f>
        <v>0</v>
      </c>
      <c r="C39" s="364">
        <f>SUM(白银!C39,酒一!C39,酒二!C39,青海!C39,哈密!C39,吐鲁番!C39,敦煌!C39,格尔木!C39,石嘴山!C39)</f>
        <v>0</v>
      </c>
      <c r="D39" s="292">
        <f>SUM(白银!D39,酒一!D39,酒二!D39,青海!D39,哈密!D39,吐鲁番!D39,敦煌!D39,格尔木!D39,石嘴山!D39)</f>
        <v>0</v>
      </c>
      <c r="E39" s="292">
        <f>SUM(白银!E39,酒一!E39,酒二!E39,青海!E39,哈密!E39,吐鲁番!E39,敦煌!E39,格尔木!E39,石嘴山!E39)</f>
        <v>0</v>
      </c>
      <c r="F39" s="292">
        <f>SUM(白银!F39,酒一!F39,酒二!F39,青海!F39,哈密!F39,吐鲁番!F39,敦煌!F39,格尔木!F39,石嘴山!F39)</f>
        <v>0</v>
      </c>
      <c r="G39" s="292">
        <f>SUM(白银!G39,酒一!G39,酒二!G39,青海!G39,哈密!G39,吐鲁番!G39,敦煌!G39,格尔木!G39,石嘴山!G39)</f>
        <v>0</v>
      </c>
      <c r="H39" s="292">
        <f>SUM(白银!H39,酒一!H39,酒二!H39,青海!H39,哈密!H39,吐鲁番!H39,敦煌!H39,格尔木!H39,石嘴山!H39)</f>
        <v>0</v>
      </c>
      <c r="I39" s="292">
        <f>SUM(白银!I39,酒一!I39,酒二!I39,青海!I39,哈密!I39,吐鲁番!I39,敦煌!I39,格尔木!I39,石嘴山!I39)</f>
        <v>0</v>
      </c>
      <c r="J39" s="292">
        <f>SUM(白银!J39,酒一!J39,酒二!J39,青海!J39,哈密!J39,吐鲁番!J39,敦煌!J39,格尔木!J39,石嘴山!J39)</f>
        <v>0</v>
      </c>
      <c r="K39" s="292">
        <f>SUM(白银!K39,酒一!K39,酒二!K39,青海!K39,哈密!K39,吐鲁番!K39,敦煌!K39,格尔木!K39,石嘴山!K39)</f>
        <v>0</v>
      </c>
      <c r="L39" s="292">
        <f>SUM(白银!L39,酒一!L39,酒二!L39,青海!L39,哈密!L39,吐鲁番!L39,敦煌!L39,格尔木!L39,石嘴山!L39)</f>
        <v>0</v>
      </c>
      <c r="M39" s="292">
        <f>SUM(白银!M39,酒一!M39,酒二!M39,青海!M39,哈密!M39,吐鲁番!M39,敦煌!M39,格尔木!M39,石嘴山!M39)</f>
        <v>0</v>
      </c>
      <c r="N39" s="292">
        <f>SUM(白银!N39,酒一!N39,酒二!N39,青海!N39,哈密!N39,吐鲁番!N39,敦煌!N39,格尔木!N39,石嘴山!N39)</f>
        <v>0</v>
      </c>
      <c r="O39" s="292">
        <f t="shared" si="0"/>
        <v>0</v>
      </c>
    </row>
    <row r="40" spans="1:18" hidden="1" x14ac:dyDescent="0.15">
      <c r="A40" s="291" t="s">
        <v>52</v>
      </c>
      <c r="B40" s="292">
        <f>SUM(白银!B40,酒一!B40,酒二!B40,青海!B40,哈密!B40,吐鲁番!B40,敦煌!B40,格尔木!B40,石嘴山!B40)</f>
        <v>0</v>
      </c>
      <c r="C40" s="364">
        <f>SUM(白银!C40,酒一!C40,酒二!C40,青海!C40,哈密!C40,吐鲁番!C40,敦煌!C40,格尔木!C40,石嘴山!C40)</f>
        <v>0</v>
      </c>
      <c r="D40" s="292">
        <f>SUM(白银!D40,酒一!D40,酒二!D40,青海!D40,哈密!D40,吐鲁番!D40,敦煌!D40,格尔木!D40,石嘴山!D40)</f>
        <v>0</v>
      </c>
      <c r="E40" s="292">
        <f>SUM(白银!E40,酒一!E40,酒二!E40,青海!E40,哈密!E40,吐鲁番!E40,敦煌!E40,格尔木!E40,石嘴山!E40)</f>
        <v>0</v>
      </c>
      <c r="F40" s="292">
        <f>SUM(白银!F40,酒一!F40,酒二!F40,青海!F40,哈密!F40,吐鲁番!F40,敦煌!F40,格尔木!F40,石嘴山!F40)</f>
        <v>0</v>
      </c>
      <c r="G40" s="292">
        <f>SUM(白银!G40,酒一!G40,酒二!G40,青海!G40,哈密!G40,吐鲁番!G40,敦煌!G40,格尔木!G40,石嘴山!G40)</f>
        <v>0</v>
      </c>
      <c r="H40" s="292">
        <f>SUM(白银!H40,酒一!H40,酒二!H40,青海!H40,哈密!H40,吐鲁番!H40,敦煌!H40,格尔木!H40,石嘴山!H40)</f>
        <v>0</v>
      </c>
      <c r="I40" s="292">
        <f>SUM(白银!I40,酒一!I40,酒二!I40,青海!I40,哈密!I40,吐鲁番!I40,敦煌!I40,格尔木!I40,石嘴山!I40)</f>
        <v>0</v>
      </c>
      <c r="J40" s="292">
        <f>SUM(白银!J40,酒一!J40,酒二!J40,青海!J40,哈密!J40,吐鲁番!J40,敦煌!J40,格尔木!J40,石嘴山!J40)</f>
        <v>0</v>
      </c>
      <c r="K40" s="292">
        <f>SUM(白银!K40,酒一!K40,酒二!K40,青海!K40,哈密!K40,吐鲁番!K40,敦煌!K40,格尔木!K40,石嘴山!K40)</f>
        <v>0</v>
      </c>
      <c r="L40" s="292">
        <f>SUM(白银!L40,酒一!L40,酒二!L40,青海!L40,哈密!L40,吐鲁番!L40,敦煌!L40,格尔木!L40,石嘴山!L40)</f>
        <v>0</v>
      </c>
      <c r="M40" s="292">
        <f>SUM(白银!M40,酒一!M40,酒二!M40,青海!M40,哈密!M40,吐鲁番!M40,敦煌!M40,格尔木!M40,石嘴山!M40)</f>
        <v>0</v>
      </c>
      <c r="N40" s="292">
        <f>SUM(白银!N40,酒一!N40,酒二!N40,青海!N40,哈密!N40,吐鲁番!N40,敦煌!N40,格尔木!N40,石嘴山!N40)</f>
        <v>0</v>
      </c>
      <c r="O40" s="292">
        <f t="shared" si="0"/>
        <v>0</v>
      </c>
    </row>
    <row r="41" spans="1:18" hidden="1" x14ac:dyDescent="0.15">
      <c r="A41" s="291" t="s">
        <v>53</v>
      </c>
      <c r="B41" s="292">
        <f>SUM(白银!B41,酒一!B41,酒二!B41,青海!B41,哈密!B41,吐鲁番!B41,敦煌!B41,格尔木!B41,石嘴山!B41)</f>
        <v>0</v>
      </c>
      <c r="C41" s="364">
        <f>SUM(白银!C41,酒一!C41,酒二!C41,青海!C41,哈密!C41,吐鲁番!C41,敦煌!C41,格尔木!C41,石嘴山!C41)</f>
        <v>0</v>
      </c>
      <c r="D41" s="292">
        <f>SUM(白银!D41,酒一!D41,酒二!D41,青海!D41,哈密!D41,吐鲁番!D41,敦煌!D41,格尔木!D41,石嘴山!D41)</f>
        <v>0</v>
      </c>
      <c r="E41" s="292">
        <f>SUM(白银!E41,酒一!E41,酒二!E41,青海!E41,哈密!E41,吐鲁番!E41,敦煌!E41,格尔木!E41,石嘴山!E41)</f>
        <v>0</v>
      </c>
      <c r="F41" s="292">
        <f>SUM(白银!F41,酒一!F41,酒二!F41,青海!F41,哈密!F41,吐鲁番!F41,敦煌!F41,格尔木!F41,石嘴山!F41)</f>
        <v>0</v>
      </c>
      <c r="G41" s="292">
        <f>SUM(白银!G41,酒一!G41,酒二!G41,青海!G41,哈密!G41,吐鲁番!G41,敦煌!G41,格尔木!G41,石嘴山!G41)</f>
        <v>0</v>
      </c>
      <c r="H41" s="292">
        <f>SUM(白银!H41,酒一!H41,酒二!H41,青海!H41,哈密!H41,吐鲁番!H41,敦煌!H41,格尔木!H41,石嘴山!H41)</f>
        <v>0</v>
      </c>
      <c r="I41" s="292">
        <f>SUM(白银!I41,酒一!I41,酒二!I41,青海!I41,哈密!I41,吐鲁番!I41,敦煌!I41,格尔木!I41,石嘴山!I41)</f>
        <v>0</v>
      </c>
      <c r="J41" s="292">
        <f>SUM(白银!J41,酒一!J41,酒二!J41,青海!J41,哈密!J41,吐鲁番!J41,敦煌!J41,格尔木!J41,石嘴山!J41)</f>
        <v>0</v>
      </c>
      <c r="K41" s="292">
        <f>SUM(白银!K41,酒一!K41,酒二!K41,青海!K41,哈密!K41,吐鲁番!K41,敦煌!K41,格尔木!K41,石嘴山!K41)</f>
        <v>0</v>
      </c>
      <c r="L41" s="292">
        <f>SUM(白银!L41,酒一!L41,酒二!L41,青海!L41,哈密!L41,吐鲁番!L41,敦煌!L41,格尔木!L41,石嘴山!L41)</f>
        <v>0</v>
      </c>
      <c r="M41" s="292">
        <f>SUM(白银!M41,酒一!M41,酒二!M41,青海!M41,哈密!M41,吐鲁番!M41,敦煌!M41,格尔木!M41,石嘴山!M41)</f>
        <v>0</v>
      </c>
      <c r="N41" s="292">
        <f>SUM(白银!N41,酒一!N41,酒二!N41,青海!N41,哈密!N41,吐鲁番!N41,敦煌!N41,格尔木!N41,石嘴山!N41)</f>
        <v>0</v>
      </c>
      <c r="O41" s="292">
        <f t="shared" si="0"/>
        <v>0</v>
      </c>
    </row>
    <row r="42" spans="1:18" x14ac:dyDescent="0.15">
      <c r="A42" s="291" t="s">
        <v>54</v>
      </c>
      <c r="B42" s="292">
        <f>SUM(白银!B42,酒一!B42,酒二!B42,青海!B42,哈密!B42,吐鲁番!B42,敦煌!B42,格尔木!B42,石嘴山!B42)</f>
        <v>28</v>
      </c>
      <c r="C42" s="364">
        <f>SUM(白银!C42,酒一!C42,酒二!C42,青海!C42,哈密!C42,吐鲁番!C42,敦煌!C42,格尔木!C42,石嘴山!C42)</f>
        <v>0</v>
      </c>
      <c r="D42" s="292">
        <f>SUM(白银!D42,酒一!D42,酒二!D42,青海!D42,哈密!D42,吐鲁番!D42,敦煌!D42,格尔木!D42,石嘴山!D42)</f>
        <v>0</v>
      </c>
      <c r="E42" s="292">
        <f>SUM(白银!E42,酒一!E42,酒二!E42,青海!E42,哈密!E42,吐鲁番!E42,敦煌!E42,格尔木!E42,石嘴山!E42)</f>
        <v>0</v>
      </c>
      <c r="F42" s="292">
        <f>SUM(白银!F42,酒一!F42,酒二!F42,青海!F42,哈密!F42,吐鲁番!F42,敦煌!F42,格尔木!F42,石嘴山!F42)</f>
        <v>0</v>
      </c>
      <c r="G42" s="292">
        <f>SUM(白银!G42,酒一!G42,酒二!G42,青海!G42,哈密!G42,吐鲁番!G42,敦煌!G42,格尔木!G42,石嘴山!G42)</f>
        <v>0</v>
      </c>
      <c r="H42" s="292">
        <f>SUM(白银!H42,酒一!H42,酒二!H42,青海!H42,哈密!H42,吐鲁番!H42,敦煌!H42,格尔木!H42,石嘴山!H42)</f>
        <v>0</v>
      </c>
      <c r="I42" s="292">
        <f>SUM(白银!I42,酒一!I42,酒二!I42,青海!I42,哈密!I42,吐鲁番!I42,敦煌!I42,格尔木!I42,石嘴山!I42)</f>
        <v>0</v>
      </c>
      <c r="J42" s="292">
        <f>SUM(白银!J42,酒一!J42,酒二!J42,青海!J42,哈密!J42,吐鲁番!J42,敦煌!J42,格尔木!J42,石嘴山!J42)</f>
        <v>0</v>
      </c>
      <c r="K42" s="292">
        <f>SUM(白银!K42,酒一!K42,酒二!K42,青海!K42,哈密!K42,吐鲁番!K42,敦煌!K42,格尔木!K42,石嘴山!K42)</f>
        <v>0</v>
      </c>
      <c r="L42" s="292">
        <f>SUM(白银!L42,酒一!L42,酒二!L42,青海!L42,哈密!L42,吐鲁番!L42,敦煌!L42,格尔木!L42,石嘴山!L42)</f>
        <v>0</v>
      </c>
      <c r="M42" s="292">
        <f>SUM(白银!M42,酒一!M42,酒二!M42,青海!M42,哈密!M42,吐鲁番!M42,敦煌!M42,格尔木!M42,石嘴山!M42)</f>
        <v>0</v>
      </c>
      <c r="N42" s="292">
        <f>SUM(白银!N42,酒一!N42,酒二!N42,青海!N42,哈密!N42,吐鲁番!N42,敦煌!N42,格尔木!N42,石嘴山!N42)</f>
        <v>0</v>
      </c>
      <c r="O42" s="292">
        <f t="shared" si="0"/>
        <v>0</v>
      </c>
    </row>
    <row r="43" spans="1:18" hidden="1" x14ac:dyDescent="0.15">
      <c r="A43" s="291" t="s">
        <v>55</v>
      </c>
      <c r="B43" s="292">
        <f>SUM(白银!B43,酒一!B43,酒二!B43,青海!B43,哈密!B43,吐鲁番!B43,敦煌!B43,格尔木!B43,石嘴山!B43)</f>
        <v>0</v>
      </c>
      <c r="C43" s="364">
        <f>SUM(白银!C43,酒一!C43,酒二!C43,青海!C43,哈密!C43,吐鲁番!C43,敦煌!C43,格尔木!C43,石嘴山!C43)</f>
        <v>0</v>
      </c>
      <c r="D43" s="292">
        <f>SUM(白银!D43,酒一!D43,酒二!D43,青海!D43,哈密!D43,吐鲁番!D43,敦煌!D43,格尔木!D43,石嘴山!D43)</f>
        <v>0</v>
      </c>
      <c r="E43" s="292">
        <f>SUM(白银!E43,酒一!E43,酒二!E43,青海!E43,哈密!E43,吐鲁番!E43,敦煌!E43,格尔木!E43,石嘴山!E43)</f>
        <v>0</v>
      </c>
      <c r="F43" s="292">
        <f>SUM(白银!F43,酒一!F43,酒二!F43,青海!F43,哈密!F43,吐鲁番!F43,敦煌!F43,格尔木!F43,石嘴山!F43)</f>
        <v>0</v>
      </c>
      <c r="G43" s="292">
        <f>SUM(白银!G43,酒一!G43,酒二!G43,青海!G43,哈密!G43,吐鲁番!G43,敦煌!G43,格尔木!G43,石嘴山!G43)</f>
        <v>0</v>
      </c>
      <c r="H43" s="292">
        <f>SUM(白银!H43,酒一!H43,酒二!H43,青海!H43,哈密!H43,吐鲁番!H43,敦煌!H43,格尔木!H43,石嘴山!H43)</f>
        <v>0</v>
      </c>
      <c r="I43" s="292">
        <f>SUM(白银!I43,酒一!I43,酒二!I43,青海!I43,哈密!I43,吐鲁番!I43,敦煌!I43,格尔木!I43,石嘴山!I43)</f>
        <v>0</v>
      </c>
      <c r="J43" s="292">
        <f>SUM(白银!J43,酒一!J43,酒二!J43,青海!J43,哈密!J43,吐鲁番!J43,敦煌!J43,格尔木!J43,石嘴山!J43)</f>
        <v>0</v>
      </c>
      <c r="K43" s="292">
        <f>SUM(白银!K43,酒一!K43,酒二!K43,青海!K43,哈密!K43,吐鲁番!K43,敦煌!K43,格尔木!K43,石嘴山!K43)</f>
        <v>0</v>
      </c>
      <c r="L43" s="292">
        <f>SUM(白银!L43,酒一!L43,酒二!L43,青海!L43,哈密!L43,吐鲁番!L43,敦煌!L43,格尔木!L43,石嘴山!L43)</f>
        <v>0</v>
      </c>
      <c r="M43" s="292">
        <f>SUM(白银!M43,酒一!M43,酒二!M43,青海!M43,哈密!M43,吐鲁番!M43,敦煌!M43,格尔木!M43,石嘴山!M43)</f>
        <v>0</v>
      </c>
      <c r="N43" s="292">
        <f>SUM(白银!N43,酒一!N43,酒二!N43,青海!N43,哈密!N43,吐鲁番!N43,敦煌!N43,格尔木!N43,石嘴山!N43)</f>
        <v>0</v>
      </c>
      <c r="O43" s="292">
        <f t="shared" si="0"/>
        <v>0</v>
      </c>
    </row>
    <row r="44" spans="1:18" hidden="1" x14ac:dyDescent="0.15">
      <c r="A44" s="291" t="s">
        <v>56</v>
      </c>
      <c r="B44" s="292">
        <f>SUM(白银!B44,酒一!B44,酒二!B44,青海!B44,哈密!B44,吐鲁番!B44,敦煌!B44,格尔木!B44,石嘴山!B44)</f>
        <v>0</v>
      </c>
      <c r="C44" s="365">
        <f>SUM(白银!C44,酒一!C44,酒二!C44,青海!C44,哈密!C44,吐鲁番!C44,敦煌!C44,格尔木!C44,石嘴山!C44)</f>
        <v>0</v>
      </c>
      <c r="D44" s="328">
        <f>SUM(白银!D44,酒一!D44,酒二!D44,青海!D44,哈密!D44,吐鲁番!D44,敦煌!D44,格尔木!D44,石嘴山!D44)</f>
        <v>0</v>
      </c>
      <c r="E44" s="293">
        <f>SUM(白银!E44,酒一!E44,酒二!E44,青海!E44,哈密!E44,吐鲁番!E44,敦煌!E44,格尔木!E44,石嘴山!E44)</f>
        <v>0</v>
      </c>
      <c r="F44" s="293">
        <f>SUM(白银!F44,酒一!F44,酒二!F44,青海!F44,哈密!F44,吐鲁番!F44,敦煌!F44,格尔木!F44,石嘴山!F44)</f>
        <v>0</v>
      </c>
      <c r="G44" s="293">
        <f>SUM(白银!G44,酒一!G44,酒二!G44,青海!G44,哈密!G44,吐鲁番!G44,敦煌!G44,格尔木!G44,石嘴山!G44)</f>
        <v>0</v>
      </c>
      <c r="H44" s="293">
        <f>SUM(白银!H44,酒一!H44,酒二!H44,青海!H44,哈密!H44,吐鲁番!H44,敦煌!H44,格尔木!H44,石嘴山!H44)</f>
        <v>0</v>
      </c>
      <c r="I44" s="293">
        <f>SUM(白银!I44,酒一!I44,酒二!I44,青海!I44,哈密!I44,吐鲁番!I44,敦煌!I44,格尔木!I44,石嘴山!I44)</f>
        <v>0</v>
      </c>
      <c r="J44" s="293">
        <f>SUM(白银!J44,酒一!J44,酒二!J44,青海!J44,哈密!J44,吐鲁番!J44,敦煌!J44,格尔木!J44,石嘴山!J44)</f>
        <v>0</v>
      </c>
      <c r="K44" s="293">
        <f>SUM(白银!K44,酒一!K44,酒二!K44,青海!K44,哈密!K44,吐鲁番!K44,敦煌!K44,格尔木!K44,石嘴山!K44)</f>
        <v>0</v>
      </c>
      <c r="L44" s="293">
        <f>SUM(白银!L44,酒一!L44,酒二!L44,青海!L44,哈密!L44,吐鲁番!L44,敦煌!L44,格尔木!L44,石嘴山!L44)</f>
        <v>0</v>
      </c>
      <c r="M44" s="293">
        <f>SUM(白银!M44,酒一!M44,酒二!M44,青海!M44,哈密!M44,吐鲁番!M44,敦煌!M44,格尔木!M44,石嘴山!M44)</f>
        <v>0</v>
      </c>
      <c r="N44" s="293">
        <f>SUM(白银!N44,酒一!N44,酒二!N44,青海!N44,哈密!N44,吐鲁番!N44,敦煌!N44,格尔木!N44,石嘴山!N44)</f>
        <v>0</v>
      </c>
      <c r="O44" s="293">
        <f t="shared" si="0"/>
        <v>0</v>
      </c>
    </row>
    <row r="45" spans="1:18" hidden="1" x14ac:dyDescent="0.15">
      <c r="A45" s="291" t="s">
        <v>57</v>
      </c>
      <c r="B45" s="292">
        <f>SUM(白银!B45,酒一!B45,酒二!B45,青海!B45,哈密!B45,吐鲁番!B45,敦煌!B45,格尔木!B45,石嘴山!B45)</f>
        <v>0</v>
      </c>
      <c r="C45" s="364">
        <f>SUM(白银!C45,酒一!C45,酒二!C45,青海!C45,哈密!C45,吐鲁番!C45,敦煌!C45,格尔木!C45,石嘴山!C45)</f>
        <v>0</v>
      </c>
      <c r="D45" s="292">
        <f>SUM(白银!D45,酒一!D45,酒二!D45,青海!D45,哈密!D45,吐鲁番!D45,敦煌!D45,格尔木!D45,石嘴山!D45)</f>
        <v>0</v>
      </c>
      <c r="E45" s="292">
        <f>SUM(白银!E45,酒一!E45,酒二!E45,青海!E45,哈密!E45,吐鲁番!E45,敦煌!E45,格尔木!E45,石嘴山!E45)</f>
        <v>0</v>
      </c>
      <c r="F45" s="292">
        <f>SUM(白银!F45,酒一!F45,酒二!F45,青海!F45,哈密!F45,吐鲁番!F45,敦煌!F45,格尔木!F45,石嘴山!F45)</f>
        <v>0</v>
      </c>
      <c r="G45" s="292">
        <f>SUM(白银!G45,酒一!G45,酒二!G45,青海!G45,哈密!G45,吐鲁番!G45,敦煌!G45,格尔木!G45,石嘴山!G45)</f>
        <v>0</v>
      </c>
      <c r="H45" s="292">
        <f>SUM(白银!H45,酒一!H45,酒二!H45,青海!H45,哈密!H45,吐鲁番!H45,敦煌!H45,格尔木!H45,石嘴山!H45)</f>
        <v>0</v>
      </c>
      <c r="I45" s="292">
        <f>SUM(白银!I45,酒一!I45,酒二!I45,青海!I45,哈密!I45,吐鲁番!I45,敦煌!I45,格尔木!I45,石嘴山!I45)</f>
        <v>0</v>
      </c>
      <c r="J45" s="292">
        <f>SUM(白银!J45,酒一!J45,酒二!J45,青海!J45,哈密!J45,吐鲁番!J45,敦煌!J45,格尔木!J45,石嘴山!J45)</f>
        <v>0</v>
      </c>
      <c r="K45" s="292">
        <f>SUM(白银!K45,酒一!K45,酒二!K45,青海!K45,哈密!K45,吐鲁番!K45,敦煌!K45,格尔木!K45,石嘴山!K45)</f>
        <v>0</v>
      </c>
      <c r="L45" s="292">
        <f>SUM(白银!L45,酒一!L45,酒二!L45,青海!L45,哈密!L45,吐鲁番!L45,敦煌!L45,格尔木!L45,石嘴山!L45)</f>
        <v>0</v>
      </c>
      <c r="M45" s="292">
        <f>SUM(白银!M45,酒一!M45,酒二!M45,青海!M45,哈密!M45,吐鲁番!M45,敦煌!M45,格尔木!M45,石嘴山!M45)</f>
        <v>0</v>
      </c>
      <c r="N45" s="292">
        <f>SUM(白银!N45,酒一!N45,酒二!N45,青海!N45,哈密!N45,吐鲁番!N45,敦煌!N45,格尔木!N45,石嘴山!N45)</f>
        <v>0</v>
      </c>
      <c r="O45" s="292">
        <f t="shared" si="0"/>
        <v>0</v>
      </c>
    </row>
    <row r="46" spans="1:18" x14ac:dyDescent="0.15">
      <c r="A46" s="291" t="s">
        <v>58</v>
      </c>
      <c r="B46" s="292">
        <f>SUM(白银!B46,酒一!B46,酒二!B46,青海!B46,哈密!B46,吐鲁番!B46,敦煌!B46,格尔木!B46,石嘴山!B46)</f>
        <v>3756.3545356970394</v>
      </c>
      <c r="C46" s="364">
        <f>SUM(白银!C46,酒一!C46,酒二!C46,青海!C46,哈密!C46,吐鲁番!C46,敦煌!C46,格尔木!C46,石嘴山!C46)</f>
        <v>794.92273999999907</v>
      </c>
      <c r="D46" s="292">
        <f>SUM(白银!D46,酒一!D46,酒二!D46,青海!D46,哈密!D46,吐鲁番!D46,敦煌!D46,格尔木!D46,石嘴山!D46)</f>
        <v>-20.163993000000119</v>
      </c>
      <c r="E46" s="292">
        <f>SUM(白银!E46,酒一!E46,酒二!E46,青海!E46,哈密!E46,吐鲁番!E46,敦煌!E46,格尔木!E46,石嘴山!E46)</f>
        <v>1710.4393479999983</v>
      </c>
      <c r="F46" s="292">
        <f>SUM(白银!F46,酒一!F46,酒二!F46,青海!F46,哈密!F46,吐鲁番!F46,敦煌!F46,格尔木!F46,石嘴山!F46)</f>
        <v>1875.2334279999989</v>
      </c>
      <c r="G46" s="292">
        <f>SUM(白银!G46,酒一!G46,酒二!G46,青海!G46,哈密!G46,吐鲁番!G46,敦煌!G46,格尔木!G46,石嘴山!G46)</f>
        <v>0</v>
      </c>
      <c r="H46" s="292">
        <f>SUM(白银!H46,酒一!H46,酒二!H46,青海!H46,哈密!H46,吐鲁番!H46,敦煌!H46,格尔木!H46,石嘴山!H46)</f>
        <v>0</v>
      </c>
      <c r="I46" s="292">
        <f>SUM(白银!I46,酒一!I46,酒二!I46,青海!I46,哈密!I46,吐鲁番!I46,敦煌!I46,格尔木!I46,石嘴山!I46)</f>
        <v>0</v>
      </c>
      <c r="J46" s="292">
        <f>SUM(白银!J46,酒一!J46,酒二!J46,青海!J46,哈密!J46,吐鲁番!J46,敦煌!J46,格尔木!J46,石嘴山!J46)</f>
        <v>0</v>
      </c>
      <c r="K46" s="292">
        <f>SUM(白银!K46,酒一!K46,酒二!K46,青海!K46,哈密!K46,吐鲁番!K46,敦煌!K46,格尔木!K46,石嘴山!K46)</f>
        <v>0</v>
      </c>
      <c r="L46" s="292">
        <f>SUM(白银!L46,酒一!L46,酒二!L46,青海!L46,哈密!L46,吐鲁番!L46,敦煌!L46,格尔木!L46,石嘴山!L46)</f>
        <v>0</v>
      </c>
      <c r="M46" s="292">
        <f>SUM(白银!M46,酒一!M46,酒二!M46,青海!M46,哈密!M46,吐鲁番!M46,敦煌!M46,格尔木!M46,石嘴山!M46)</f>
        <v>0</v>
      </c>
      <c r="N46" s="292">
        <f>SUM(白银!N46,酒一!N46,酒二!N46,青海!N46,哈密!N46,吐鲁番!N46,敦煌!N46,格尔木!N46,石嘴山!N46)</f>
        <v>0</v>
      </c>
      <c r="O46" s="292">
        <f t="shared" si="0"/>
        <v>4360.4315229999957</v>
      </c>
    </row>
    <row r="47" spans="1:18" x14ac:dyDescent="0.15">
      <c r="A47" s="291" t="s">
        <v>59</v>
      </c>
      <c r="B47" s="292">
        <f>SUM(白银!B47,酒一!B47,酒二!B47,青海!B47,哈密!B47,吐鲁番!B47,敦煌!B47,格尔木!B47,石嘴山!B47)</f>
        <v>0</v>
      </c>
      <c r="C47" s="364">
        <f>SUM(白银!C47,酒一!C47,酒二!C47,青海!C47,哈密!C47,吐鲁番!C47,敦煌!C47,格尔木!C47,石嘴山!C47)</f>
        <v>0</v>
      </c>
      <c r="D47" s="292">
        <f>SUM(白银!D47,酒一!D47,酒二!D47,青海!D47,哈密!D47,吐鲁番!D47,敦煌!D47,格尔木!D47,石嘴山!D47)</f>
        <v>0</v>
      </c>
      <c r="E47" s="292">
        <f>SUM(白银!E47,酒一!E47,酒二!E47,青海!E47,哈密!E47,吐鲁番!E47,敦煌!E47,格尔木!E47,石嘴山!E47)</f>
        <v>212.7826589999998</v>
      </c>
      <c r="F47" s="292">
        <f>SUM(白银!F47,酒一!F47,酒二!F47,青海!F47,哈密!F47,吐鲁番!F47,敦煌!F47,格尔木!F47,石嘴山!F47)</f>
        <v>0</v>
      </c>
      <c r="G47" s="292">
        <f>SUM(白银!G47,酒一!G47,酒二!G47,青海!G47,哈密!G47,吐鲁番!G47,敦煌!G47,格尔木!G47,石嘴山!G47)</f>
        <v>0</v>
      </c>
      <c r="H47" s="292">
        <f>SUM(白银!H47,酒一!H47,酒二!H47,青海!H47,哈密!H47,吐鲁番!H47,敦煌!H47,格尔木!H47,石嘴山!H47)</f>
        <v>0</v>
      </c>
      <c r="I47" s="292">
        <f>SUM(白银!I47,酒一!I47,酒二!I47,青海!I47,哈密!I47,吐鲁番!I47,敦煌!I47,格尔木!I47,石嘴山!I47)</f>
        <v>0</v>
      </c>
      <c r="J47" s="292">
        <f>SUM(白银!J47,酒一!J47,酒二!J47,青海!J47,哈密!J47,吐鲁番!J47,敦煌!J47,格尔木!J47,石嘴山!J47)</f>
        <v>0</v>
      </c>
      <c r="K47" s="292">
        <f>SUM(白银!K47,酒一!K47,酒二!K47,青海!K47,哈密!K47,吐鲁番!K47,敦煌!K47,格尔木!K47,石嘴山!K47)</f>
        <v>0</v>
      </c>
      <c r="L47" s="292">
        <f>SUM(白银!L47,酒一!L47,酒二!L47,青海!L47,哈密!L47,吐鲁番!L47,敦煌!L47,格尔木!L47,石嘴山!L47)</f>
        <v>0</v>
      </c>
      <c r="M47" s="292">
        <f>SUM(白银!M47,酒一!M47,酒二!M47,青海!M47,哈密!M47,吐鲁番!M47,敦煌!M47,格尔木!M47,石嘴山!M47)</f>
        <v>0</v>
      </c>
      <c r="N47" s="292">
        <f>SUM(白银!N47,酒一!N47,酒二!N47,青海!N47,哈密!N47,吐鲁番!N47,敦煌!N47,格尔木!N47,石嘴山!N47)</f>
        <v>0</v>
      </c>
      <c r="O47" s="292">
        <f t="shared" si="0"/>
        <v>212.7826589999998</v>
      </c>
    </row>
    <row r="48" spans="1:18" x14ac:dyDescent="0.15">
      <c r="A48" s="291" t="s">
        <v>60</v>
      </c>
      <c r="B48" s="292">
        <f>SUM(白银!B48,酒一!B48,酒二!B48,青海!B48,哈密!B48,吐鲁番!B48,敦煌!B48,格尔木!B48,石嘴山!B48)</f>
        <v>0</v>
      </c>
      <c r="C48" s="364">
        <f>SUM(白银!C48,酒一!C48,酒二!C48,青海!C48,哈密!C48,吐鲁番!C48,敦煌!C48,格尔木!C48,石嘴山!C48)</f>
        <v>794.92273999999907</v>
      </c>
      <c r="D48" s="292">
        <f>SUM(白银!D48,酒一!D48,酒二!D48,青海!D48,哈密!D48,吐鲁番!D48,敦煌!D48,格尔木!D48,石嘴山!D48)</f>
        <v>-20.163993000000119</v>
      </c>
      <c r="E48" s="292">
        <f>SUM(白银!E48,酒一!E48,酒二!E48,青海!E48,哈密!E48,吐鲁番!E48,敦煌!E48,格尔木!E48,石嘴山!E48)</f>
        <v>1497.6566889999892</v>
      </c>
      <c r="F48" s="292">
        <f>SUM(白银!F48,酒一!F48,酒二!F48,青海!F48,哈密!F48,吐鲁番!F48,敦煌!F48,格尔木!F48,石嘴山!F48)</f>
        <v>1875.233427999998</v>
      </c>
      <c r="G48" s="292">
        <f>SUM(白银!G48,酒一!G48,酒二!G48,青海!G48,哈密!G48,吐鲁番!G48,敦煌!G48,格尔木!G48,石嘴山!G48)</f>
        <v>0</v>
      </c>
      <c r="H48" s="292">
        <f>SUM(白银!H48,酒一!H48,酒二!H48,青海!H48,哈密!H48,吐鲁番!H48,敦煌!H48,格尔木!H48,石嘴山!H48)</f>
        <v>0</v>
      </c>
      <c r="I48" s="292">
        <f>SUM(白银!I48,酒一!I48,酒二!I48,青海!I48,哈密!I48,吐鲁番!I48,敦煌!I48,格尔木!I48,石嘴山!I48)</f>
        <v>0</v>
      </c>
      <c r="J48" s="292">
        <f>SUM(白银!J48,酒一!J48,酒二!J48,青海!J48,哈密!J48,吐鲁番!J48,敦煌!J48,格尔木!J48,石嘴山!J48)</f>
        <v>0</v>
      </c>
      <c r="K48" s="292">
        <f>SUM(白银!K48,酒一!K48,酒二!K48,青海!K48,哈密!K48,吐鲁番!K48,敦煌!K48,格尔木!K48,石嘴山!K48)</f>
        <v>0</v>
      </c>
      <c r="L48" s="292">
        <f>SUM(白银!L48,酒一!L48,酒二!L48,青海!L48,哈密!L48,吐鲁番!L48,敦煌!L48,格尔木!L48,石嘴山!L48)</f>
        <v>0</v>
      </c>
      <c r="M48" s="292">
        <f>SUM(白银!M48,酒一!M48,酒二!M48,青海!M48,哈密!M48,吐鲁番!M48,敦煌!M48,格尔木!M48,石嘴山!M48)</f>
        <v>0</v>
      </c>
      <c r="N48" s="292">
        <f>SUM(白银!N48,酒一!N48,酒二!N48,青海!N48,哈密!N48,吐鲁番!N48,敦煌!N48,格尔木!N48,石嘴山!N48)</f>
        <v>0</v>
      </c>
      <c r="O48" s="292">
        <f t="shared" si="0"/>
        <v>4147.6488639999861</v>
      </c>
    </row>
    <row r="49" spans="1:15" hidden="1" x14ac:dyDescent="0.15">
      <c r="A49" s="291" t="s">
        <v>61</v>
      </c>
      <c r="B49" s="298"/>
      <c r="C49" s="292">
        <f>SUM(白银!C49,酒一!C49,酒二!C49,青海!C49,哈密!C49,吐鲁番!C49,敦煌!C49,格尔木!C49,石嘴山!C49)</f>
        <v>0</v>
      </c>
      <c r="D49" s="292">
        <f>SUM(白银!D49,酒一!D49,酒二!D49,青海!D49,哈密!D49,吐鲁番!D49,敦煌!D49,格尔木!D49,石嘴山!D49)</f>
        <v>0</v>
      </c>
      <c r="E49" s="292">
        <f>SUM(白银!E49,酒一!E49,酒二!E49,青海!E49,哈密!E49,吐鲁番!E49,敦煌!E49,格尔木!E49,石嘴山!E49)</f>
        <v>0</v>
      </c>
      <c r="F49" s="292">
        <f>SUM(白银!F49,酒一!F49,酒二!F49,青海!F49,哈密!F49,吐鲁番!F49,敦煌!F49,格尔木!F49,石嘴山!F49)</f>
        <v>0</v>
      </c>
      <c r="G49" s="292">
        <f>SUM(白银!G49,酒一!G49,酒二!G49,青海!G49,哈密!G49,吐鲁番!G49,敦煌!G49,格尔木!G49,石嘴山!G49)</f>
        <v>0</v>
      </c>
      <c r="H49" s="292">
        <f>SUM(白银!H49,酒一!H49,酒二!H49,青海!H49,哈密!H49,吐鲁番!H49,敦煌!H49,格尔木!H49,石嘴山!H49)</f>
        <v>0</v>
      </c>
      <c r="I49" s="292">
        <f>SUM(白银!I49,酒一!I49,酒二!I49,青海!I49,哈密!I49,吐鲁番!I49,敦煌!I49,格尔木!I49,石嘴山!I49)</f>
        <v>0</v>
      </c>
      <c r="J49" s="292">
        <f>SUM(白银!J49,酒一!J49,酒二!J49,青海!J49,哈密!J49,吐鲁番!J49,敦煌!J49,格尔木!J49,石嘴山!J49)</f>
        <v>0</v>
      </c>
      <c r="K49" s="292">
        <f>SUM(白银!K49,酒一!K49,酒二!K49,青海!K49,哈密!K49,吐鲁番!K49,敦煌!K49,格尔木!K49,石嘴山!K49)</f>
        <v>0</v>
      </c>
      <c r="L49" s="292">
        <f>SUM(白银!L49,酒一!L49,酒二!L49,青海!L49,哈密!L49,吐鲁番!L49,敦煌!L49,格尔木!L49,石嘴山!L49)</f>
        <v>0</v>
      </c>
      <c r="M49" s="292">
        <f>SUM(白银!M49,酒一!M49,酒二!M49,青海!M49,哈密!M49,吐鲁番!M49,敦煌!M49,格尔木!M49,石嘴山!M49)</f>
        <v>0</v>
      </c>
      <c r="N49" s="292">
        <f>SUM(白银!N49,酒一!N49,酒二!N49,青海!N49,哈密!N49,吐鲁番!N49,敦煌!N49,格尔木!N49,石嘴山!N49)</f>
        <v>0</v>
      </c>
      <c r="O49" s="292">
        <f t="shared" si="0"/>
        <v>0</v>
      </c>
    </row>
    <row r="50" spans="1:15" ht="24" hidden="1" x14ac:dyDescent="0.15">
      <c r="A50" s="291" t="s">
        <v>62</v>
      </c>
      <c r="B50" s="298"/>
      <c r="C50" s="292">
        <f>SUM(白银!C50,酒一!C50,酒二!C50,青海!C50,哈密!C50,吐鲁番!C50,敦煌!C50,格尔木!C50,石嘴山!C50)</f>
        <v>794.92273999999895</v>
      </c>
      <c r="D50" s="292">
        <f>SUM(白银!D50,酒一!D50,酒二!D50,青海!D50,哈密!D50,吐鲁番!D50,敦煌!D50,格尔木!D50,石嘴山!D50)</f>
        <v>-20.163993000000232</v>
      </c>
      <c r="E50" s="292">
        <f>SUM(白银!E50,酒一!E50,酒二!E50,青海!E50,哈密!E50,吐鲁番!E50,敦煌!E50,格尔木!E50,石嘴山!E50)</f>
        <v>1497.6566889999883</v>
      </c>
      <c r="F50" s="292">
        <f>SUM(白银!F50,酒一!F50,酒二!F50,青海!F50,哈密!F50,吐鲁番!F50,敦煌!F50,格尔木!F50,石嘴山!F50)</f>
        <v>1875.2334280000009</v>
      </c>
      <c r="G50" s="292">
        <f>SUM(白银!G50,酒一!G50,酒二!G50,青海!G50,哈密!G50,吐鲁番!G50,敦煌!G50,格尔木!G50,石嘴山!G50)</f>
        <v>0</v>
      </c>
      <c r="H50" s="292">
        <f>SUM(白银!H50,酒一!H50,酒二!H50,青海!H50,哈密!H50,吐鲁番!H50,敦煌!H50,格尔木!H50,石嘴山!H50)</f>
        <v>0</v>
      </c>
      <c r="I50" s="292">
        <f>SUM(白银!I50,酒一!I50,酒二!I50,青海!I50,哈密!I50,吐鲁番!I50,敦煌!I50,格尔木!I50,石嘴山!I50)</f>
        <v>0</v>
      </c>
      <c r="J50" s="292">
        <f>SUM(白银!J50,酒一!J50,酒二!J50,青海!J50,哈密!J50,吐鲁番!J50,敦煌!J50,格尔木!J50,石嘴山!J50)</f>
        <v>0</v>
      </c>
      <c r="K50" s="292">
        <f>SUM(白银!K50,酒一!K50,酒二!K50,青海!K50,哈密!K50,吐鲁番!K50,敦煌!K50,格尔木!K50,石嘴山!K50)</f>
        <v>0</v>
      </c>
      <c r="L50" s="292">
        <f>SUM(白银!L50,酒一!L50,酒二!L50,青海!L50,哈密!L50,吐鲁番!L50,敦煌!L50,格尔木!L50,石嘴山!L50)</f>
        <v>0</v>
      </c>
      <c r="M50" s="292">
        <f>SUM(白银!M50,酒一!M50,酒二!M50,青海!M50,哈密!M50,吐鲁番!M50,敦煌!M50,格尔木!M50,石嘴山!M50)</f>
        <v>0</v>
      </c>
      <c r="N50" s="292">
        <f>SUM(白银!N50,酒一!N50,酒二!N50,青海!N50,哈密!N50,吐鲁番!N50,敦煌!N50,格尔木!N50,石嘴山!N50)</f>
        <v>0</v>
      </c>
      <c r="O50" s="292">
        <f t="shared" si="0"/>
        <v>4147.648863999988</v>
      </c>
    </row>
    <row r="51" spans="1:15" hidden="1" x14ac:dyDescent="0.15">
      <c r="A51" s="291" t="s">
        <v>63</v>
      </c>
      <c r="B51" s="298"/>
      <c r="C51" s="292">
        <f>SUM(白银!C51,酒一!C51,酒二!C51,青海!C51,哈密!C51,吐鲁番!C51,敦煌!C51,格尔木!C51,石嘴山!C51)</f>
        <v>0</v>
      </c>
      <c r="D51" s="292">
        <f>SUM(白银!D51,酒一!D51,酒二!D51,青海!D51,哈密!D51,吐鲁番!D51,敦煌!D51,格尔木!D51,石嘴山!D51)</f>
        <v>0</v>
      </c>
      <c r="E51" s="292">
        <f>SUM(白银!E51,酒一!E51,酒二!E51,青海!E51,哈密!E51,吐鲁番!E51,敦煌!E51,格尔木!E51,石嘴山!E51)</f>
        <v>0</v>
      </c>
      <c r="F51" s="292">
        <f>SUM(白银!F51,酒一!F51,酒二!F51,青海!F51,哈密!F51,吐鲁番!F51,敦煌!F51,格尔木!F51,石嘴山!F51)</f>
        <v>0</v>
      </c>
      <c r="G51" s="292">
        <f>SUM(白银!G51,酒一!G51,酒二!G51,青海!G51,哈密!G51,吐鲁番!G51,敦煌!G51,格尔木!G51,石嘴山!G51)</f>
        <v>0</v>
      </c>
      <c r="H51" s="292">
        <f>SUM(白银!H51,酒一!H51,酒二!H51,青海!H51,哈密!H51,吐鲁番!H51,敦煌!H51,格尔木!H51,石嘴山!H51)</f>
        <v>0</v>
      </c>
      <c r="I51" s="292">
        <f>SUM(白银!I51,酒一!I51,酒二!I51,青海!I51,哈密!I51,吐鲁番!I51,敦煌!I51,格尔木!I51,石嘴山!I51)</f>
        <v>0</v>
      </c>
      <c r="J51" s="292">
        <f>SUM(白银!J51,酒一!J51,酒二!J51,青海!J51,哈密!J51,吐鲁番!J51,敦煌!J51,格尔木!J51,石嘴山!J51)</f>
        <v>0</v>
      </c>
      <c r="K51" s="292">
        <f>SUM(白银!K51,酒一!K51,酒二!K51,青海!K51,哈密!K51,吐鲁番!K51,敦煌!K51,格尔木!K51,石嘴山!K51)</f>
        <v>0</v>
      </c>
      <c r="L51" s="292">
        <f>SUM(白银!L51,酒一!L51,酒二!L51,青海!L51,哈密!L51,吐鲁番!L51,敦煌!L51,格尔木!L51,石嘴山!L51)</f>
        <v>0</v>
      </c>
      <c r="M51" s="292">
        <f>SUM(白银!M51,酒一!M51,酒二!M51,青海!M51,哈密!M51,吐鲁番!M51,敦煌!M51,格尔木!M51,石嘴山!M51)</f>
        <v>0</v>
      </c>
      <c r="N51" s="292">
        <f>SUM(白银!N51,酒一!N51,酒二!N51,青海!N51,哈密!N51,吐鲁番!N51,敦煌!N51,格尔木!N51,石嘴山!N51)</f>
        <v>0</v>
      </c>
      <c r="O51" s="292">
        <f t="shared" si="0"/>
        <v>0</v>
      </c>
    </row>
    <row r="52" spans="1:15" ht="24" hidden="1" x14ac:dyDescent="0.15">
      <c r="A52" s="291" t="s">
        <v>64</v>
      </c>
      <c r="B52" s="298"/>
      <c r="C52" s="292">
        <f>SUM(白银!C52,酒一!C52,酒二!C52,青海!C52,哈密!C52,吐鲁番!C52,敦煌!C52,格尔木!C52,石嘴山!C52)</f>
        <v>0</v>
      </c>
      <c r="D52" s="292">
        <f>SUM(白银!D52,酒一!D52,酒二!D52,青海!D52,哈密!D52,吐鲁番!D52,敦煌!D52,格尔木!D52,石嘴山!D52)</f>
        <v>0</v>
      </c>
      <c r="E52" s="292">
        <f>SUM(白银!E52,酒一!E52,酒二!E52,青海!E52,哈密!E52,吐鲁番!E52,敦煌!E52,格尔木!E52,石嘴山!E52)</f>
        <v>0</v>
      </c>
      <c r="F52" s="292">
        <f>SUM(白银!F52,酒一!F52,酒二!F52,青海!F52,哈密!F52,吐鲁番!F52,敦煌!F52,格尔木!F52,石嘴山!F52)</f>
        <v>0</v>
      </c>
      <c r="G52" s="292">
        <f>SUM(白银!G52,酒一!G52,酒二!G52,青海!G52,哈密!G52,吐鲁番!G52,敦煌!G52,格尔木!G52,石嘴山!G52)</f>
        <v>0</v>
      </c>
      <c r="H52" s="292">
        <f>SUM(白银!H52,酒一!H52,酒二!H52,青海!H52,哈密!H52,吐鲁番!H52,敦煌!H52,格尔木!H52,石嘴山!H52)</f>
        <v>0</v>
      </c>
      <c r="I52" s="292">
        <f>SUM(白银!I52,酒一!I52,酒二!I52,青海!I52,哈密!I52,吐鲁番!I52,敦煌!I52,格尔木!I52,石嘴山!I52)</f>
        <v>0</v>
      </c>
      <c r="J52" s="292">
        <f>SUM(白银!J52,酒一!J52,酒二!J52,青海!J52,哈密!J52,吐鲁番!J52,敦煌!J52,格尔木!J52,石嘴山!J52)</f>
        <v>0</v>
      </c>
      <c r="K52" s="292">
        <f>SUM(白银!K52,酒一!K52,酒二!K52,青海!K52,哈密!K52,吐鲁番!K52,敦煌!K52,格尔木!K52,石嘴山!K52)</f>
        <v>0</v>
      </c>
      <c r="L52" s="292">
        <f>SUM(白银!L52,酒一!L52,酒二!L52,青海!L52,哈密!L52,吐鲁番!L52,敦煌!L52,格尔木!L52,石嘴山!L52)</f>
        <v>0</v>
      </c>
      <c r="M52" s="292">
        <f>SUM(白银!M52,酒一!M52,酒二!M52,青海!M52,哈密!M52,吐鲁番!M52,敦煌!M52,格尔木!M52,石嘴山!M52)</f>
        <v>0</v>
      </c>
      <c r="N52" s="292">
        <f>SUM(白银!N52,酒一!N52,酒二!N52,青海!N52,哈密!N52,吐鲁番!N52,敦煌!N52,格尔木!N52,石嘴山!N52)</f>
        <v>0</v>
      </c>
      <c r="O52" s="292">
        <f t="shared" si="0"/>
        <v>0</v>
      </c>
    </row>
    <row r="53" spans="1:15" hidden="1" x14ac:dyDescent="0.15">
      <c r="A53" s="291" t="s">
        <v>65</v>
      </c>
      <c r="B53" s="298"/>
      <c r="C53" s="292">
        <f>SUM(白银!C53,酒一!C53,酒二!C53,青海!C53,哈密!C53,吐鲁番!C53,敦煌!C53,格尔木!C53,石嘴山!C53)</f>
        <v>0</v>
      </c>
      <c r="D53" s="292">
        <f>SUM(白银!D53,酒一!D53,酒二!D53,青海!D53,哈密!D53,吐鲁番!D53,敦煌!D53,格尔木!D53,石嘴山!D53)</f>
        <v>0</v>
      </c>
      <c r="E53" s="292">
        <f>SUM(白银!E53,酒一!E53,酒二!E53,青海!E53,哈密!E53,吐鲁番!E53,敦煌!E53,格尔木!E53,石嘴山!E53)</f>
        <v>0</v>
      </c>
      <c r="F53" s="292">
        <f>SUM(白银!F53,酒一!F53,酒二!F53,青海!F53,哈密!F53,吐鲁番!F53,敦煌!F53,格尔木!F53,石嘴山!F53)</f>
        <v>0</v>
      </c>
      <c r="G53" s="292">
        <f>SUM(白银!G53,酒一!G53,酒二!G53,青海!G53,哈密!G53,吐鲁番!G53,敦煌!G53,格尔木!G53,石嘴山!G53)</f>
        <v>0</v>
      </c>
      <c r="H53" s="292">
        <f>SUM(白银!H53,酒一!H53,酒二!H53,青海!H53,哈密!H53,吐鲁番!H53,敦煌!H53,格尔木!H53,石嘴山!H53)</f>
        <v>0</v>
      </c>
      <c r="I53" s="292">
        <f>SUM(白银!I53,酒一!I53,酒二!I53,青海!I53,哈密!I53,吐鲁番!I53,敦煌!I53,格尔木!I53,石嘴山!I53)</f>
        <v>0</v>
      </c>
      <c r="J53" s="292">
        <f>SUM(白银!J53,酒一!J53,酒二!J53,青海!J53,哈密!J53,吐鲁番!J53,敦煌!J53,格尔木!J53,石嘴山!J53)</f>
        <v>0</v>
      </c>
      <c r="K53" s="292">
        <f>SUM(白银!K53,酒一!K53,酒二!K53,青海!K53,哈密!K53,吐鲁番!K53,敦煌!K53,格尔木!K53,石嘴山!K53)</f>
        <v>0</v>
      </c>
      <c r="L53" s="292">
        <f>SUM(白银!L53,酒一!L53,酒二!L53,青海!L53,哈密!L53,吐鲁番!L53,敦煌!L53,格尔木!L53,石嘴山!L53)</f>
        <v>0</v>
      </c>
      <c r="M53" s="292">
        <f>SUM(白银!M53,酒一!M53,酒二!M53,青海!M53,哈密!M53,吐鲁番!M53,敦煌!M53,格尔木!M53,石嘴山!M53)</f>
        <v>0</v>
      </c>
      <c r="N53" s="292">
        <f>SUM(白银!N53,酒一!N53,酒二!N53,青海!N53,哈密!N53,吐鲁番!N53,敦煌!N53,格尔木!N53,石嘴山!N53)</f>
        <v>0</v>
      </c>
      <c r="O53" s="292">
        <f t="shared" si="0"/>
        <v>0</v>
      </c>
    </row>
    <row r="54" spans="1:15" hidden="1" x14ac:dyDescent="0.15">
      <c r="A54" s="291" t="s">
        <v>66</v>
      </c>
      <c r="B54" s="298"/>
      <c r="C54" s="292">
        <f>SUM(白银!C54,酒一!C54,酒二!C54,青海!C54,哈密!C54,吐鲁番!C54,敦煌!C54,格尔木!C54,石嘴山!C54)</f>
        <v>0</v>
      </c>
      <c r="D54" s="292">
        <f>SUM(白银!D54,酒一!D54,酒二!D54,青海!D54,哈密!D54,吐鲁番!D54,敦煌!D54,格尔木!D54,石嘴山!D54)</f>
        <v>0</v>
      </c>
      <c r="E54" s="292">
        <f>SUM(白银!E54,酒一!E54,酒二!E54,青海!E54,哈密!E54,吐鲁番!E54,敦煌!E54,格尔木!E54,石嘴山!E54)</f>
        <v>0</v>
      </c>
      <c r="F54" s="292">
        <f>SUM(白银!F54,酒一!F54,酒二!F54,青海!F54,哈密!F54,吐鲁番!F54,敦煌!F54,格尔木!F54,石嘴山!F54)</f>
        <v>0</v>
      </c>
      <c r="G54" s="292">
        <f>SUM(白银!G54,酒一!G54,酒二!G54,青海!G54,哈密!G54,吐鲁番!G54,敦煌!G54,格尔木!G54,石嘴山!G54)</f>
        <v>0</v>
      </c>
      <c r="H54" s="292">
        <f>SUM(白银!H54,酒一!H54,酒二!H54,青海!H54,哈密!H54,吐鲁番!H54,敦煌!H54,格尔木!H54,石嘴山!H54)</f>
        <v>0</v>
      </c>
      <c r="I54" s="292">
        <f>SUM(白银!I54,酒一!I54,酒二!I54,青海!I54,哈密!I54,吐鲁番!I54,敦煌!I54,格尔木!I54,石嘴山!I54)</f>
        <v>0</v>
      </c>
      <c r="J54" s="292">
        <f>SUM(白银!J54,酒一!J54,酒二!J54,青海!J54,哈密!J54,吐鲁番!J54,敦煌!J54,格尔木!J54,石嘴山!J54)</f>
        <v>0</v>
      </c>
      <c r="K54" s="292">
        <f>SUM(白银!K54,酒一!K54,酒二!K54,青海!K54,哈密!K54,吐鲁番!K54,敦煌!K54,格尔木!K54,石嘴山!K54)</f>
        <v>0</v>
      </c>
      <c r="L54" s="292">
        <f>SUM(白银!L54,酒一!L54,酒二!L54,青海!L54,哈密!L54,吐鲁番!L54,敦煌!L54,格尔木!L54,石嘴山!L54)</f>
        <v>0</v>
      </c>
      <c r="M54" s="292">
        <f>SUM(白银!M54,酒一!M54,酒二!M54,青海!M54,哈密!M54,吐鲁番!M54,敦煌!M54,格尔木!M54,石嘴山!M54)</f>
        <v>0</v>
      </c>
      <c r="N54" s="292">
        <f>SUM(白银!N54,酒一!N54,酒二!N54,青海!N54,哈密!N54,吐鲁番!N54,敦煌!N54,格尔木!N54,石嘴山!N54)</f>
        <v>0</v>
      </c>
      <c r="O54" s="292">
        <f t="shared" si="0"/>
        <v>0</v>
      </c>
    </row>
    <row r="55" spans="1:15" hidden="1" x14ac:dyDescent="0.15">
      <c r="A55" s="291" t="s">
        <v>67</v>
      </c>
      <c r="B55" s="298"/>
      <c r="C55" s="292">
        <f>SUM(白银!C55,酒一!C55,酒二!C55,青海!C55,哈密!C55,吐鲁番!C55,敦煌!C55,格尔木!C55,石嘴山!C55)</f>
        <v>0</v>
      </c>
      <c r="D55" s="292">
        <f>SUM(白银!D55,酒一!D55,酒二!D55,青海!D55,哈密!D55,吐鲁番!D55,敦煌!D55,格尔木!D55,石嘴山!D55)</f>
        <v>0</v>
      </c>
      <c r="E55" s="292">
        <f>SUM(白银!E55,酒一!E55,酒二!E55,青海!E55,哈密!E55,吐鲁番!E55,敦煌!E55,格尔木!E55,石嘴山!E55)</f>
        <v>0</v>
      </c>
      <c r="F55" s="292">
        <f>SUM(白银!F55,酒一!F55,酒二!F55,青海!F55,哈密!F55,吐鲁番!F55,敦煌!F55,格尔木!F55,石嘴山!F55)</f>
        <v>0</v>
      </c>
      <c r="G55" s="292">
        <f>SUM(白银!G55,酒一!G55,酒二!G55,青海!G55,哈密!G55,吐鲁番!G55,敦煌!G55,格尔木!G55,石嘴山!G55)</f>
        <v>0</v>
      </c>
      <c r="H55" s="292">
        <f>SUM(白银!H55,酒一!H55,酒二!H55,青海!H55,哈密!H55,吐鲁番!H55,敦煌!H55,格尔木!H55,石嘴山!H55)</f>
        <v>0</v>
      </c>
      <c r="I55" s="292">
        <f>SUM(白银!I55,酒一!I55,酒二!I55,青海!I55,哈密!I55,吐鲁番!I55,敦煌!I55,格尔木!I55,石嘴山!I55)</f>
        <v>0</v>
      </c>
      <c r="J55" s="292">
        <f>SUM(白银!J55,酒一!J55,酒二!J55,青海!J55,哈密!J55,吐鲁番!J55,敦煌!J55,格尔木!J55,石嘴山!J55)</f>
        <v>0</v>
      </c>
      <c r="K55" s="292">
        <f>SUM(白银!K55,酒一!K55,酒二!K55,青海!K55,哈密!K55,吐鲁番!K55,敦煌!K55,格尔木!K55,石嘴山!K55)</f>
        <v>0</v>
      </c>
      <c r="L55" s="292">
        <f>SUM(白银!L55,酒一!L55,酒二!L55,青海!L55,哈密!L55,吐鲁番!L55,敦煌!L55,格尔木!L55,石嘴山!L55)</f>
        <v>0</v>
      </c>
      <c r="M55" s="292">
        <f>SUM(白银!M55,酒一!M55,酒二!M55,青海!M55,哈密!M55,吐鲁番!M55,敦煌!M55,格尔木!M55,石嘴山!M55)</f>
        <v>0</v>
      </c>
      <c r="N55" s="292">
        <f>SUM(白银!N55,酒一!N55,酒二!N55,青海!N55,哈密!N55,吐鲁番!N55,敦煌!N55,格尔木!N55,石嘴山!N55)</f>
        <v>0</v>
      </c>
      <c r="O55" s="292">
        <f t="shared" si="0"/>
        <v>0</v>
      </c>
    </row>
    <row r="56" spans="1:15" ht="24" hidden="1" x14ac:dyDescent="0.15">
      <c r="A56" s="291" t="s">
        <v>68</v>
      </c>
      <c r="B56" s="298"/>
      <c r="C56" s="292">
        <f>SUM(白银!C56,酒一!C56,酒二!C56,青海!C56,哈密!C56,吐鲁番!C56,敦煌!C56,格尔木!C56,石嘴山!C56)</f>
        <v>0</v>
      </c>
      <c r="D56" s="292">
        <f>SUM(白银!D56,酒一!D56,酒二!D56,青海!D56,哈密!D56,吐鲁番!D56,敦煌!D56,格尔木!D56,石嘴山!D56)</f>
        <v>0</v>
      </c>
      <c r="E56" s="292">
        <f>SUM(白银!E56,酒一!E56,酒二!E56,青海!E56,哈密!E56,吐鲁番!E56,敦煌!E56,格尔木!E56,石嘴山!E56)</f>
        <v>0</v>
      </c>
      <c r="F56" s="292">
        <f>SUM(白银!F56,酒一!F56,酒二!F56,青海!F56,哈密!F56,吐鲁番!F56,敦煌!F56,格尔木!F56,石嘴山!F56)</f>
        <v>0</v>
      </c>
      <c r="G56" s="292">
        <f>SUM(白银!G56,酒一!G56,酒二!G56,青海!G56,哈密!G56,吐鲁番!G56,敦煌!G56,格尔木!G56,石嘴山!G56)</f>
        <v>0</v>
      </c>
      <c r="H56" s="292">
        <f>SUM(白银!H56,酒一!H56,酒二!H56,青海!H56,哈密!H56,吐鲁番!H56,敦煌!H56,格尔木!H56,石嘴山!H56)</f>
        <v>0</v>
      </c>
      <c r="I56" s="292">
        <f>SUM(白银!I56,酒一!I56,酒二!I56,青海!I56,哈密!I56,吐鲁番!I56,敦煌!I56,格尔木!I56,石嘴山!I56)</f>
        <v>0</v>
      </c>
      <c r="J56" s="292">
        <f>SUM(白银!J56,酒一!J56,酒二!J56,青海!J56,哈密!J56,吐鲁番!J56,敦煌!J56,格尔木!J56,石嘴山!J56)</f>
        <v>0</v>
      </c>
      <c r="K56" s="292">
        <f>SUM(白银!K56,酒一!K56,酒二!K56,青海!K56,哈密!K56,吐鲁番!K56,敦煌!K56,格尔木!K56,石嘴山!K56)</f>
        <v>0</v>
      </c>
      <c r="L56" s="292">
        <f>SUM(白银!L56,酒一!L56,酒二!L56,青海!L56,哈密!L56,吐鲁番!L56,敦煌!L56,格尔木!L56,石嘴山!L56)</f>
        <v>0</v>
      </c>
      <c r="M56" s="292">
        <f>SUM(白银!M56,酒一!M56,酒二!M56,青海!M56,哈密!M56,吐鲁番!M56,敦煌!M56,格尔木!M56,石嘴山!M56)</f>
        <v>0</v>
      </c>
      <c r="N56" s="292">
        <f>SUM(白银!N56,酒一!N56,酒二!N56,青海!N56,哈密!N56,吐鲁番!N56,敦煌!N56,格尔木!N56,石嘴山!N56)</f>
        <v>0</v>
      </c>
      <c r="O56" s="292">
        <f t="shared" si="0"/>
        <v>0</v>
      </c>
    </row>
    <row r="57" spans="1:15" ht="24" hidden="1" x14ac:dyDescent="0.15">
      <c r="A57" s="291" t="s">
        <v>69</v>
      </c>
      <c r="B57" s="298"/>
      <c r="C57" s="292">
        <f>SUM(白银!C57,酒一!C57,酒二!C57,青海!C57,哈密!C57,吐鲁番!C57,敦煌!C57,格尔木!C57,石嘴山!C57)</f>
        <v>0</v>
      </c>
      <c r="D57" s="292">
        <f>SUM(白银!D57,酒一!D57,酒二!D57,青海!D57,哈密!D57,吐鲁番!D57,敦煌!D57,格尔木!D57,石嘴山!D57)</f>
        <v>0</v>
      </c>
      <c r="E57" s="292">
        <f>SUM(白银!E57,酒一!E57,酒二!E57,青海!E57,哈密!E57,吐鲁番!E57,敦煌!E57,格尔木!E57,石嘴山!E57)</f>
        <v>0</v>
      </c>
      <c r="F57" s="292">
        <f>SUM(白银!F57,酒一!F57,酒二!F57,青海!F57,哈密!F57,吐鲁番!F57,敦煌!F57,格尔木!F57,石嘴山!F57)</f>
        <v>0</v>
      </c>
      <c r="G57" s="292">
        <f>SUM(白银!G57,酒一!G57,酒二!G57,青海!G57,哈密!G57,吐鲁番!G57,敦煌!G57,格尔木!G57,石嘴山!G57)</f>
        <v>0</v>
      </c>
      <c r="H57" s="292">
        <f>SUM(白银!H57,酒一!H57,酒二!H57,青海!H57,哈密!H57,吐鲁番!H57,敦煌!H57,格尔木!H57,石嘴山!H57)</f>
        <v>0</v>
      </c>
      <c r="I57" s="292">
        <f>SUM(白银!I57,酒一!I57,酒二!I57,青海!I57,哈密!I57,吐鲁番!I57,敦煌!I57,格尔木!I57,石嘴山!I57)</f>
        <v>0</v>
      </c>
      <c r="J57" s="292">
        <f>SUM(白银!J57,酒一!J57,酒二!J57,青海!J57,哈密!J57,吐鲁番!J57,敦煌!J57,格尔木!J57,石嘴山!J57)</f>
        <v>0</v>
      </c>
      <c r="K57" s="292">
        <f>SUM(白银!K57,酒一!K57,酒二!K57,青海!K57,哈密!K57,吐鲁番!K57,敦煌!K57,格尔木!K57,石嘴山!K57)</f>
        <v>0</v>
      </c>
      <c r="L57" s="292">
        <f>SUM(白银!L57,酒一!L57,酒二!L57,青海!L57,哈密!L57,吐鲁番!L57,敦煌!L57,格尔木!L57,石嘴山!L57)</f>
        <v>0</v>
      </c>
      <c r="M57" s="292">
        <f>SUM(白银!M57,酒一!M57,酒二!M57,青海!M57,哈密!M57,吐鲁番!M57,敦煌!M57,格尔木!M57,石嘴山!M57)</f>
        <v>0</v>
      </c>
      <c r="N57" s="292">
        <f>SUM(白银!N57,酒一!N57,酒二!N57,青海!N57,哈密!N57,吐鲁番!N57,敦煌!N57,格尔木!N57,石嘴山!N57)</f>
        <v>0</v>
      </c>
      <c r="O57" s="292">
        <f t="shared" si="0"/>
        <v>0</v>
      </c>
    </row>
    <row r="58" spans="1:15" hidden="1" x14ac:dyDescent="0.15">
      <c r="A58" s="291" t="s">
        <v>70</v>
      </c>
      <c r="B58" s="298"/>
      <c r="C58" s="292">
        <f>SUM(白银!C58,酒一!C58,酒二!C58,青海!C58,哈密!C58,吐鲁番!C58,敦煌!C58,格尔木!C58,石嘴山!C58)</f>
        <v>0</v>
      </c>
      <c r="D58" s="292">
        <f>SUM(白银!D58,酒一!D58,酒二!D58,青海!D58,哈密!D58,吐鲁番!D58,敦煌!D58,格尔木!D58,石嘴山!D58)</f>
        <v>0</v>
      </c>
      <c r="E58" s="292">
        <f>SUM(白银!E58,酒一!E58,酒二!E58,青海!E58,哈密!E58,吐鲁番!E58,敦煌!E58,格尔木!E58,石嘴山!E58)</f>
        <v>0</v>
      </c>
      <c r="F58" s="292">
        <f>SUM(白银!F58,酒一!F58,酒二!F58,青海!F58,哈密!F58,吐鲁番!F58,敦煌!F58,格尔木!F58,石嘴山!F58)</f>
        <v>0</v>
      </c>
      <c r="G58" s="292">
        <f>SUM(白银!G58,酒一!G58,酒二!G58,青海!G58,哈密!G58,吐鲁番!G58,敦煌!G58,格尔木!G58,石嘴山!G58)</f>
        <v>0</v>
      </c>
      <c r="H58" s="292">
        <f>SUM(白银!H58,酒一!H58,酒二!H58,青海!H58,哈密!H58,吐鲁番!H58,敦煌!H58,格尔木!H58,石嘴山!H58)</f>
        <v>0</v>
      </c>
      <c r="I58" s="292">
        <f>SUM(白银!I58,酒一!I58,酒二!I58,青海!I58,哈密!I58,吐鲁番!I58,敦煌!I58,格尔木!I58,石嘴山!I58)</f>
        <v>0</v>
      </c>
      <c r="J58" s="292">
        <f>SUM(白银!J58,酒一!J58,酒二!J58,青海!J58,哈密!J58,吐鲁番!J58,敦煌!J58,格尔木!J58,石嘴山!J58)</f>
        <v>0</v>
      </c>
      <c r="K58" s="292">
        <f>SUM(白银!K58,酒一!K58,酒二!K58,青海!K58,哈密!K58,吐鲁番!K58,敦煌!K58,格尔木!K58,石嘴山!K58)</f>
        <v>0</v>
      </c>
      <c r="L58" s="292">
        <f>SUM(白银!L58,酒一!L58,酒二!L58,青海!L58,哈密!L58,吐鲁番!L58,敦煌!L58,格尔木!L58,石嘴山!L58)</f>
        <v>0</v>
      </c>
      <c r="M58" s="292">
        <f>SUM(白银!M58,酒一!M58,酒二!M58,青海!M58,哈密!M58,吐鲁番!M58,敦煌!M58,格尔木!M58,石嘴山!M58)</f>
        <v>0</v>
      </c>
      <c r="N58" s="292">
        <f>SUM(白银!N58,酒一!N58,酒二!N58,青海!N58,哈密!N58,吐鲁番!N58,敦煌!N58,格尔木!N58,石嘴山!N58)</f>
        <v>0</v>
      </c>
      <c r="O58" s="292">
        <f t="shared" si="0"/>
        <v>0</v>
      </c>
    </row>
    <row r="59" spans="1:15" ht="24" hidden="1" x14ac:dyDescent="0.15">
      <c r="A59" s="291" t="s">
        <v>71</v>
      </c>
      <c r="B59" s="298"/>
      <c r="C59" s="292">
        <f>SUM(白银!C59,酒一!C59,酒二!C59,青海!C59,哈密!C59,吐鲁番!C59,敦煌!C59,格尔木!C59,石嘴山!C59)</f>
        <v>0</v>
      </c>
      <c r="D59" s="292">
        <f>SUM(白银!D59,酒一!D59,酒二!D59,青海!D59,哈密!D59,吐鲁番!D59,敦煌!D59,格尔木!D59,石嘴山!D59)</f>
        <v>0</v>
      </c>
      <c r="E59" s="292">
        <f>SUM(白银!E59,酒一!E59,酒二!E59,青海!E59,哈密!E59,吐鲁番!E59,敦煌!E59,格尔木!E59,石嘴山!E59)</f>
        <v>0</v>
      </c>
      <c r="F59" s="292">
        <f>SUM(白银!F59,酒一!F59,酒二!F59,青海!F59,哈密!F59,吐鲁番!F59,敦煌!F59,格尔木!F59,石嘴山!F59)</f>
        <v>0</v>
      </c>
      <c r="G59" s="292">
        <f>SUM(白银!G59,酒一!G59,酒二!G59,青海!G59,哈密!G59,吐鲁番!G59,敦煌!G59,格尔木!G59,石嘴山!G59)</f>
        <v>0</v>
      </c>
      <c r="H59" s="292">
        <f>SUM(白银!H59,酒一!H59,酒二!H59,青海!H59,哈密!H59,吐鲁番!H59,敦煌!H59,格尔木!H59,石嘴山!H59)</f>
        <v>0</v>
      </c>
      <c r="I59" s="292">
        <f>SUM(白银!I59,酒一!I59,酒二!I59,青海!I59,哈密!I59,吐鲁番!I59,敦煌!I59,格尔木!I59,石嘴山!I59)</f>
        <v>0</v>
      </c>
      <c r="J59" s="292">
        <f>SUM(白银!J59,酒一!J59,酒二!J59,青海!J59,哈密!J59,吐鲁番!J59,敦煌!J59,格尔木!J59,石嘴山!J59)</f>
        <v>0</v>
      </c>
      <c r="K59" s="292">
        <f>SUM(白银!K59,酒一!K59,酒二!K59,青海!K59,哈密!K59,吐鲁番!K59,敦煌!K59,格尔木!K59,石嘴山!K59)</f>
        <v>0</v>
      </c>
      <c r="L59" s="292">
        <f>SUM(白银!L59,酒一!L59,酒二!L59,青海!L59,哈密!L59,吐鲁番!L59,敦煌!L59,格尔木!L59,石嘴山!L59)</f>
        <v>0</v>
      </c>
      <c r="M59" s="292">
        <f>SUM(白银!M59,酒一!M59,酒二!M59,青海!M59,哈密!M59,吐鲁番!M59,敦煌!M59,格尔木!M59,石嘴山!M59)</f>
        <v>0</v>
      </c>
      <c r="N59" s="292">
        <f>SUM(白银!N59,酒一!N59,酒二!N59,青海!N59,哈密!N59,吐鲁番!N59,敦煌!N59,格尔木!N59,石嘴山!N59)</f>
        <v>0</v>
      </c>
      <c r="O59" s="292">
        <f t="shared" si="0"/>
        <v>0</v>
      </c>
    </row>
    <row r="60" spans="1:15" ht="24" hidden="1" x14ac:dyDescent="0.15">
      <c r="A60" s="291" t="s">
        <v>72</v>
      </c>
      <c r="B60" s="298"/>
      <c r="C60" s="292">
        <f>SUM(白银!C60,酒一!C60,酒二!C60,青海!C60,哈密!C60,吐鲁番!C60,敦煌!C60,格尔木!C60,石嘴山!C60)</f>
        <v>0</v>
      </c>
      <c r="D60" s="292">
        <f>SUM(白银!D60,酒一!D60,酒二!D60,青海!D60,哈密!D60,吐鲁番!D60,敦煌!D60,格尔木!D60,石嘴山!D60)</f>
        <v>0</v>
      </c>
      <c r="E60" s="292">
        <f>SUM(白银!E60,酒一!E60,酒二!E60,青海!E60,哈密!E60,吐鲁番!E60,敦煌!E60,格尔木!E60,石嘴山!E60)</f>
        <v>0</v>
      </c>
      <c r="F60" s="292">
        <f>SUM(白银!F60,酒一!F60,酒二!F60,青海!F60,哈密!F60,吐鲁番!F60,敦煌!F60,格尔木!F60,石嘴山!F60)</f>
        <v>0</v>
      </c>
      <c r="G60" s="292">
        <f>SUM(白银!G60,酒一!G60,酒二!G60,青海!G60,哈密!G60,吐鲁番!G60,敦煌!G60,格尔木!G60,石嘴山!G60)</f>
        <v>0</v>
      </c>
      <c r="H60" s="292">
        <f>SUM(白银!H60,酒一!H60,酒二!H60,青海!H60,哈密!H60,吐鲁番!H60,敦煌!H60,格尔木!H60,石嘴山!H60)</f>
        <v>0</v>
      </c>
      <c r="I60" s="292">
        <f>SUM(白银!I60,酒一!I60,酒二!I60,青海!I60,哈密!I60,吐鲁番!I60,敦煌!I60,格尔木!I60,石嘴山!I60)</f>
        <v>0</v>
      </c>
      <c r="J60" s="292">
        <f>SUM(白银!J60,酒一!J60,酒二!J60,青海!J60,哈密!J60,吐鲁番!J60,敦煌!J60,格尔木!J60,石嘴山!J60)</f>
        <v>0</v>
      </c>
      <c r="K60" s="292">
        <f>SUM(白银!K60,酒一!K60,酒二!K60,青海!K60,哈密!K60,吐鲁番!K60,敦煌!K60,格尔木!K60,石嘴山!K60)</f>
        <v>0</v>
      </c>
      <c r="L60" s="292">
        <f>SUM(白银!L60,酒一!L60,酒二!L60,青海!L60,哈密!L60,吐鲁番!L60,敦煌!L60,格尔木!L60,石嘴山!L60)</f>
        <v>0</v>
      </c>
      <c r="M60" s="292">
        <f>SUM(白银!M60,酒一!M60,酒二!M60,青海!M60,哈密!M60,吐鲁番!M60,敦煌!M60,格尔木!M60,石嘴山!M60)</f>
        <v>0</v>
      </c>
      <c r="N60" s="292">
        <f>SUM(白银!N60,酒一!N60,酒二!N60,青海!N60,哈密!N60,吐鲁番!N60,敦煌!N60,格尔木!N60,石嘴山!N60)</f>
        <v>0</v>
      </c>
      <c r="O60" s="292">
        <f t="shared" si="0"/>
        <v>0</v>
      </c>
    </row>
    <row r="61" spans="1:15" ht="24" hidden="1" x14ac:dyDescent="0.15">
      <c r="A61" s="291" t="s">
        <v>73</v>
      </c>
      <c r="B61" s="298"/>
      <c r="C61" s="292">
        <f>SUM(白银!C61,酒一!C61,酒二!C61,青海!C61,哈密!C61,吐鲁番!C61,敦煌!C61,格尔木!C61,石嘴山!C61)</f>
        <v>0</v>
      </c>
      <c r="D61" s="292">
        <f>SUM(白银!D61,酒一!D61,酒二!D61,青海!D61,哈密!D61,吐鲁番!D61,敦煌!D61,格尔木!D61,石嘴山!D61)</f>
        <v>0</v>
      </c>
      <c r="E61" s="292">
        <f>SUM(白银!E61,酒一!E61,酒二!E61,青海!E61,哈密!E61,吐鲁番!E61,敦煌!E61,格尔木!E61,石嘴山!E61)</f>
        <v>0</v>
      </c>
      <c r="F61" s="292">
        <f>SUM(白银!F61,酒一!F61,酒二!F61,青海!F61,哈密!F61,吐鲁番!F61,敦煌!F61,格尔木!F61,石嘴山!F61)</f>
        <v>0</v>
      </c>
      <c r="G61" s="292">
        <f>SUM(白银!G61,酒一!G61,酒二!G61,青海!G61,哈密!G61,吐鲁番!G61,敦煌!G61,格尔木!G61,石嘴山!G61)</f>
        <v>0</v>
      </c>
      <c r="H61" s="292">
        <f>SUM(白银!H61,酒一!H61,酒二!H61,青海!H61,哈密!H61,吐鲁番!H61,敦煌!H61,格尔木!H61,石嘴山!H61)</f>
        <v>0</v>
      </c>
      <c r="I61" s="292">
        <f>SUM(白银!I61,酒一!I61,酒二!I61,青海!I61,哈密!I61,吐鲁番!I61,敦煌!I61,格尔木!I61,石嘴山!I61)</f>
        <v>0</v>
      </c>
      <c r="J61" s="292">
        <f>SUM(白银!J61,酒一!J61,酒二!J61,青海!J61,哈密!J61,吐鲁番!J61,敦煌!J61,格尔木!J61,石嘴山!J61)</f>
        <v>0</v>
      </c>
      <c r="K61" s="292">
        <f>SUM(白银!K61,酒一!K61,酒二!K61,青海!K61,哈密!K61,吐鲁番!K61,敦煌!K61,格尔木!K61,石嘴山!K61)</f>
        <v>0</v>
      </c>
      <c r="L61" s="292">
        <f>SUM(白银!L61,酒一!L61,酒二!L61,青海!L61,哈密!L61,吐鲁番!L61,敦煌!L61,格尔木!L61,石嘴山!L61)</f>
        <v>0</v>
      </c>
      <c r="M61" s="292">
        <f>SUM(白银!M61,酒一!M61,酒二!M61,青海!M61,哈密!M61,吐鲁番!M61,敦煌!M61,格尔木!M61,石嘴山!M61)</f>
        <v>0</v>
      </c>
      <c r="N61" s="292">
        <f>SUM(白银!N61,酒一!N61,酒二!N61,青海!N61,哈密!N61,吐鲁番!N61,敦煌!N61,格尔木!N61,石嘴山!N61)</f>
        <v>0</v>
      </c>
      <c r="O61" s="292">
        <f t="shared" si="0"/>
        <v>0</v>
      </c>
    </row>
    <row r="62" spans="1:15" ht="24" hidden="1" x14ac:dyDescent="0.15">
      <c r="A62" s="291" t="s">
        <v>74</v>
      </c>
      <c r="B62" s="298"/>
      <c r="C62" s="292">
        <f>SUM(白银!C62,酒一!C62,酒二!C62,青海!C62,哈密!C62,吐鲁番!C62,敦煌!C62,格尔木!C62,石嘴山!C62)</f>
        <v>0</v>
      </c>
      <c r="D62" s="292">
        <f>SUM(白银!D62,酒一!D62,酒二!D62,青海!D62,哈密!D62,吐鲁番!D62,敦煌!D62,格尔木!D62,石嘴山!D62)</f>
        <v>0</v>
      </c>
      <c r="E62" s="292">
        <f>SUM(白银!E62,酒一!E62,酒二!E62,青海!E62,哈密!E62,吐鲁番!E62,敦煌!E62,格尔木!E62,石嘴山!E62)</f>
        <v>0</v>
      </c>
      <c r="F62" s="292">
        <f>SUM(白银!F62,酒一!F62,酒二!F62,青海!F62,哈密!F62,吐鲁番!F62,敦煌!F62,格尔木!F62,石嘴山!F62)</f>
        <v>0</v>
      </c>
      <c r="G62" s="292">
        <f>SUM(白银!G62,酒一!G62,酒二!G62,青海!G62,哈密!G62,吐鲁番!G62,敦煌!G62,格尔木!G62,石嘴山!G62)</f>
        <v>0</v>
      </c>
      <c r="H62" s="292">
        <f>SUM(白银!H62,酒一!H62,酒二!H62,青海!H62,哈密!H62,吐鲁番!H62,敦煌!H62,格尔木!H62,石嘴山!H62)</f>
        <v>0</v>
      </c>
      <c r="I62" s="292">
        <f>SUM(白银!I62,酒一!I62,酒二!I62,青海!I62,哈密!I62,吐鲁番!I62,敦煌!I62,格尔木!I62,石嘴山!I62)</f>
        <v>0</v>
      </c>
      <c r="J62" s="292">
        <f>SUM(白银!J62,酒一!J62,酒二!J62,青海!J62,哈密!J62,吐鲁番!J62,敦煌!J62,格尔木!J62,石嘴山!J62)</f>
        <v>0</v>
      </c>
      <c r="K62" s="292">
        <f>SUM(白银!K62,酒一!K62,酒二!K62,青海!K62,哈密!K62,吐鲁番!K62,敦煌!K62,格尔木!K62,石嘴山!K62)</f>
        <v>0</v>
      </c>
      <c r="L62" s="292">
        <f>SUM(白银!L62,酒一!L62,酒二!L62,青海!L62,哈密!L62,吐鲁番!L62,敦煌!L62,格尔木!L62,石嘴山!L62)</f>
        <v>0</v>
      </c>
      <c r="M62" s="292">
        <f>SUM(白银!M62,酒一!M62,酒二!M62,青海!M62,哈密!M62,吐鲁番!M62,敦煌!M62,格尔木!M62,石嘴山!M62)</f>
        <v>0</v>
      </c>
      <c r="N62" s="292">
        <f>SUM(白银!N62,酒一!N62,酒二!N62,青海!N62,哈密!N62,吐鲁番!N62,敦煌!N62,格尔木!N62,石嘴山!N62)</f>
        <v>0</v>
      </c>
      <c r="O62" s="292">
        <f t="shared" si="0"/>
        <v>0</v>
      </c>
    </row>
    <row r="63" spans="1:15" ht="24" hidden="1" x14ac:dyDescent="0.15">
      <c r="A63" s="291" t="s">
        <v>75</v>
      </c>
      <c r="B63" s="298"/>
      <c r="C63" s="292">
        <f>SUM(白银!C63,酒一!C63,酒二!C63,青海!C63,哈密!C63,吐鲁番!C63,敦煌!C63,格尔木!C63,石嘴山!C63)</f>
        <v>0</v>
      </c>
      <c r="D63" s="292">
        <f>SUM(白银!D63,酒一!D63,酒二!D63,青海!D63,哈密!D63,吐鲁番!D63,敦煌!D63,格尔木!D63,石嘴山!D63)</f>
        <v>0</v>
      </c>
      <c r="E63" s="292">
        <f>SUM(白银!E63,酒一!E63,酒二!E63,青海!E63,哈密!E63,吐鲁番!E63,敦煌!E63,格尔木!E63,石嘴山!E63)</f>
        <v>0</v>
      </c>
      <c r="F63" s="292">
        <f>SUM(白银!F63,酒一!F63,酒二!F63,青海!F63,哈密!F63,吐鲁番!F63,敦煌!F63,格尔木!F63,石嘴山!F63)</f>
        <v>0</v>
      </c>
      <c r="G63" s="292">
        <f>SUM(白银!G63,酒一!G63,酒二!G63,青海!G63,哈密!G63,吐鲁番!G63,敦煌!G63,格尔木!G63,石嘴山!G63)</f>
        <v>2124.4614750000001</v>
      </c>
      <c r="H63" s="292">
        <f>SUM(白银!H63,酒一!H63,酒二!H63,青海!H63,哈密!H63,吐鲁番!H63,敦煌!H63,格尔木!H63,石嘴山!H63)</f>
        <v>110.81292699999891</v>
      </c>
      <c r="I63" s="292">
        <f>SUM(白银!I63,酒一!I63,酒二!I63,青海!I63,哈密!I63,吐鲁番!I63,敦煌!I63,格尔木!I63,石嘴山!I63)</f>
        <v>986.73475500000018</v>
      </c>
      <c r="J63" s="292">
        <f>SUM(白银!J63,酒一!J63,酒二!J63,青海!J63,哈密!J63,吐鲁番!J63,敦煌!J63,格尔木!J63,石嘴山!J63)</f>
        <v>1147.5355369999993</v>
      </c>
      <c r="K63" s="292">
        <f>SUM(白银!K63,酒一!K63,酒二!K63,青海!K63,哈密!K63,吐鲁番!K63,敦煌!K63,格尔木!K63,石嘴山!K63)</f>
        <v>349.66111199999841</v>
      </c>
      <c r="L63" s="292">
        <f>SUM(白银!L63,酒一!L63,酒二!L63,青海!L63,哈密!L63,吐鲁番!L63,敦煌!L63,格尔木!L63,石嘴山!L63)</f>
        <v>118.75093400000165</v>
      </c>
      <c r="M63" s="292">
        <f>SUM(白银!M63,酒一!M63,酒二!M63,青海!M63,哈密!M63,吐鲁番!M63,敦煌!M63,格尔木!M63,石嘴山!M63)</f>
        <v>-694.04528799999844</v>
      </c>
      <c r="N63" s="292">
        <f>SUM(白银!N63,酒一!N63,酒二!N63,青海!N63,哈密!N63,吐鲁番!N63,敦煌!N63,格尔木!N63,石嘴山!N63)</f>
        <v>-2523.9322829999905</v>
      </c>
      <c r="O63" s="292">
        <f t="shared" si="0"/>
        <v>1619.9791690000088</v>
      </c>
    </row>
    <row r="64" spans="1:15" hidden="1" x14ac:dyDescent="0.15">
      <c r="A64" s="291" t="s">
        <v>76</v>
      </c>
      <c r="B64" s="298"/>
      <c r="C64" s="292">
        <f>SUM(白银!C64,酒一!C64,酒二!C64,青海!C64,哈密!C64,吐鲁番!C64,敦煌!C64,格尔木!C64,石嘴山!C64)</f>
        <v>0</v>
      </c>
      <c r="D64" s="292">
        <f>SUM(白银!D64,酒一!D64,酒二!D64,青海!D64,哈密!D64,吐鲁番!D64,敦煌!D64,格尔木!D64,石嘴山!D64)</f>
        <v>0</v>
      </c>
      <c r="E64" s="292">
        <f>SUM(白银!E64,酒一!E64,酒二!E64,青海!E64,哈密!E64,吐鲁番!E64,敦煌!E64,格尔木!E64,石嘴山!E64)</f>
        <v>0</v>
      </c>
      <c r="F64" s="292">
        <f>SUM(白银!F64,酒一!F64,酒二!F64,青海!F64,哈密!F64,吐鲁番!F64,敦煌!F64,格尔木!F64,石嘴山!F64)</f>
        <v>0</v>
      </c>
      <c r="G64" s="292">
        <f>SUM(白银!G64,酒一!G64,酒二!G64,青海!G64,哈密!G64,吐鲁番!G64,敦煌!G64,格尔木!G64,石嘴山!G64)</f>
        <v>2124.4614750000014</v>
      </c>
      <c r="H64" s="292">
        <f>SUM(白银!H64,酒一!H64,酒二!H64,青海!H64,哈密!H64,吐鲁番!H64,敦煌!H64,格尔木!H64,石嘴山!H64)</f>
        <v>110.81292700000101</v>
      </c>
      <c r="I64" s="292">
        <f>SUM(白银!I64,酒一!I64,酒二!I64,青海!I64,哈密!I64,吐鲁番!I64,敦煌!I64,格尔木!I64,石嘴山!I64)</f>
        <v>986.73475500000131</v>
      </c>
      <c r="J64" s="292">
        <f>SUM(白银!J64,酒一!J64,酒二!J64,青海!J64,哈密!J64,吐鲁番!J64,敦煌!J64,格尔木!J64,石嘴山!J64)</f>
        <v>1147.5355369999966</v>
      </c>
      <c r="K64" s="292">
        <f>SUM(白银!K64,酒一!K64,酒二!K64,青海!K64,哈密!K64,吐鲁番!K64,敦煌!K64,格尔木!K64,石嘴山!K64)</f>
        <v>349.66111199999949</v>
      </c>
      <c r="L64" s="292">
        <f>SUM(白银!L64,酒一!L64,酒二!L64,青海!L64,哈密!L64,吐鲁番!L64,敦煌!L64,格尔木!L64,石嘴山!L64)</f>
        <v>118.75093400000085</v>
      </c>
      <c r="M64" s="292">
        <f>SUM(白银!M64,酒一!M64,酒二!M64,青海!M64,哈密!M64,吐鲁番!M64,敦煌!M64,格尔木!M64,石嘴山!M64)</f>
        <v>-694.04528799999764</v>
      </c>
      <c r="N64" s="292">
        <f>SUM(白银!N64,酒一!N64,酒二!N64,青海!N64,哈密!N64,吐鲁番!N64,敦煌!N64,格尔木!N64,石嘴山!N64)</f>
        <v>-2523.9322830000024</v>
      </c>
      <c r="O64" s="292">
        <f t="shared" si="0"/>
        <v>1619.9791690000006</v>
      </c>
    </row>
    <row r="65" spans="1:27" hidden="1" x14ac:dyDescent="0.15">
      <c r="A65" s="291" t="s">
        <v>77</v>
      </c>
      <c r="B65" s="298"/>
      <c r="C65" s="292">
        <f>SUM(白银!C65,酒一!C65,酒二!C65,青海!C65,哈密!C65,吐鲁番!C65,敦煌!C65,格尔木!C65,石嘴山!C65)</f>
        <v>794.92273999999918</v>
      </c>
      <c r="D65" s="292">
        <f>SUM(白银!D65,酒一!D65,酒二!D65,青海!D65,哈密!D65,吐鲁番!D65,敦煌!D65,格尔木!D65,石嘴山!D65)</f>
        <v>-335.50134000000003</v>
      </c>
      <c r="E65" s="292">
        <f>SUM(白银!E65,酒一!E65,酒二!E65,青海!E65,哈密!E65,吐鲁番!E65,敦煌!E65,格尔木!E65,石嘴山!E65)</f>
        <v>1497.6566889999883</v>
      </c>
      <c r="F65" s="292">
        <f>SUM(白银!F65,酒一!F65,酒二!F65,青海!F65,哈密!F65,吐鲁番!F65,敦煌!F65,格尔木!F65,石嘴山!F65)</f>
        <v>1875.2334279999989</v>
      </c>
      <c r="G65" s="292">
        <f>SUM(白银!G65,酒一!G65,酒二!G65,青海!G65,哈密!G65,吐鲁番!G65,敦煌!G65,格尔木!G65,石嘴山!G65)</f>
        <v>0</v>
      </c>
      <c r="H65" s="292">
        <f>SUM(白银!H65,酒一!H65,酒二!H65,青海!H65,哈密!H65,吐鲁番!H65,敦煌!H65,格尔木!H65,石嘴山!H65)</f>
        <v>0</v>
      </c>
      <c r="I65" s="292">
        <f>SUM(白银!I65,酒一!I65,酒二!I65,青海!I65,哈密!I65,吐鲁番!I65,敦煌!I65,格尔木!I65,石嘴山!I65)</f>
        <v>0</v>
      </c>
      <c r="J65" s="292">
        <f>SUM(白银!J65,酒一!J65,酒二!J65,青海!J65,哈密!J65,吐鲁番!J65,敦煌!J65,格尔木!J65,石嘴山!J65)</f>
        <v>0</v>
      </c>
      <c r="K65" s="292">
        <f>SUM(白银!K65,酒一!K65,酒二!K65,青海!K65,哈密!K65,吐鲁番!K65,敦煌!K65,格尔木!K65,石嘴山!K65)</f>
        <v>0</v>
      </c>
      <c r="L65" s="292">
        <f>SUM(白银!L65,酒一!L65,酒二!L65,青海!L65,哈密!L65,吐鲁番!L65,敦煌!L65,格尔木!L65,石嘴山!L65)</f>
        <v>0</v>
      </c>
      <c r="M65" s="292">
        <f>SUM(白银!M65,酒一!M65,酒二!M65,青海!M65,哈密!M65,吐鲁番!M65,敦煌!M65,格尔木!M65,石嘴山!M65)</f>
        <v>0</v>
      </c>
      <c r="N65" s="292">
        <f>SUM(白银!N65,酒一!N65,酒二!N65,青海!N65,哈密!N65,吐鲁番!N65,敦煌!N65,格尔木!N65,石嘴山!N65)</f>
        <v>0</v>
      </c>
      <c r="O65" s="292">
        <f t="shared" si="0"/>
        <v>3832.3115169999865</v>
      </c>
    </row>
    <row r="66" spans="1:27" ht="24" hidden="1" x14ac:dyDescent="0.15">
      <c r="A66" s="291" t="s">
        <v>78</v>
      </c>
      <c r="B66" s="298"/>
      <c r="C66" s="292">
        <f>SUM(白银!C66,酒一!C66,酒二!C66,青海!C66,哈密!C66,吐鲁番!C66,敦煌!C66,格尔木!C66,石嘴山!C66)</f>
        <v>794.92273999999895</v>
      </c>
      <c r="D66" s="292">
        <f>SUM(白银!D66,酒一!D66,酒二!D66,青海!D66,哈密!D66,吐鲁番!D66,敦煌!D66,格尔木!D66,石嘴山!D66)</f>
        <v>-20.163992999999209</v>
      </c>
      <c r="E66" s="292">
        <f>SUM(白银!E66,酒一!E66,酒二!E66,青海!E66,哈密!E66,吐鲁番!E66,敦煌!E66,格尔木!E66,石嘴山!E66)</f>
        <v>1497.6566889999883</v>
      </c>
      <c r="F66" s="292">
        <f>SUM(白银!F66,酒一!F66,酒二!F66,青海!F66,哈密!F66,吐鲁番!F66,敦煌!F66,格尔木!F66,石嘴山!F66)</f>
        <v>1875.2334279999982</v>
      </c>
      <c r="G66" s="292">
        <f>SUM(白银!G66,酒一!G66,酒二!G66,青海!G66,哈密!G66,吐鲁番!G66,敦煌!G66,格尔木!G66,石嘴山!G66)</f>
        <v>0</v>
      </c>
      <c r="H66" s="292">
        <f>SUM(白银!H66,酒一!H66,酒二!H66,青海!H66,哈密!H66,吐鲁番!H66,敦煌!H66,格尔木!H66,石嘴山!H66)</f>
        <v>0</v>
      </c>
      <c r="I66" s="292">
        <f>SUM(白银!I66,酒一!I66,酒二!I66,青海!I66,哈密!I66,吐鲁番!I66,敦煌!I66,格尔木!I66,石嘴山!I66)</f>
        <v>0</v>
      </c>
      <c r="J66" s="292">
        <f>SUM(白银!J66,酒一!J66,酒二!J66,青海!J66,哈密!J66,吐鲁番!J66,敦煌!J66,格尔木!J66,石嘴山!J66)</f>
        <v>0</v>
      </c>
      <c r="K66" s="292">
        <f>SUM(白银!K66,酒一!K66,酒二!K66,青海!K66,哈密!K66,吐鲁番!K66,敦煌!K66,格尔木!K66,石嘴山!K66)</f>
        <v>0</v>
      </c>
      <c r="L66" s="292">
        <f>SUM(白银!L66,酒一!L66,酒二!L66,青海!L66,哈密!L66,吐鲁番!L66,敦煌!L66,格尔木!L66,石嘴山!L66)</f>
        <v>0</v>
      </c>
      <c r="M66" s="292">
        <f>SUM(白银!M66,酒一!M66,酒二!M66,青海!M66,哈密!M66,吐鲁番!M66,敦煌!M66,格尔木!M66,石嘴山!M66)</f>
        <v>0</v>
      </c>
      <c r="N66" s="292">
        <f>SUM(白银!N66,酒一!N66,酒二!N66,青海!N66,哈密!N66,吐鲁番!N66,敦煌!N66,格尔木!N66,石嘴山!N66)</f>
        <v>0</v>
      </c>
      <c r="O66" s="292">
        <f t="shared" si="0"/>
        <v>4147.6488639999861</v>
      </c>
    </row>
    <row r="67" spans="1:27" ht="24" hidden="1" x14ac:dyDescent="0.15">
      <c r="A67" s="291" t="s">
        <v>79</v>
      </c>
      <c r="B67" s="298"/>
      <c r="C67" s="292">
        <f>SUM(白银!C67,酒一!C67,酒二!C67,青海!C67,哈密!C67,吐鲁番!C67,敦煌!C67,格尔木!C67,石嘴山!C67)</f>
        <v>0</v>
      </c>
      <c r="D67" s="292">
        <f>SUM(白银!D67,酒一!D67,酒二!D67,青海!D67,哈密!D67,吐鲁番!D67,敦煌!D67,格尔木!D67,石嘴山!D67)</f>
        <v>0</v>
      </c>
      <c r="E67" s="292">
        <f>SUM(白银!E67,酒一!E67,酒二!E67,青海!E67,哈密!E67,吐鲁番!E67,敦煌!E67,格尔木!E67,石嘴山!E67)</f>
        <v>0</v>
      </c>
      <c r="F67" s="292">
        <f>SUM(白银!F67,酒一!F67,酒二!F67,青海!F67,哈密!F67,吐鲁番!F67,敦煌!F67,格尔木!F67,石嘴山!F67)</f>
        <v>0</v>
      </c>
      <c r="G67" s="292">
        <f>SUM(白银!G67,酒一!G67,酒二!G67,青海!G67,哈密!G67,吐鲁番!G67,敦煌!G67,格尔木!G67,石嘴山!G67)</f>
        <v>0</v>
      </c>
      <c r="H67" s="292">
        <f>SUM(白银!H67,酒一!H67,酒二!H67,青海!H67,哈密!H67,吐鲁番!H67,敦煌!H67,格尔木!H67,石嘴山!H67)</f>
        <v>0</v>
      </c>
      <c r="I67" s="292">
        <f>SUM(白银!I67,酒一!I67,酒二!I67,青海!I67,哈密!I67,吐鲁番!I67,敦煌!I67,格尔木!I67,石嘴山!I67)</f>
        <v>0</v>
      </c>
      <c r="J67" s="292">
        <f>SUM(白银!J67,酒一!J67,酒二!J67,青海!J67,哈密!J67,吐鲁番!J67,敦煌!J67,格尔木!J67,石嘴山!J67)</f>
        <v>0</v>
      </c>
      <c r="K67" s="292">
        <f>SUM(白银!K67,酒一!K67,酒二!K67,青海!K67,哈密!K67,吐鲁番!K67,敦煌!K67,格尔木!K67,石嘴山!K67)</f>
        <v>0</v>
      </c>
      <c r="L67" s="292">
        <f>SUM(白银!L67,酒一!L67,酒二!L67,青海!L67,哈密!L67,吐鲁番!L67,敦煌!L67,格尔木!L67,石嘴山!L67)</f>
        <v>0</v>
      </c>
      <c r="M67" s="292">
        <f>SUM(白银!M67,酒一!M67,酒二!M67,青海!M67,哈密!M67,吐鲁番!M67,敦煌!M67,格尔木!M67,石嘴山!M67)</f>
        <v>0</v>
      </c>
      <c r="N67" s="292">
        <f>SUM(白银!N67,酒一!N67,酒二!N67,青海!N67,哈密!N67,吐鲁番!N67,敦煌!N67,格尔木!N67,石嘴山!N67)</f>
        <v>0</v>
      </c>
      <c r="O67" s="292">
        <f t="shared" si="0"/>
        <v>0</v>
      </c>
    </row>
    <row r="68" spans="1:27" hidden="1" x14ac:dyDescent="0.15">
      <c r="A68" s="291" t="s">
        <v>80</v>
      </c>
      <c r="B68" s="298"/>
      <c r="C68" s="292">
        <f>SUM(白银!C68,酒一!C68,酒二!C68,青海!C68,哈密!C68,吐鲁番!C68,敦煌!C68,格尔木!C68,石嘴山!C68)</f>
        <v>0</v>
      </c>
      <c r="D68" s="292">
        <f>SUM(白银!D68,酒一!D68,酒二!D68,青海!D68,哈密!D68,吐鲁番!D68,敦煌!D68,格尔木!D68,石嘴山!D68)</f>
        <v>0</v>
      </c>
      <c r="E68" s="292">
        <f>SUM(白银!E68,酒一!E68,酒二!E68,青海!E68,哈密!E68,吐鲁番!E68,敦煌!E68,格尔木!E68,石嘴山!E68)</f>
        <v>0</v>
      </c>
      <c r="F68" s="292">
        <f>SUM(白银!F68,酒一!F68,酒二!F68,青海!F68,哈密!F68,吐鲁番!F68,敦煌!F68,格尔木!F68,石嘴山!F68)</f>
        <v>0</v>
      </c>
      <c r="G68" s="292">
        <f>SUM(白银!G68,酒一!G68,酒二!G68,青海!G68,哈密!G68,吐鲁番!G68,敦煌!G68,格尔木!G68,石嘴山!G68)</f>
        <v>0</v>
      </c>
      <c r="H68" s="292">
        <f>SUM(白银!H68,酒一!H68,酒二!H68,青海!H68,哈密!H68,吐鲁番!H68,敦煌!H68,格尔木!H68,石嘴山!H68)</f>
        <v>0</v>
      </c>
      <c r="I68" s="292">
        <f>SUM(白银!I68,酒一!I68,酒二!I68,青海!I68,哈密!I68,吐鲁番!I68,敦煌!I68,格尔木!I68,石嘴山!I68)</f>
        <v>0</v>
      </c>
      <c r="J68" s="292">
        <f>SUM(白银!J68,酒一!J68,酒二!J68,青海!J68,哈密!J68,吐鲁番!J68,敦煌!J68,格尔木!J68,石嘴山!J68)</f>
        <v>0</v>
      </c>
      <c r="K68" s="292">
        <f>SUM(白银!K68,酒一!K68,酒二!K68,青海!K68,哈密!K68,吐鲁番!K68,敦煌!K68,格尔木!K68,石嘴山!K68)</f>
        <v>0</v>
      </c>
      <c r="L68" s="292">
        <f>SUM(白银!L68,酒一!L68,酒二!L68,青海!L68,哈密!L68,吐鲁番!L68,敦煌!L68,格尔木!L68,石嘴山!L68)</f>
        <v>0</v>
      </c>
      <c r="M68" s="292">
        <f>SUM(白银!M68,酒一!M68,酒二!M68,青海!M68,哈密!M68,吐鲁番!M68,敦煌!M68,格尔木!M68,石嘴山!M68)</f>
        <v>0</v>
      </c>
      <c r="N68" s="292">
        <f>SUM(白银!N68,酒一!N68,酒二!N68,青海!N68,哈密!N68,吐鲁番!N68,敦煌!N68,格尔木!N68,石嘴山!N68)</f>
        <v>0</v>
      </c>
      <c r="O68" s="292">
        <f>SUM(C68:N68)</f>
        <v>0</v>
      </c>
    </row>
    <row r="69" spans="1:27" hidden="1" x14ac:dyDescent="0.15">
      <c r="A69" s="291" t="s">
        <v>81</v>
      </c>
      <c r="B69" s="299"/>
    </row>
    <row r="70" spans="1:27" hidden="1" x14ac:dyDescent="0.15">
      <c r="A70" s="291" t="s">
        <v>82</v>
      </c>
      <c r="B70" s="299"/>
    </row>
    <row r="71" spans="1:27" x14ac:dyDescent="0.15">
      <c r="B71" s="299"/>
    </row>
    <row r="72" spans="1:2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27" x14ac:dyDescent="0.15">
      <c r="A73" s="303" t="s">
        <v>96</v>
      </c>
      <c r="B73" s="304">
        <f t="shared" ref="B73:O73" si="1">SUM(B74:B78)</f>
        <v>43105.251887999999</v>
      </c>
      <c r="C73" s="304">
        <f t="shared" si="1"/>
        <v>3428.9741380000005</v>
      </c>
      <c r="D73" s="304">
        <f t="shared" si="1"/>
        <v>3079.9023440000005</v>
      </c>
      <c r="E73" s="304">
        <f t="shared" si="1"/>
        <v>3066.0394779999997</v>
      </c>
      <c r="F73" s="304">
        <f t="shared" si="1"/>
        <v>3611.976662</v>
      </c>
      <c r="G73" s="304">
        <f t="shared" si="1"/>
        <v>0</v>
      </c>
      <c r="H73" s="304">
        <f t="shared" si="1"/>
        <v>0</v>
      </c>
      <c r="I73" s="304">
        <f t="shared" si="1"/>
        <v>0</v>
      </c>
      <c r="J73" s="304">
        <f t="shared" si="1"/>
        <v>0</v>
      </c>
      <c r="K73" s="304">
        <f t="shared" si="1"/>
        <v>0</v>
      </c>
      <c r="L73" s="304">
        <f t="shared" si="1"/>
        <v>0</v>
      </c>
      <c r="M73" s="304">
        <f t="shared" si="1"/>
        <v>0</v>
      </c>
      <c r="N73" s="304">
        <f t="shared" si="1"/>
        <v>0</v>
      </c>
      <c r="O73" s="304">
        <f t="shared" si="1"/>
        <v>13186.892622000003</v>
      </c>
      <c r="P73" s="46"/>
      <c r="Q73" s="46">
        <f>SUM(Q74:Q86)</f>
        <v>3333.5</v>
      </c>
    </row>
    <row r="74" spans="1:27" x14ac:dyDescent="0.15">
      <c r="A74" s="305" t="s">
        <v>97</v>
      </c>
      <c r="B74" s="292">
        <f>SUM(白银!B74,酒一!B74,酒二!B74,青海!B74,哈密!B74,吐鲁番!B74,敦煌!B74,格尔木!B74,石嘴山!B74)</f>
        <v>860.55799999999988</v>
      </c>
      <c r="C74" s="292">
        <f>SUM(白银!C74,酒一!C74,酒二!C74,青海!C74,哈密!C74,吐鲁番!C74,敦煌!C74,格尔木!C74,石嘴山!C74)</f>
        <v>48.815815999999998</v>
      </c>
      <c r="D74" s="292">
        <f>SUM(白银!D74,酒一!D74,酒二!D74,青海!D74,哈密!D74,吐鲁番!D74,敦煌!D74,格尔木!D74,石嘴山!D74)</f>
        <v>60.786026999999997</v>
      </c>
      <c r="E74" s="292">
        <f>SUM(白银!E74,酒一!E74,酒二!E74,青海!E74,哈密!E74,吐鲁番!E74,敦煌!E74,格尔木!E74,石嘴山!E74)</f>
        <v>64.231059999999999</v>
      </c>
      <c r="F74" s="292">
        <f>SUM(白银!F74,酒一!F74,酒二!F74,青海!F74,哈密!F74,吐鲁番!F74,敦煌!F74,格尔木!F74,石嘴山!F74)</f>
        <v>43.764243</v>
      </c>
      <c r="G74" s="292">
        <f>SUM(白银!G74,酒一!G74,酒二!G74,青海!G74,哈密!G74,吐鲁番!G74,敦煌!G74,格尔木!G74,石嘴山!G74)</f>
        <v>0</v>
      </c>
      <c r="H74" s="292">
        <f>SUM(白银!H74,酒一!H74,酒二!H74,青海!H74,哈密!H74,吐鲁番!H74,敦煌!H74,格尔木!H74,石嘴山!H74)</f>
        <v>0</v>
      </c>
      <c r="I74" s="292">
        <f>SUM(白银!I74,酒一!I74,酒二!I74,青海!I74,哈密!I74,吐鲁番!I74,敦煌!I74,格尔木!I74,石嘴山!I74)</f>
        <v>0</v>
      </c>
      <c r="J74" s="292">
        <f>SUM(白银!J74,酒一!J74,酒二!J74,青海!J74,哈密!J74,吐鲁番!J74,敦煌!J74,格尔木!J74,石嘴山!J74)</f>
        <v>0</v>
      </c>
      <c r="K74" s="292">
        <f>SUM(白银!K74,酒一!K74,酒二!K74,青海!K74,哈密!K74,吐鲁番!K74,敦煌!K74,格尔木!K74,石嘴山!K74)</f>
        <v>0</v>
      </c>
      <c r="L74" s="292">
        <f>SUM(白银!L74,酒一!L74,酒二!L74,青海!L74,哈密!L74,吐鲁番!L74,敦煌!L74,格尔木!L74,石嘴山!L74)</f>
        <v>0</v>
      </c>
      <c r="M74" s="292">
        <f>SUM(白银!M74,酒一!M74,酒二!M74,青海!M74,哈密!M74,吐鲁番!M74,敦煌!M74,格尔木!M74,石嘴山!M74)</f>
        <v>0</v>
      </c>
      <c r="N74" s="292">
        <f>SUM(白银!N74,酒一!N74,酒二!N74,青海!N74,哈密!N74,吐鲁番!N74,敦煌!N74,格尔木!N74,石嘴山!N74)</f>
        <v>0</v>
      </c>
      <c r="O74" s="292">
        <f>SUM(白银!O74,酒一!O74,酒二!O74,青海!O74,哈密!O74,吐鲁番!O74,敦煌!O74,格尔木!O74,石嘴山!O74)</f>
        <v>217.59714599999998</v>
      </c>
      <c r="P74" s="46"/>
      <c r="Q74" s="46">
        <v>90</v>
      </c>
      <c r="R74">
        <v>25</v>
      </c>
      <c r="S74">
        <v>26</v>
      </c>
      <c r="T74">
        <v>6.8</v>
      </c>
      <c r="U74">
        <v>1</v>
      </c>
      <c r="V74">
        <v>1.7</v>
      </c>
      <c r="W74">
        <v>8.5</v>
      </c>
      <c r="X74">
        <v>3.4</v>
      </c>
      <c r="Y74">
        <v>10</v>
      </c>
      <c r="Z74">
        <v>8</v>
      </c>
      <c r="AA74">
        <v>3</v>
      </c>
    </row>
    <row r="75" spans="1:27" x14ac:dyDescent="0.15">
      <c r="A75" s="305" t="s">
        <v>98</v>
      </c>
      <c r="B75" s="292">
        <f>SUM(白银!B75,酒一!B75,酒二!B75,青海!B75,哈密!B75,吐鲁番!B75,敦煌!B75,格尔木!B75,石嘴山!B75)</f>
        <v>3158.1950000000002</v>
      </c>
      <c r="C75" s="292">
        <f>SUM(白银!C75,酒一!C75,酒二!C75,青海!C75,哈密!C75,吐鲁番!C75,敦煌!C75,格尔木!C75,石嘴山!C75)</f>
        <v>29.005154999999998</v>
      </c>
      <c r="D75" s="292">
        <f>SUM(白银!D75,酒一!D75,酒二!D75,青海!D75,哈密!D75,吐鲁番!D75,敦煌!D75,格尔木!D75,石嘴山!D75)</f>
        <v>25.797452</v>
      </c>
      <c r="E75" s="292">
        <f>SUM(白银!E75,酒一!E75,酒二!E75,青海!E75,哈密!E75,吐鲁番!E75,敦煌!E75,格尔木!E75,石嘴山!E75)</f>
        <v>26.500330000000005</v>
      </c>
      <c r="F75" s="292">
        <f>SUM(白银!F75,酒一!F75,酒二!F75,青海!F75,哈密!F75,吐鲁番!F75,敦煌!F75,格尔木!F75,石嘴山!F75)</f>
        <v>63.122212999999988</v>
      </c>
      <c r="G75" s="292">
        <f>SUM(白银!G75,酒一!G75,酒二!G75,青海!G75,哈密!G75,吐鲁番!G75,敦煌!G75,格尔木!G75,石嘴山!G75)</f>
        <v>0</v>
      </c>
      <c r="H75" s="292">
        <f>SUM(白银!H75,酒一!H75,酒二!H75,青海!H75,哈密!H75,吐鲁番!H75,敦煌!H75,格尔木!H75,石嘴山!H75)</f>
        <v>0</v>
      </c>
      <c r="I75" s="292">
        <f>SUM(白银!I75,酒一!I75,酒二!I75,青海!I75,哈密!I75,吐鲁番!I75,敦煌!I75,格尔木!I75,石嘴山!I75)</f>
        <v>0</v>
      </c>
      <c r="J75" s="292">
        <f>SUM(白银!J75,酒一!J75,酒二!J75,青海!J75,哈密!J75,吐鲁番!J75,敦煌!J75,格尔木!J75,石嘴山!J75)</f>
        <v>0</v>
      </c>
      <c r="K75" s="292">
        <f>SUM(白银!K75,酒一!K75,酒二!K75,青海!K75,哈密!K75,吐鲁番!K75,敦煌!K75,格尔木!K75,石嘴山!K75)</f>
        <v>0</v>
      </c>
      <c r="L75" s="292">
        <f>SUM(白银!L75,酒一!L75,酒二!L75,青海!L75,哈密!L75,吐鲁番!L75,敦煌!L75,格尔木!L75,石嘴山!L75)</f>
        <v>0</v>
      </c>
      <c r="M75" s="292">
        <f>SUM(白银!M75,酒一!M75,酒二!M75,青海!M75,哈密!M75,吐鲁番!M75,敦煌!M75,格尔木!M75,石嘴山!M75)</f>
        <v>0</v>
      </c>
      <c r="N75" s="292">
        <f>SUM(白银!N75,酒一!N75,酒二!N75,青海!N75,哈密!N75,吐鲁番!N75,敦煌!N75,格尔木!N75,石嘴山!N75)</f>
        <v>0</v>
      </c>
      <c r="O75" s="292">
        <f>SUM(白银!O75,酒一!O75,酒二!O75,青海!O75,哈密!O75,吐鲁番!O75,敦煌!O75,格尔木!O75,石嘴山!O75)</f>
        <v>144.42515</v>
      </c>
      <c r="P75" s="46"/>
      <c r="Q75" s="46">
        <v>100</v>
      </c>
      <c r="R75">
        <v>13</v>
      </c>
      <c r="S75">
        <v>0.9</v>
      </c>
      <c r="T75">
        <v>32</v>
      </c>
      <c r="U75">
        <v>42</v>
      </c>
      <c r="V75">
        <v>10</v>
      </c>
    </row>
    <row r="76" spans="1:27" x14ac:dyDescent="0.15">
      <c r="A76" s="305" t="s">
        <v>99</v>
      </c>
      <c r="B76" s="292">
        <f>SUM(白银!B76,酒一!B76,酒二!B76,青海!B76,哈密!B76,吐鲁番!B76,敦煌!B76,格尔木!B76,石嘴山!B76)</f>
        <v>32326.584999999999</v>
      </c>
      <c r="C76" s="292">
        <f>SUM(白银!C76,酒一!C76,酒二!C76,青海!C76,哈密!C76,吐鲁番!C76,敦煌!C76,格尔木!C76,石嘴山!C76)</f>
        <v>2756.2917120000006</v>
      </c>
      <c r="D76" s="292">
        <f>SUM(白银!D76,酒一!D76,酒二!D76,青海!D76,哈密!D76,吐鲁番!D76,敦煌!D76,格尔木!D76,石嘴山!D76)</f>
        <v>2761.2387600000006</v>
      </c>
      <c r="E76" s="292">
        <f>SUM(白银!E76,酒一!E76,酒二!E76,青海!E76,哈密!E76,吐鲁番!E76,敦煌!E76,格尔木!E76,石嘴山!E76)</f>
        <v>2624.8036139999999</v>
      </c>
      <c r="F76" s="292">
        <f>SUM(白银!F76,酒一!F76,酒二!F76,青海!F76,哈密!F76,吐鲁番!F76,敦煌!F76,格尔木!F76,石嘴山!F76)</f>
        <v>2776.7395929999998</v>
      </c>
      <c r="G76" s="292">
        <f>SUM(白银!G76,酒一!G76,酒二!G76,青海!G76,哈密!G76,吐鲁番!G76,敦煌!G76,格尔木!G76,石嘴山!G76)</f>
        <v>0</v>
      </c>
      <c r="H76" s="292">
        <f>SUM(白银!H76,酒一!H76,酒二!H76,青海!H76,哈密!H76,吐鲁番!H76,敦煌!H76,格尔木!H76,石嘴山!H76)</f>
        <v>0</v>
      </c>
      <c r="I76" s="292">
        <f>SUM(白银!I76,酒一!I76,酒二!I76,青海!I76,哈密!I76,吐鲁番!I76,敦煌!I76,格尔木!I76,石嘴山!I76)</f>
        <v>0</v>
      </c>
      <c r="J76" s="292">
        <f>SUM(白银!J76,酒一!J76,酒二!J76,青海!J76,哈密!J76,吐鲁番!J76,敦煌!J76,格尔木!J76,石嘴山!J76)</f>
        <v>0</v>
      </c>
      <c r="K76" s="292">
        <f>SUM(白银!K76,酒一!K76,酒二!K76,青海!K76,哈密!K76,吐鲁番!K76,敦煌!K76,格尔木!K76,石嘴山!K76)</f>
        <v>0</v>
      </c>
      <c r="L76" s="292">
        <f>SUM(白银!L76,酒一!L76,酒二!L76,青海!L76,哈密!L76,吐鲁番!L76,敦煌!L76,格尔木!L76,石嘴山!L76)</f>
        <v>0</v>
      </c>
      <c r="M76" s="292">
        <f>SUM(白银!M76,酒一!M76,酒二!M76,青海!M76,哈密!M76,吐鲁番!M76,敦煌!M76,格尔木!M76,石嘴山!M76)</f>
        <v>0</v>
      </c>
      <c r="N76" s="292">
        <f>SUM(白银!N76,酒一!N76,酒二!N76,青海!N76,哈密!N76,吐鲁番!N76,敦煌!N76,格尔木!N76,石嘴山!N76)</f>
        <v>0</v>
      </c>
      <c r="O76" s="292">
        <f>SUM(白银!O76,酒一!O76,酒二!O76,青海!O76,哈密!O76,吐鲁番!O76,敦煌!O76,格尔木!O76,石嘴山!O76)</f>
        <v>10919.073679000003</v>
      </c>
      <c r="P76" s="46"/>
      <c r="Q76" s="46">
        <v>2780</v>
      </c>
    </row>
    <row r="77" spans="1:27" x14ac:dyDescent="0.15">
      <c r="A77" s="305" t="s">
        <v>100</v>
      </c>
      <c r="B77" s="292">
        <f>SUM(白银!B77,酒一!B77,酒二!B77,青海!B77,哈密!B77,吐鲁番!B77,敦煌!B77,格尔木!B77,石嘴山!B77)</f>
        <v>4607.0138879999995</v>
      </c>
      <c r="C77" s="292">
        <f>SUM(白银!C77,酒一!C77,酒二!C77,青海!C77,哈密!C77,吐鲁番!C77,敦煌!C77,格尔木!C77,石嘴山!C77)</f>
        <v>490.15998400000007</v>
      </c>
      <c r="D77" s="292">
        <f>SUM(白银!D77,酒一!D77,酒二!D77,青海!D77,哈密!D77,吐鲁番!D77,敦煌!D77,格尔木!D77,石嘴山!D77)</f>
        <v>216.13638800000001</v>
      </c>
      <c r="E77" s="292">
        <f>SUM(白银!E77,酒一!E77,酒二!E77,青海!E77,哈密!E77,吐鲁番!E77,敦煌!E77,格尔木!E77,石嘴山!E77)</f>
        <v>186.18616699999998</v>
      </c>
      <c r="F77" s="292">
        <f>SUM(白银!F77,酒一!F77,酒二!F77,青海!F77,哈密!F77,吐鲁番!F77,敦煌!F77,格尔木!F77,石嘴山!F77)</f>
        <v>561.06913599999996</v>
      </c>
      <c r="G77" s="292">
        <f>SUM(白银!G77,酒一!G77,酒二!G77,青海!G77,哈密!G77,吐鲁番!G77,敦煌!G77,格尔木!G77,石嘴山!G77)</f>
        <v>0</v>
      </c>
      <c r="H77" s="292">
        <f>SUM(白银!H77,酒一!H77,酒二!H77,青海!H77,哈密!H77,吐鲁番!H77,敦煌!H77,格尔木!H77,石嘴山!H77)</f>
        <v>0</v>
      </c>
      <c r="I77" s="292">
        <f>SUM(白银!I77,酒一!I77,酒二!I77,青海!I77,哈密!I77,吐鲁番!I77,敦煌!I77,格尔木!I77,石嘴山!I77)</f>
        <v>0</v>
      </c>
      <c r="J77" s="292">
        <f>SUM(白银!J77,酒一!J77,酒二!J77,青海!J77,哈密!J77,吐鲁番!J77,敦煌!J77,格尔木!J77,石嘴山!J77)</f>
        <v>0</v>
      </c>
      <c r="K77" s="292">
        <f>SUM(白银!K77,酒一!K77,酒二!K77,青海!K77,哈密!K77,吐鲁番!K77,敦煌!K77,格尔木!K77,石嘴山!K77)</f>
        <v>0</v>
      </c>
      <c r="L77" s="292">
        <f>SUM(白银!L77,酒一!L77,酒二!L77,青海!L77,哈密!L77,吐鲁番!L77,敦煌!L77,格尔木!L77,石嘴山!L77)</f>
        <v>0</v>
      </c>
      <c r="M77" s="292">
        <f>SUM(白银!M77,酒一!M77,酒二!M77,青海!M77,哈密!M77,吐鲁番!M77,敦煌!M77,格尔木!M77,石嘴山!M77)</f>
        <v>0</v>
      </c>
      <c r="N77" s="292">
        <f>SUM(白银!N77,酒一!N77,酒二!N77,青海!N77,哈密!N77,吐鲁番!N77,敦煌!N77,格尔木!N77,石嘴山!N77)</f>
        <v>0</v>
      </c>
      <c r="O77" s="292">
        <f>SUM(白银!O77,酒一!O77,酒二!O77,青海!O77,哈密!O77,吐鲁番!O77,敦煌!O77,格尔木!O77,石嘴山!O77)</f>
        <v>1453.5516750000002</v>
      </c>
      <c r="P77" s="46"/>
      <c r="Q77" s="46">
        <v>250</v>
      </c>
    </row>
    <row r="78" spans="1:27" x14ac:dyDescent="0.15">
      <c r="A78" s="307" t="s">
        <v>101</v>
      </c>
      <c r="B78" s="292">
        <f>SUM(白银!B78,酒一!B78,酒二!B78,青海!B78,哈密!B78,吐鲁番!B78,敦煌!B78,格尔木!B78,石嘴山!B78)</f>
        <v>2152.9</v>
      </c>
      <c r="C78" s="292">
        <f>SUM(白银!C78,酒一!C78,酒二!C78,青海!C78,哈密!C78,吐鲁番!C78,敦煌!C78,格尔木!C78,石嘴山!C78)</f>
        <v>104.701471</v>
      </c>
      <c r="D78" s="292">
        <f>SUM(白银!D78,酒一!D78,酒二!D78,青海!D78,哈密!D78,吐鲁番!D78,敦煌!D78,格尔木!D78,石嘴山!D78)</f>
        <v>15.943716999999999</v>
      </c>
      <c r="E78" s="292">
        <f>SUM(白银!E78,酒一!E78,酒二!E78,青海!E78,哈密!E78,吐鲁番!E78,敦煌!E78,格尔木!E78,石嘴山!E78)</f>
        <v>164.318307</v>
      </c>
      <c r="F78" s="292">
        <f>SUM(白银!F78,酒一!F78,酒二!F78,青海!F78,哈密!F78,吐鲁番!F78,敦煌!F78,格尔木!F78,石嘴山!F78)</f>
        <v>167.281477</v>
      </c>
      <c r="G78" s="292">
        <f>SUM(白银!G78,酒一!G78,酒二!G78,青海!G78,哈密!G78,吐鲁番!G78,敦煌!G78,格尔木!G78,石嘴山!G78)</f>
        <v>0</v>
      </c>
      <c r="H78" s="292">
        <f>SUM(白银!H78,酒一!H78,酒二!H78,青海!H78,哈密!H78,吐鲁番!H78,敦煌!H78,格尔木!H78,石嘴山!H78)</f>
        <v>0</v>
      </c>
      <c r="I78" s="292">
        <f>SUM(白银!I78,酒一!I78,酒二!I78,青海!I78,哈密!I78,吐鲁番!I78,敦煌!I78,格尔木!I78,石嘴山!I78)</f>
        <v>0</v>
      </c>
      <c r="J78" s="292">
        <f>SUM(白银!J78,酒一!J78,酒二!J78,青海!J78,哈密!J78,吐鲁番!J78,敦煌!J78,格尔木!J78,石嘴山!J78)</f>
        <v>0</v>
      </c>
      <c r="K78" s="292">
        <f>SUM(白银!K78,酒一!K78,酒二!K78,青海!K78,哈密!K78,吐鲁番!K78,敦煌!K78,格尔木!K78,石嘴山!K78)</f>
        <v>0</v>
      </c>
      <c r="L78" s="292">
        <f>SUM(白银!L78,酒一!L78,酒二!L78,青海!L78,哈密!L78,吐鲁番!L78,敦煌!L78,格尔木!L78,石嘴山!L78)</f>
        <v>0</v>
      </c>
      <c r="M78" s="292">
        <f>SUM(白银!M78,酒一!M78,酒二!M78,青海!M78,哈密!M78,吐鲁番!M78,敦煌!M78,格尔木!M78,石嘴山!M78)</f>
        <v>0</v>
      </c>
      <c r="N78" s="292">
        <f>SUM(白银!N78,酒一!N78,酒二!N78,青海!N78,哈密!N78,吐鲁番!N78,敦煌!N78,格尔木!N78,石嘴山!N78)</f>
        <v>0</v>
      </c>
      <c r="O78" s="292">
        <f>SUM(白银!O78,酒一!O78,酒二!O78,青海!O78,哈密!O78,吐鲁番!O78,敦煌!O78,格尔木!O78,石嘴山!O78)</f>
        <v>452.24497200000008</v>
      </c>
      <c r="P78" s="46"/>
      <c r="Q78" s="46">
        <f>SUM(R78:AA78)</f>
        <v>113.5</v>
      </c>
      <c r="R78">
        <v>100</v>
      </c>
      <c r="S78">
        <v>0.9</v>
      </c>
      <c r="T78">
        <v>3.6</v>
      </c>
      <c r="U78">
        <v>1.4</v>
      </c>
      <c r="V78">
        <v>1.7</v>
      </c>
      <c r="W78">
        <v>0.8</v>
      </c>
      <c r="X78">
        <v>1</v>
      </c>
      <c r="Y78">
        <v>3.6</v>
      </c>
      <c r="Z78">
        <v>0.5</v>
      </c>
    </row>
    <row r="79" spans="1:27" x14ac:dyDescent="0.15">
      <c r="A79" s="309" t="s">
        <v>102</v>
      </c>
      <c r="B79" s="310">
        <f t="shared" ref="B79:N79" si="2">B13</f>
        <v>580</v>
      </c>
      <c r="C79" s="310">
        <f t="shared" si="2"/>
        <v>0</v>
      </c>
      <c r="D79" s="310">
        <f t="shared" si="2"/>
        <v>0</v>
      </c>
      <c r="E79" s="310">
        <f t="shared" si="2"/>
        <v>143.32206099999999</v>
      </c>
      <c r="F79" s="310">
        <f t="shared" si="2"/>
        <v>0</v>
      </c>
      <c r="G79" s="310">
        <f t="shared" si="2"/>
        <v>0</v>
      </c>
      <c r="H79" s="310">
        <f t="shared" si="2"/>
        <v>0</v>
      </c>
      <c r="I79" s="310">
        <f t="shared" si="2"/>
        <v>0</v>
      </c>
      <c r="J79" s="310">
        <f t="shared" si="2"/>
        <v>0</v>
      </c>
      <c r="K79" s="310">
        <f t="shared" si="2"/>
        <v>0</v>
      </c>
      <c r="L79" s="310">
        <f t="shared" si="2"/>
        <v>0</v>
      </c>
      <c r="M79" s="310">
        <f t="shared" si="2"/>
        <v>0</v>
      </c>
      <c r="N79" s="310">
        <f t="shared" si="2"/>
        <v>0</v>
      </c>
      <c r="O79" s="310">
        <f t="shared" ref="O79:O86" si="3">SUM(C79:N79)</f>
        <v>143.32206099999999</v>
      </c>
      <c r="P79" s="46"/>
    </row>
    <row r="80" spans="1:27" x14ac:dyDescent="0.15">
      <c r="A80" s="309" t="s">
        <v>103</v>
      </c>
      <c r="B80" s="310">
        <f t="shared" ref="B80:N80" si="4">B21</f>
        <v>935.58999999999992</v>
      </c>
      <c r="C80" s="310">
        <f t="shared" si="4"/>
        <v>12.60987499999999</v>
      </c>
      <c r="D80" s="310">
        <f t="shared" si="4"/>
        <v>15.050754</v>
      </c>
      <c r="E80" s="310">
        <f t="shared" si="4"/>
        <v>77.771523000000002</v>
      </c>
      <c r="F80" s="310">
        <f t="shared" si="4"/>
        <v>104.62866200000001</v>
      </c>
      <c r="G80" s="310">
        <f t="shared" si="4"/>
        <v>0</v>
      </c>
      <c r="H80" s="310">
        <f t="shared" si="4"/>
        <v>0</v>
      </c>
      <c r="I80" s="310">
        <f t="shared" si="4"/>
        <v>0</v>
      </c>
      <c r="J80" s="310">
        <f t="shared" si="4"/>
        <v>0</v>
      </c>
      <c r="K80" s="310">
        <f t="shared" si="4"/>
        <v>0</v>
      </c>
      <c r="L80" s="310">
        <f t="shared" si="4"/>
        <v>0</v>
      </c>
      <c r="M80" s="310">
        <f t="shared" si="4"/>
        <v>0</v>
      </c>
      <c r="N80" s="310">
        <f t="shared" si="4"/>
        <v>0</v>
      </c>
      <c r="O80" s="310">
        <f t="shared" si="3"/>
        <v>210.06081399999999</v>
      </c>
      <c r="P80" s="46"/>
    </row>
    <row r="81" spans="1:16" x14ac:dyDescent="0.15">
      <c r="A81" s="309" t="s">
        <v>104</v>
      </c>
      <c r="B81" s="310">
        <f t="shared" ref="B81:N81" si="5">B23</f>
        <v>4399.2412199999999</v>
      </c>
      <c r="C81" s="310">
        <f t="shared" si="5"/>
        <v>345.19972499999977</v>
      </c>
      <c r="D81" s="310">
        <f t="shared" si="5"/>
        <v>199.58639099999996</v>
      </c>
      <c r="E81" s="310">
        <f t="shared" si="5"/>
        <v>262.1994679999998</v>
      </c>
      <c r="F81" s="310">
        <f t="shared" si="5"/>
        <v>422.65117599999957</v>
      </c>
      <c r="G81" s="310">
        <f t="shared" si="5"/>
        <v>0</v>
      </c>
      <c r="H81" s="310">
        <f t="shared" si="5"/>
        <v>0</v>
      </c>
      <c r="I81" s="310">
        <f t="shared" si="5"/>
        <v>0</v>
      </c>
      <c r="J81" s="310">
        <f t="shared" si="5"/>
        <v>0</v>
      </c>
      <c r="K81" s="310">
        <f t="shared" si="5"/>
        <v>0</v>
      </c>
      <c r="L81" s="310">
        <f t="shared" si="5"/>
        <v>0</v>
      </c>
      <c r="M81" s="310">
        <f t="shared" si="5"/>
        <v>0</v>
      </c>
      <c r="N81" s="310">
        <f t="shared" si="5"/>
        <v>0</v>
      </c>
      <c r="O81" s="310">
        <f t="shared" si="3"/>
        <v>1229.6367599999992</v>
      </c>
      <c r="P81" s="46"/>
    </row>
    <row r="82" spans="1:16" x14ac:dyDescent="0.15">
      <c r="A82" s="309" t="s">
        <v>105</v>
      </c>
      <c r="B82" s="310">
        <f t="shared" ref="B82:N82" si="6">B25</f>
        <v>18434.030999999999</v>
      </c>
      <c r="C82" s="310">
        <f t="shared" si="6"/>
        <v>1595.5429179999969</v>
      </c>
      <c r="D82" s="310">
        <f t="shared" si="6"/>
        <v>1464.6377909999969</v>
      </c>
      <c r="E82" s="310">
        <f t="shared" si="6"/>
        <v>1613.5316429999968</v>
      </c>
      <c r="F82" s="310">
        <f t="shared" si="6"/>
        <v>1577.075418999998</v>
      </c>
      <c r="G82" s="310">
        <f t="shared" si="6"/>
        <v>0</v>
      </c>
      <c r="H82" s="310">
        <f t="shared" si="6"/>
        <v>0</v>
      </c>
      <c r="I82" s="310">
        <f t="shared" si="6"/>
        <v>0</v>
      </c>
      <c r="J82" s="310">
        <f t="shared" si="6"/>
        <v>0</v>
      </c>
      <c r="K82" s="310">
        <f t="shared" si="6"/>
        <v>0</v>
      </c>
      <c r="L82" s="310">
        <f t="shared" si="6"/>
        <v>0</v>
      </c>
      <c r="M82" s="310">
        <f t="shared" si="6"/>
        <v>0</v>
      </c>
      <c r="N82" s="310">
        <f t="shared" si="6"/>
        <v>0</v>
      </c>
      <c r="O82" s="310">
        <f t="shared" si="3"/>
        <v>6250.7877709999884</v>
      </c>
      <c r="P82" s="46"/>
    </row>
    <row r="83" spans="1:16" x14ac:dyDescent="0.15">
      <c r="A83" s="309" t="s">
        <v>106</v>
      </c>
      <c r="B83" s="310">
        <f t="shared" ref="B83:N83" si="7">B29</f>
        <v>881.05</v>
      </c>
      <c r="C83" s="310">
        <f t="shared" si="7"/>
        <v>0</v>
      </c>
      <c r="D83" s="310">
        <f t="shared" si="7"/>
        <v>0</v>
      </c>
      <c r="E83" s="310">
        <f t="shared" si="7"/>
        <v>0</v>
      </c>
      <c r="F83" s="310">
        <f t="shared" si="7"/>
        <v>0</v>
      </c>
      <c r="G83" s="310">
        <f t="shared" si="7"/>
        <v>0</v>
      </c>
      <c r="H83" s="310">
        <f t="shared" si="7"/>
        <v>0</v>
      </c>
      <c r="I83" s="310">
        <f t="shared" si="7"/>
        <v>0</v>
      </c>
      <c r="J83" s="310">
        <f t="shared" si="7"/>
        <v>0</v>
      </c>
      <c r="K83" s="310">
        <f t="shared" si="7"/>
        <v>0</v>
      </c>
      <c r="L83" s="310">
        <f t="shared" si="7"/>
        <v>0</v>
      </c>
      <c r="M83" s="310">
        <f t="shared" si="7"/>
        <v>0</v>
      </c>
      <c r="N83" s="310">
        <f t="shared" si="7"/>
        <v>0</v>
      </c>
      <c r="O83" s="310">
        <f t="shared" si="3"/>
        <v>0</v>
      </c>
    </row>
    <row r="84" spans="1:16" x14ac:dyDescent="0.15">
      <c r="A84" s="309" t="s">
        <v>47</v>
      </c>
      <c r="B84" s="310">
        <f>B35</f>
        <v>775.9</v>
      </c>
      <c r="C84" s="310">
        <f t="shared" ref="C84:N84" si="8">C35</f>
        <v>0</v>
      </c>
      <c r="D84" s="310">
        <f t="shared" si="8"/>
        <v>0</v>
      </c>
      <c r="E84" s="310">
        <f t="shared" si="8"/>
        <v>46.857067999999998</v>
      </c>
      <c r="F84" s="310">
        <f t="shared" si="8"/>
        <v>50.582591999999998</v>
      </c>
      <c r="G84" s="310">
        <f t="shared" si="8"/>
        <v>0</v>
      </c>
      <c r="H84" s="310">
        <f t="shared" si="8"/>
        <v>0</v>
      </c>
      <c r="I84" s="310">
        <f t="shared" si="8"/>
        <v>0</v>
      </c>
      <c r="J84" s="310">
        <f t="shared" si="8"/>
        <v>0</v>
      </c>
      <c r="K84" s="310">
        <f t="shared" si="8"/>
        <v>0</v>
      </c>
      <c r="L84" s="310">
        <f t="shared" si="8"/>
        <v>0</v>
      </c>
      <c r="M84" s="310">
        <f t="shared" si="8"/>
        <v>0</v>
      </c>
      <c r="N84" s="310">
        <f t="shared" si="8"/>
        <v>0</v>
      </c>
      <c r="O84" s="310">
        <f t="shared" si="3"/>
        <v>97.439660000000003</v>
      </c>
      <c r="P84" s="46"/>
    </row>
    <row r="85" spans="1:16" x14ac:dyDescent="0.15">
      <c r="A85" s="309" t="s">
        <v>107</v>
      </c>
      <c r="B85" s="310">
        <f>B37</f>
        <v>0</v>
      </c>
      <c r="C85" s="310">
        <f t="shared" ref="C85:N85" si="9">C37</f>
        <v>0</v>
      </c>
      <c r="D85" s="310">
        <f t="shared" si="9"/>
        <v>5.6410260000000001</v>
      </c>
      <c r="E85" s="310">
        <f t="shared" si="9"/>
        <v>0</v>
      </c>
      <c r="F85" s="310">
        <f t="shared" si="9"/>
        <v>0.31452999999999998</v>
      </c>
      <c r="G85" s="310">
        <f t="shared" si="9"/>
        <v>0</v>
      </c>
      <c r="H85" s="310">
        <f t="shared" si="9"/>
        <v>0</v>
      </c>
      <c r="I85" s="310">
        <f t="shared" si="9"/>
        <v>0</v>
      </c>
      <c r="J85" s="310">
        <f t="shared" si="9"/>
        <v>0</v>
      </c>
      <c r="K85" s="310">
        <f t="shared" si="9"/>
        <v>0</v>
      </c>
      <c r="L85" s="310">
        <f t="shared" si="9"/>
        <v>0</v>
      </c>
      <c r="M85" s="310">
        <f t="shared" si="9"/>
        <v>0</v>
      </c>
      <c r="N85" s="310">
        <f t="shared" si="9"/>
        <v>0</v>
      </c>
      <c r="O85" s="310">
        <f t="shared" si="3"/>
        <v>5.9555559999999996</v>
      </c>
    </row>
    <row r="86" spans="1:16" x14ac:dyDescent="0.15">
      <c r="A86" s="309" t="s">
        <v>108</v>
      </c>
      <c r="B86" s="310">
        <f>B42</f>
        <v>28</v>
      </c>
      <c r="C86" s="310">
        <f t="shared" ref="C86:N86" si="10">C42</f>
        <v>0</v>
      </c>
      <c r="D86" s="310">
        <f t="shared" si="10"/>
        <v>0</v>
      </c>
      <c r="E86" s="310">
        <f t="shared" si="10"/>
        <v>0</v>
      </c>
      <c r="F86" s="310">
        <f t="shared" si="10"/>
        <v>0</v>
      </c>
      <c r="G86" s="310">
        <f t="shared" si="10"/>
        <v>0</v>
      </c>
      <c r="H86" s="310">
        <f t="shared" si="10"/>
        <v>0</v>
      </c>
      <c r="I86" s="310">
        <f t="shared" si="10"/>
        <v>0</v>
      </c>
      <c r="J86" s="310">
        <f t="shared" si="10"/>
        <v>0</v>
      </c>
      <c r="K86" s="310">
        <f t="shared" si="10"/>
        <v>0</v>
      </c>
      <c r="L86" s="310">
        <f t="shared" si="10"/>
        <v>0</v>
      </c>
      <c r="M86" s="310">
        <f t="shared" si="10"/>
        <v>0</v>
      </c>
      <c r="N86" s="310">
        <f t="shared" si="10"/>
        <v>0</v>
      </c>
      <c r="O86" s="310">
        <f t="shared" si="3"/>
        <v>0</v>
      </c>
    </row>
    <row r="91" spans="1:16" s="363" customFormat="1" ht="29.25" customHeight="1" x14ac:dyDescent="0.15">
      <c r="A91" s="367" t="s">
        <v>109</v>
      </c>
      <c r="B91" s="367" t="s">
        <v>110</v>
      </c>
      <c r="C91" s="367" t="s">
        <v>111</v>
      </c>
      <c r="D91" s="367" t="s">
        <v>112</v>
      </c>
      <c r="E91" s="367" t="s">
        <v>113</v>
      </c>
      <c r="F91" s="367" t="s">
        <v>114</v>
      </c>
      <c r="G91" s="368" t="s">
        <v>115</v>
      </c>
      <c r="H91" s="368" t="s">
        <v>116</v>
      </c>
      <c r="I91" s="368" t="s">
        <v>117</v>
      </c>
      <c r="J91" s="367" t="s">
        <v>118</v>
      </c>
    </row>
    <row r="92" spans="1:16" s="363" customFormat="1" ht="29.25" customHeight="1" x14ac:dyDescent="0.15">
      <c r="A92" s="367" t="s">
        <v>119</v>
      </c>
      <c r="B92" s="369">
        <f>结算电量表!B103</f>
        <v>158350</v>
      </c>
      <c r="C92" s="369">
        <f>结算电量表!O103</f>
        <v>55431.818200000002</v>
      </c>
      <c r="D92" s="369">
        <f>结算电量表!P70</f>
        <v>21212.588400000001</v>
      </c>
      <c r="E92" s="370">
        <v>0.15</v>
      </c>
      <c r="F92" s="370">
        <f>(C92-D92-G92-H92-I92)/D92</f>
        <v>0.71591703066279266</v>
      </c>
      <c r="G92" s="371">
        <f>结算电量表!O113</f>
        <v>3943.3806000000004</v>
      </c>
      <c r="H92" s="371">
        <f>结算电量表!O97</f>
        <v>7853.8336999999992</v>
      </c>
      <c r="I92" s="371">
        <f>结算电量表!O98</f>
        <v>7235.5622000000003</v>
      </c>
      <c r="J92" s="367"/>
      <c r="K92" s="375">
        <f>C92-D92-G92-H92-I92</f>
        <v>15186.453300000001</v>
      </c>
    </row>
    <row r="93" spans="1:16" s="363" customFormat="1" ht="29.25" customHeight="1" x14ac:dyDescent="0.15">
      <c r="A93" s="372" t="s">
        <v>120</v>
      </c>
      <c r="B93" s="373">
        <v>71344</v>
      </c>
      <c r="C93" s="373">
        <v>10911</v>
      </c>
      <c r="D93" s="373">
        <v>5987</v>
      </c>
      <c r="E93" s="370">
        <v>0.15</v>
      </c>
      <c r="F93" s="370">
        <f>(C93-D93-G93-H93-I93)/D93</f>
        <v>-0.57046910689827968</v>
      </c>
      <c r="G93" s="371">
        <f>营业总收入!O95</f>
        <v>1895.1753920000001</v>
      </c>
      <c r="H93" s="371">
        <f>景峡!O3</f>
        <v>3340.4316740000004</v>
      </c>
      <c r="I93" s="371">
        <f>烟墩!O3</f>
        <v>3103.7914769999998</v>
      </c>
      <c r="J93" s="376" t="s">
        <v>121</v>
      </c>
    </row>
    <row r="94" spans="1:16" s="363" customFormat="1" ht="29.25" customHeight="1" x14ac:dyDescent="0.15">
      <c r="A94" s="372" t="s">
        <v>122</v>
      </c>
      <c r="B94" s="373">
        <v>68335</v>
      </c>
      <c r="C94" s="373">
        <v>10142</v>
      </c>
      <c r="D94" s="373">
        <v>7909</v>
      </c>
      <c r="E94" s="370">
        <v>0.15</v>
      </c>
      <c r="F94" s="370">
        <f t="shared" ref="F94:F110" si="11">(C94-D94-G94-H94-I94)/D94</f>
        <v>-0.35110926994563157</v>
      </c>
      <c r="G94" s="371">
        <f>营业总成本!O45</f>
        <v>896.61470099999997</v>
      </c>
      <c r="H94" s="371">
        <f>景峡!O10</f>
        <v>2115.269354</v>
      </c>
      <c r="I94" s="371">
        <f>烟墩!O10</f>
        <v>1998.0391609999999</v>
      </c>
      <c r="J94" s="376"/>
    </row>
    <row r="95" spans="1:16" s="363" customFormat="1" ht="29.25" customHeight="1" x14ac:dyDescent="0.15">
      <c r="A95" s="372" t="s">
        <v>123</v>
      </c>
      <c r="B95" s="373">
        <v>43105</v>
      </c>
      <c r="C95" s="373">
        <v>6509</v>
      </c>
      <c r="D95" s="373">
        <v>5128</v>
      </c>
      <c r="E95" s="370">
        <v>0.15</v>
      </c>
      <c r="F95" s="370">
        <f t="shared" si="11"/>
        <v>-0.27962820631825269</v>
      </c>
      <c r="G95" s="371">
        <v>259.057098</v>
      </c>
      <c r="H95" s="371">
        <f>景峡!O12</f>
        <v>1373.8034369999998</v>
      </c>
      <c r="I95" s="371">
        <f>烟墩!O12</f>
        <v>1182.072907</v>
      </c>
      <c r="J95" s="377"/>
    </row>
    <row r="96" spans="1:16" s="363" customFormat="1" ht="29.25" customHeight="1" x14ac:dyDescent="0.15">
      <c r="A96" s="372" t="s">
        <v>124</v>
      </c>
      <c r="B96" s="373">
        <v>861</v>
      </c>
      <c r="C96" s="373">
        <v>110</v>
      </c>
      <c r="D96" s="373">
        <v>60</v>
      </c>
      <c r="E96" s="370">
        <v>0.13</v>
      </c>
      <c r="F96" s="370">
        <f t="shared" si="11"/>
        <v>-1.0134336833333333</v>
      </c>
      <c r="G96" s="371">
        <f>青海!O74*0.5</f>
        <v>0</v>
      </c>
      <c r="H96" s="371">
        <f>景峡!O74</f>
        <v>72.525400000000005</v>
      </c>
      <c r="I96" s="371">
        <f>烟墩!O74</f>
        <v>38.280620999999996</v>
      </c>
      <c r="J96" s="377"/>
    </row>
    <row r="97" spans="1:10" s="363" customFormat="1" ht="29.25" customHeight="1" x14ac:dyDescent="0.15">
      <c r="A97" s="372" t="s">
        <v>125</v>
      </c>
      <c r="B97" s="373">
        <v>3158</v>
      </c>
      <c r="C97" s="373">
        <v>55</v>
      </c>
      <c r="D97" s="373">
        <v>121</v>
      </c>
      <c r="E97" s="370">
        <v>0.02</v>
      </c>
      <c r="F97" s="370">
        <f t="shared" si="11"/>
        <v>-0.56469404669421486</v>
      </c>
      <c r="G97" s="371">
        <f>青海!O75*0.35</f>
        <v>0.94360664999999999</v>
      </c>
      <c r="H97" s="371">
        <f>景峡!O75</f>
        <v>0</v>
      </c>
      <c r="I97" s="371">
        <f>烟墩!O75</f>
        <v>1.3843730000000001</v>
      </c>
      <c r="J97" s="372" t="s">
        <v>126</v>
      </c>
    </row>
    <row r="98" spans="1:10" s="363" customFormat="1" ht="29.25" customHeight="1" x14ac:dyDescent="0.15">
      <c r="A98" s="372" t="s">
        <v>127</v>
      </c>
      <c r="B98" s="373">
        <v>32327</v>
      </c>
      <c r="C98" s="373">
        <v>5518</v>
      </c>
      <c r="D98" s="373">
        <v>4270</v>
      </c>
      <c r="E98" s="370">
        <v>0.17</v>
      </c>
      <c r="F98" s="370">
        <f t="shared" si="11"/>
        <v>-0.28376816254098364</v>
      </c>
      <c r="G98" s="371">
        <f>青海!O76*0.45</f>
        <v>392.56548704999994</v>
      </c>
      <c r="H98" s="371">
        <f>景峡!O76</f>
        <v>1117.25404</v>
      </c>
      <c r="I98" s="371">
        <f>烟墩!O76</f>
        <v>949.87052699999992</v>
      </c>
      <c r="J98" s="377"/>
    </row>
    <row r="99" spans="1:10" s="363" customFormat="1" ht="29.25" customHeight="1" x14ac:dyDescent="0.15">
      <c r="A99" s="372" t="s">
        <v>128</v>
      </c>
      <c r="B99" s="373">
        <v>2153</v>
      </c>
      <c r="C99" s="373">
        <v>121</v>
      </c>
      <c r="D99" s="373">
        <v>76</v>
      </c>
      <c r="E99" s="370">
        <v>0.06</v>
      </c>
      <c r="F99" s="374">
        <f t="shared" si="11"/>
        <v>-0.47039398947368416</v>
      </c>
      <c r="G99" s="371">
        <f>青海!O78*0.35</f>
        <v>4.3496011999999995</v>
      </c>
      <c r="H99" s="371">
        <f>景峡!O78</f>
        <v>43.452225999999996</v>
      </c>
      <c r="I99" s="371">
        <f>烟墩!O78</f>
        <v>32.948115999999999</v>
      </c>
      <c r="J99" s="378" t="s">
        <v>129</v>
      </c>
    </row>
    <row r="100" spans="1:10" s="363" customFormat="1" ht="29.25" customHeight="1" x14ac:dyDescent="0.15">
      <c r="A100" s="372" t="s">
        <v>130</v>
      </c>
      <c r="B100" s="373">
        <v>580</v>
      </c>
      <c r="C100" s="373">
        <v>0</v>
      </c>
      <c r="D100" s="373">
        <v>0</v>
      </c>
      <c r="E100" s="370">
        <v>0</v>
      </c>
      <c r="F100" s="370" t="e">
        <f t="shared" si="11"/>
        <v>#DIV/0!</v>
      </c>
      <c r="G100" s="371">
        <f>青海!O79*0.5</f>
        <v>0</v>
      </c>
      <c r="H100" s="371">
        <f>景峡!O79</f>
        <v>0</v>
      </c>
      <c r="I100" s="371">
        <f>烟墩!O79</f>
        <v>0</v>
      </c>
      <c r="J100" s="372" t="s">
        <v>131</v>
      </c>
    </row>
    <row r="101" spans="1:10" s="363" customFormat="1" ht="29.25" customHeight="1" x14ac:dyDescent="0.15">
      <c r="A101" s="372" t="s">
        <v>132</v>
      </c>
      <c r="B101" s="373">
        <v>936</v>
      </c>
      <c r="C101" s="373">
        <v>28</v>
      </c>
      <c r="D101" s="373">
        <v>34</v>
      </c>
      <c r="E101" s="370">
        <v>0.03</v>
      </c>
      <c r="F101" s="370">
        <f t="shared" si="11"/>
        <v>-1.6468969117647059</v>
      </c>
      <c r="G101" s="371">
        <v>0.60706000000000004</v>
      </c>
      <c r="H101" s="371">
        <f>景峡!O80</f>
        <v>28.175909000000001</v>
      </c>
      <c r="I101" s="371">
        <f>烟墩!O80</f>
        <v>21.211525999999999</v>
      </c>
      <c r="J101" s="372" t="s">
        <v>133</v>
      </c>
    </row>
    <row r="102" spans="1:10" s="363" customFormat="1" ht="29.25" customHeight="1" x14ac:dyDescent="0.15">
      <c r="A102" s="372" t="s">
        <v>104</v>
      </c>
      <c r="B102" s="373">
        <v>4399</v>
      </c>
      <c r="C102" s="373">
        <v>545</v>
      </c>
      <c r="D102" s="373">
        <v>521</v>
      </c>
      <c r="E102" s="370">
        <v>0.12</v>
      </c>
      <c r="F102" s="370">
        <f t="shared" si="11"/>
        <v>-0.207431896353167</v>
      </c>
      <c r="G102" s="371">
        <v>41.971425000000004</v>
      </c>
      <c r="H102" s="371">
        <f>景峡!O81</f>
        <v>52.033236000000002</v>
      </c>
      <c r="I102" s="371">
        <f>烟墩!O81</f>
        <v>38.067357000000001</v>
      </c>
      <c r="J102" s="377"/>
    </row>
    <row r="103" spans="1:10" s="363" customFormat="1" ht="29.25" customHeight="1" x14ac:dyDescent="0.15">
      <c r="A103" s="372" t="s">
        <v>134</v>
      </c>
      <c r="B103" s="373">
        <v>154</v>
      </c>
      <c r="C103" s="373">
        <v>18</v>
      </c>
      <c r="D103" s="373">
        <v>6</v>
      </c>
      <c r="E103" s="370">
        <v>0.12</v>
      </c>
      <c r="F103" s="370">
        <f t="shared" si="11"/>
        <v>2</v>
      </c>
      <c r="G103" s="371"/>
      <c r="H103" s="371"/>
      <c r="I103" s="371"/>
      <c r="J103" s="372" t="s">
        <v>135</v>
      </c>
    </row>
    <row r="104" spans="1:10" s="363" customFormat="1" ht="29.25" customHeight="1" x14ac:dyDescent="0.15">
      <c r="A104" s="372" t="s">
        <v>136</v>
      </c>
      <c r="B104" s="373">
        <v>25</v>
      </c>
      <c r="C104" s="373">
        <v>3</v>
      </c>
      <c r="D104" s="373">
        <v>3</v>
      </c>
      <c r="E104" s="370">
        <v>0.12</v>
      </c>
      <c r="F104" s="370">
        <f t="shared" si="11"/>
        <v>0</v>
      </c>
      <c r="G104" s="371"/>
      <c r="H104" s="371"/>
      <c r="I104" s="371"/>
      <c r="J104" s="372" t="s">
        <v>137</v>
      </c>
    </row>
    <row r="105" spans="1:10" s="363" customFormat="1" ht="29.25" customHeight="1" x14ac:dyDescent="0.15">
      <c r="A105" s="372" t="s">
        <v>138</v>
      </c>
      <c r="B105" s="373">
        <v>29</v>
      </c>
      <c r="C105" s="373">
        <v>1</v>
      </c>
      <c r="D105" s="373">
        <v>2</v>
      </c>
      <c r="E105" s="370">
        <v>0.03</v>
      </c>
      <c r="F105" s="370">
        <f t="shared" si="11"/>
        <v>-0.5</v>
      </c>
      <c r="G105" s="371"/>
      <c r="H105" s="371"/>
      <c r="I105" s="371"/>
      <c r="J105" s="379"/>
    </row>
    <row r="106" spans="1:10" s="363" customFormat="1" ht="29.25" customHeight="1" x14ac:dyDescent="0.15">
      <c r="A106" s="372" t="s">
        <v>139</v>
      </c>
      <c r="B106" s="373">
        <v>65</v>
      </c>
      <c r="C106" s="373">
        <v>5</v>
      </c>
      <c r="D106" s="373">
        <v>15</v>
      </c>
      <c r="E106" s="370">
        <v>0.08</v>
      </c>
      <c r="F106" s="370">
        <f t="shared" si="11"/>
        <v>-0.66666666666666663</v>
      </c>
      <c r="G106" s="371"/>
      <c r="H106" s="371"/>
      <c r="I106" s="371"/>
      <c r="J106" s="379"/>
    </row>
    <row r="107" spans="1:10" s="363" customFormat="1" ht="29.25" customHeight="1" x14ac:dyDescent="0.15">
      <c r="A107" s="372" t="s">
        <v>140</v>
      </c>
      <c r="B107" s="373">
        <v>143</v>
      </c>
      <c r="C107" s="373">
        <v>9</v>
      </c>
      <c r="D107" s="373">
        <v>11</v>
      </c>
      <c r="E107" s="370">
        <v>0.06</v>
      </c>
      <c r="F107" s="370">
        <f t="shared" si="11"/>
        <v>-0.18181818181818182</v>
      </c>
      <c r="G107" s="371"/>
      <c r="H107" s="371"/>
      <c r="I107" s="371"/>
      <c r="J107" s="379"/>
    </row>
    <row r="108" spans="1:10" s="363" customFormat="1" ht="29.25" customHeight="1" x14ac:dyDescent="0.15">
      <c r="A108" s="372" t="s">
        <v>105</v>
      </c>
      <c r="B108" s="373">
        <v>18434</v>
      </c>
      <c r="C108" s="373">
        <v>3061</v>
      </c>
      <c r="D108" s="373">
        <v>2227</v>
      </c>
      <c r="E108" s="370">
        <v>0.17</v>
      </c>
      <c r="F108" s="370">
        <f t="shared" si="11"/>
        <v>-0.32408898607992809</v>
      </c>
      <c r="G108" s="371">
        <v>137.802029</v>
      </c>
      <c r="H108" s="371">
        <f>景峡!O82</f>
        <v>661.25677199999996</v>
      </c>
      <c r="I108" s="371">
        <f>烟墩!O82</f>
        <v>756.68737099999998</v>
      </c>
      <c r="J108" s="377"/>
    </row>
    <row r="109" spans="1:10" s="363" customFormat="1" ht="29.25" customHeight="1" x14ac:dyDescent="0.15">
      <c r="A109" s="372" t="s">
        <v>141</v>
      </c>
      <c r="B109" s="373">
        <v>3756</v>
      </c>
      <c r="C109" s="373">
        <v>774</v>
      </c>
      <c r="D109" s="373">
        <v>-1922</v>
      </c>
      <c r="E109" s="370">
        <v>0.21</v>
      </c>
      <c r="F109" s="370">
        <f>(C109-D109-G109-H109-I109)/-D109</f>
        <v>-0.28627741363163373</v>
      </c>
      <c r="G109" s="371">
        <f>利润!O102</f>
        <v>915.31055300000003</v>
      </c>
      <c r="H109" s="371">
        <f>景峡!O46</f>
        <v>1225.1623199999999</v>
      </c>
      <c r="I109" s="371">
        <f>烟墩!O46</f>
        <v>1105.7523160000001</v>
      </c>
      <c r="J109" s="377"/>
    </row>
    <row r="110" spans="1:10" s="363" customFormat="1" ht="29.25" customHeight="1" x14ac:dyDescent="0.15">
      <c r="A110" s="372" t="s">
        <v>142</v>
      </c>
      <c r="B110" s="373">
        <v>8235</v>
      </c>
      <c r="C110" s="373">
        <v>1212</v>
      </c>
      <c r="D110" s="373">
        <v>1193</v>
      </c>
      <c r="E110" s="370">
        <v>0.15</v>
      </c>
      <c r="F110" s="370">
        <f t="shared" si="11"/>
        <v>1.5926236378876781E-2</v>
      </c>
      <c r="G110" s="371"/>
      <c r="H110" s="371"/>
      <c r="I110" s="371"/>
      <c r="J110" s="372" t="s">
        <v>143</v>
      </c>
    </row>
  </sheetData>
  <phoneticPr fontId="3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2"/>
  <sheetViews>
    <sheetView workbookViewId="0">
      <pane xSplit="1" ySplit="2" topLeftCell="B3" activePane="bottomRight" state="frozenSplit"/>
      <selection pane="topRight"/>
      <selection pane="bottomLeft"/>
      <selection pane="bottomRight" activeCell="Q36" sqref="Q36"/>
    </sheetView>
  </sheetViews>
  <sheetFormatPr defaultColWidth="9" defaultRowHeight="13.5" x14ac:dyDescent="0.15"/>
  <cols>
    <col min="1" max="1" width="25.375" customWidth="1"/>
    <col min="2" max="2" width="9.625" customWidth="1"/>
    <col min="3" max="15" width="9.125" customWidth="1"/>
  </cols>
  <sheetData>
    <row r="1" spans="1:16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6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6" x14ac:dyDescent="0.15">
      <c r="A3" s="291" t="s">
        <v>14</v>
      </c>
      <c r="B3" s="292">
        <f>B4</f>
        <v>7627.7682769230796</v>
      </c>
      <c r="C3" s="292">
        <f>C4</f>
        <v>975.77683100000002</v>
      </c>
      <c r="D3" s="292">
        <f t="shared" ref="D3:N3" si="0">D4</f>
        <v>363.11360999999999</v>
      </c>
      <c r="E3" s="292">
        <f t="shared" si="0"/>
        <v>878.51945599999999</v>
      </c>
      <c r="F3" s="292">
        <f t="shared" si="0"/>
        <v>886.38157999999999</v>
      </c>
      <c r="G3" s="292">
        <f t="shared" si="0"/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>SUM(C3:N3)</f>
        <v>3103.7914769999998</v>
      </c>
    </row>
    <row r="4" spans="1:16" x14ac:dyDescent="0.15">
      <c r="A4" s="291" t="s">
        <v>15</v>
      </c>
      <c r="B4" s="292">
        <f>B5+B6</f>
        <v>7627.7682769230796</v>
      </c>
      <c r="C4" s="292">
        <f>C5+C6</f>
        <v>975.77683100000002</v>
      </c>
      <c r="D4" s="292">
        <f t="shared" ref="D4:N4" si="1">D5+D6</f>
        <v>363.11360999999999</v>
      </c>
      <c r="E4" s="292">
        <f t="shared" si="1"/>
        <v>878.51945599999999</v>
      </c>
      <c r="F4" s="292">
        <f t="shared" si="1"/>
        <v>886.38157999999999</v>
      </c>
      <c r="G4" s="292">
        <f t="shared" si="1"/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292">
        <f>SUM(C4:N4)</f>
        <v>3103.7914769999998</v>
      </c>
    </row>
    <row r="5" spans="1:16" ht="14.25" customHeight="1" x14ac:dyDescent="0.15">
      <c r="A5" s="291" t="s">
        <v>17</v>
      </c>
      <c r="B5" s="292">
        <v>7627.7682769230796</v>
      </c>
      <c r="C5" s="292">
        <v>975.77683100000002</v>
      </c>
      <c r="D5" s="292">
        <v>363.11360999999999</v>
      </c>
      <c r="E5" s="292">
        <v>878.51945599999999</v>
      </c>
      <c r="F5" s="292">
        <v>886.38157999999999</v>
      </c>
      <c r="G5" s="292"/>
      <c r="H5" s="292"/>
      <c r="I5" s="292"/>
      <c r="J5" s="292"/>
      <c r="K5" s="292"/>
      <c r="L5" s="292"/>
      <c r="M5" s="292"/>
      <c r="N5" s="292"/>
      <c r="O5" s="292">
        <f>SUM(C5:N5)</f>
        <v>3103.7914769999998</v>
      </c>
    </row>
    <row r="6" spans="1:16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>SUM(C6:N6)</f>
        <v>0</v>
      </c>
    </row>
    <row r="7" spans="1:16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ref="O7:O43" si="2">SUM(C7:N7)</f>
        <v>0</v>
      </c>
    </row>
    <row r="8" spans="1:16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2"/>
        <v>0</v>
      </c>
    </row>
    <row r="9" spans="1:16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2"/>
        <v>0</v>
      </c>
    </row>
    <row r="10" spans="1:16" x14ac:dyDescent="0.15">
      <c r="A10" s="291" t="s">
        <v>22</v>
      </c>
      <c r="B10" s="292">
        <f>B11+B21+B23+B25+B29</f>
        <v>6817.8769680000005</v>
      </c>
      <c r="C10" s="292">
        <f>C11+C21+C23+C25+C29</f>
        <v>521.53583400000002</v>
      </c>
      <c r="D10" s="292">
        <f>D11+D21+D23+D25+D29</f>
        <v>447.86290399999996</v>
      </c>
      <c r="E10" s="292">
        <f>E11+E21+E23+E25+E29</f>
        <v>468.08295900000002</v>
      </c>
      <c r="F10" s="292">
        <f t="shared" ref="F10:N10" si="3">F11+F21+F23+F25+F29</f>
        <v>560.55746399999998</v>
      </c>
      <c r="G10" s="292">
        <f t="shared" si="3"/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2"/>
        <v>1998.0391609999999</v>
      </c>
      <c r="P10">
        <f>B10-O10</f>
        <v>4819.8378070000008</v>
      </c>
    </row>
    <row r="11" spans="1:16" x14ac:dyDescent="0.15">
      <c r="A11" s="291" t="s">
        <v>23</v>
      </c>
      <c r="B11" s="292">
        <f>B12+B13</f>
        <v>3696.8800480000004</v>
      </c>
      <c r="C11" s="292">
        <f t="shared" ref="C11:N11" si="4">C12+C13</f>
        <v>314.37714399999999</v>
      </c>
      <c r="D11" s="292">
        <f t="shared" si="4"/>
        <v>266.61992299999997</v>
      </c>
      <c r="E11" s="292">
        <f t="shared" si="4"/>
        <v>265.84364800000003</v>
      </c>
      <c r="F11" s="292">
        <f t="shared" si="4"/>
        <v>335.232192</v>
      </c>
      <c r="G11" s="292">
        <f t="shared" si="4"/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292">
        <f t="shared" si="2"/>
        <v>1182.072907</v>
      </c>
    </row>
    <row r="12" spans="1:16" x14ac:dyDescent="0.15">
      <c r="A12" s="291" t="s">
        <v>144</v>
      </c>
      <c r="B12" s="292">
        <f>B73</f>
        <v>3696.8800480000004</v>
      </c>
      <c r="C12" s="293">
        <f>C73</f>
        <v>314.37714399999999</v>
      </c>
      <c r="D12" s="293">
        <f t="shared" ref="D12:N12" si="5">D73</f>
        <v>266.61992299999997</v>
      </c>
      <c r="E12" s="293">
        <f t="shared" si="5"/>
        <v>265.84364800000003</v>
      </c>
      <c r="F12" s="293">
        <f t="shared" si="5"/>
        <v>335.232192</v>
      </c>
      <c r="G12" s="293">
        <f t="shared" si="5"/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3">
        <f t="shared" si="2"/>
        <v>1182.072907</v>
      </c>
    </row>
    <row r="13" spans="1:16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2"/>
        <v>0</v>
      </c>
    </row>
    <row r="14" spans="1:16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2"/>
        <v>0</v>
      </c>
    </row>
    <row r="15" spans="1:16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2"/>
        <v>0</v>
      </c>
    </row>
    <row r="16" spans="1:16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2"/>
        <v>0</v>
      </c>
    </row>
    <row r="18" spans="1:15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2"/>
        <v>0</v>
      </c>
    </row>
    <row r="21" spans="1:15" x14ac:dyDescent="0.15">
      <c r="A21" s="291" t="s">
        <v>33</v>
      </c>
      <c r="B21" s="292">
        <v>51.5</v>
      </c>
      <c r="C21" s="292"/>
      <c r="D21" s="292"/>
      <c r="E21" s="292"/>
      <c r="F21" s="292">
        <v>21.211525999999999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2"/>
        <v>21.211525999999999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2"/>
        <v>0</v>
      </c>
    </row>
    <row r="23" spans="1:15" x14ac:dyDescent="0.15">
      <c r="A23" s="291" t="s">
        <v>35</v>
      </c>
      <c r="B23" s="292">
        <v>165.22592</v>
      </c>
      <c r="C23" s="292">
        <v>11.561597000000001</v>
      </c>
      <c r="D23" s="292">
        <v>4.7202830000000002</v>
      </c>
      <c r="E23" s="292">
        <v>6.8033890000000001</v>
      </c>
      <c r="F23" s="292">
        <v>14.982087999999999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2"/>
        <v>38.067357000000001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si="2"/>
        <v>0</v>
      </c>
    </row>
    <row r="25" spans="1:15" x14ac:dyDescent="0.15">
      <c r="A25" s="291" t="s">
        <v>37</v>
      </c>
      <c r="B25" s="292">
        <v>2504.6010000000001</v>
      </c>
      <c r="C25" s="292">
        <v>195.597093</v>
      </c>
      <c r="D25" s="292">
        <v>176.52269799999999</v>
      </c>
      <c r="E25" s="292">
        <v>195.43592200000001</v>
      </c>
      <c r="F25" s="292">
        <v>189.13165799999999</v>
      </c>
      <c r="G25" s="292"/>
      <c r="H25" s="292"/>
      <c r="I25" s="292"/>
      <c r="J25" s="292"/>
      <c r="K25" s="292"/>
      <c r="L25" s="292"/>
      <c r="M25" s="292"/>
      <c r="N25" s="292"/>
      <c r="O25" s="292">
        <f t="shared" si="2"/>
        <v>756.68737099999998</v>
      </c>
    </row>
    <row r="26" spans="1:15" hidden="1" x14ac:dyDescent="0.15">
      <c r="A26" s="291" t="s">
        <v>38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>
        <f t="shared" si="2"/>
        <v>0</v>
      </c>
    </row>
    <row r="27" spans="1:15" hidden="1" x14ac:dyDescent="0.15">
      <c r="A27" s="291" t="s">
        <v>39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>
        <f t="shared" si="2"/>
        <v>0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2"/>
        <v>0</v>
      </c>
    </row>
    <row r="29" spans="1:15" x14ac:dyDescent="0.15">
      <c r="A29" s="291" t="s">
        <v>41</v>
      </c>
      <c r="B29" s="292">
        <v>399.67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2"/>
        <v>0</v>
      </c>
    </row>
    <row r="30" spans="1:15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2"/>
        <v>0</v>
      </c>
    </row>
    <row r="31" spans="1:15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2"/>
        <v>0</v>
      </c>
    </row>
    <row r="32" spans="1:15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2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2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2"/>
        <v>0</v>
      </c>
    </row>
    <row r="35" spans="1:15" x14ac:dyDescent="0.15">
      <c r="A35" s="291" t="s">
        <v>47</v>
      </c>
      <c r="B35" s="292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2"/>
        <v>0</v>
      </c>
    </row>
    <row r="36" spans="1:15" x14ac:dyDescent="0.15">
      <c r="A36" s="291" t="s">
        <v>48</v>
      </c>
      <c r="B36" s="295">
        <f>B3-B10+B35</f>
        <v>809.89130892307912</v>
      </c>
      <c r="C36" s="295">
        <f>C3-C10</f>
        <v>454.24099699999999</v>
      </c>
      <c r="D36" s="295">
        <f>D3-D10</f>
        <v>-84.749293999999963</v>
      </c>
      <c r="E36" s="295">
        <f>E3-E10</f>
        <v>410.43649699999997</v>
      </c>
      <c r="F36" s="295">
        <f t="shared" ref="F36:N36" si="6">F3-F10+F35</f>
        <v>325.824116</v>
      </c>
      <c r="G36" s="295">
        <f t="shared" si="6"/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 t="shared" si="6"/>
        <v>0</v>
      </c>
      <c r="O36" s="292">
        <f t="shared" si="2"/>
        <v>1105.7523160000001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2"/>
        <v>0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2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2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2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2"/>
        <v>0</v>
      </c>
    </row>
    <row r="42" spans="1:15" x14ac:dyDescent="0.15">
      <c r="A42" s="291" t="s">
        <v>54</v>
      </c>
      <c r="B42" s="292">
        <v>10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2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2"/>
        <v>0</v>
      </c>
    </row>
    <row r="44" spans="1:15" hidden="1" x14ac:dyDescent="0.15">
      <c r="A44" s="291" t="s">
        <v>56</v>
      </c>
      <c r="B44" s="292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25">
        <f>O3-O10</f>
        <v>1105.7523159999998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ref="O45:O68" si="7">SUM(C45:N45)</f>
        <v>0</v>
      </c>
    </row>
    <row r="46" spans="1:15" x14ac:dyDescent="0.15">
      <c r="A46" s="291" t="s">
        <v>58</v>
      </c>
      <c r="B46" s="292">
        <f>B36+B37-B42</f>
        <v>799.89130892307912</v>
      </c>
      <c r="C46" s="296">
        <f t="shared" ref="C46:N46" si="8">C36+C37-C42</f>
        <v>454.24099699999999</v>
      </c>
      <c r="D46" s="325">
        <f t="shared" si="8"/>
        <v>-84.749293999999963</v>
      </c>
      <c r="E46" s="296">
        <f t="shared" si="8"/>
        <v>410.43649699999997</v>
      </c>
      <c r="F46" s="296">
        <f t="shared" si="8"/>
        <v>325.824116</v>
      </c>
      <c r="G46" s="296">
        <f t="shared" si="8"/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7"/>
        <v>1105.7523160000001</v>
      </c>
    </row>
    <row r="47" spans="1:15" x14ac:dyDescent="0.15">
      <c r="A47" s="291" t="s">
        <v>59</v>
      </c>
      <c r="B47" s="297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7"/>
        <v>0</v>
      </c>
    </row>
    <row r="48" spans="1:15" x14ac:dyDescent="0.15">
      <c r="A48" s="291" t="s">
        <v>60</v>
      </c>
      <c r="B48" s="297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>
        <f t="shared" si="7"/>
        <v>0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7"/>
        <v>0</v>
      </c>
    </row>
    <row r="50" spans="1:15" ht="24" hidden="1" x14ac:dyDescent="0.15">
      <c r="A50" s="291" t="s">
        <v>62</v>
      </c>
      <c r="B50" s="298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>
        <f t="shared" si="7"/>
        <v>0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7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7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7"/>
        <v>0</v>
      </c>
    </row>
    <row r="54" spans="1:15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7"/>
        <v>0</v>
      </c>
    </row>
    <row r="55" spans="1:15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7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7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7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7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7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7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7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7"/>
        <v>0</v>
      </c>
    </row>
    <row r="63" spans="1:15" ht="24" hidden="1" x14ac:dyDescent="0.15">
      <c r="A63" s="291" t="s">
        <v>75</v>
      </c>
      <c r="B63" s="298"/>
      <c r="C63" s="292">
        <v>-285.74242600000002</v>
      </c>
      <c r="D63" s="292">
        <v>-281.29071299999998</v>
      </c>
      <c r="E63" s="292">
        <v>-51.562356999999999</v>
      </c>
      <c r="F63" s="292">
        <v>71.380866999999995</v>
      </c>
      <c r="G63" s="292"/>
      <c r="H63" s="292"/>
      <c r="I63" s="292"/>
      <c r="J63" s="292"/>
      <c r="K63" s="292"/>
      <c r="L63" s="292"/>
      <c r="M63" s="292"/>
      <c r="N63" s="292"/>
      <c r="O63" s="292">
        <f t="shared" si="7"/>
        <v>-547.21462900000006</v>
      </c>
    </row>
    <row r="64" spans="1:15" hidden="1" x14ac:dyDescent="0.15">
      <c r="A64" s="291" t="s">
        <v>76</v>
      </c>
      <c r="B64" s="298"/>
      <c r="C64" s="292">
        <v>-285.74242600000002</v>
      </c>
      <c r="D64" s="292">
        <v>-281.29071299999998</v>
      </c>
      <c r="E64" s="292">
        <v>-51.562356999999999</v>
      </c>
      <c r="F64" s="292">
        <v>71.380866999999995</v>
      </c>
      <c r="G64" s="292"/>
      <c r="H64" s="292"/>
      <c r="I64" s="292"/>
      <c r="J64" s="292"/>
      <c r="K64" s="292"/>
      <c r="L64" s="292"/>
      <c r="M64" s="292"/>
      <c r="N64" s="292"/>
      <c r="O64" s="292">
        <f t="shared" si="7"/>
        <v>-547.21462900000006</v>
      </c>
    </row>
    <row r="65" spans="1:17" hidden="1" x14ac:dyDescent="0.15">
      <c r="A65" s="291" t="s">
        <v>77</v>
      </c>
      <c r="B65" s="298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>
        <f t="shared" si="7"/>
        <v>0</v>
      </c>
    </row>
    <row r="66" spans="1:17" ht="24" hidden="1" x14ac:dyDescent="0.15">
      <c r="A66" s="291" t="s">
        <v>78</v>
      </c>
      <c r="B66" s="298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>
        <f t="shared" si="7"/>
        <v>0</v>
      </c>
    </row>
    <row r="67" spans="1:17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7"/>
        <v>0</v>
      </c>
    </row>
    <row r="68" spans="1:17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7"/>
        <v>0</v>
      </c>
    </row>
    <row r="69" spans="1:17" hidden="1" x14ac:dyDescent="0.15">
      <c r="A69" s="291" t="s">
        <v>81</v>
      </c>
      <c r="B69" s="299"/>
    </row>
    <row r="70" spans="1:17" hidden="1" x14ac:dyDescent="0.15">
      <c r="A70" s="291" t="s">
        <v>82</v>
      </c>
      <c r="B70" s="299"/>
    </row>
    <row r="71" spans="1:17" x14ac:dyDescent="0.15">
      <c r="B71" s="299"/>
    </row>
    <row r="72" spans="1:1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7" x14ac:dyDescent="0.15">
      <c r="A73" s="303" t="s">
        <v>146</v>
      </c>
      <c r="B73" s="304">
        <f>SUM(B74:B78)</f>
        <v>3696.8800480000004</v>
      </c>
      <c r="C73" s="304">
        <f>SUM(C74:C78)</f>
        <v>314.37714399999999</v>
      </c>
      <c r="D73" s="304">
        <f t="shared" ref="D73:O73" si="9">SUM(D74:D78)</f>
        <v>266.61992299999997</v>
      </c>
      <c r="E73" s="304">
        <f t="shared" si="9"/>
        <v>265.84364800000003</v>
      </c>
      <c r="F73" s="315">
        <f t="shared" si="9"/>
        <v>335.232192</v>
      </c>
      <c r="G73" s="304">
        <f t="shared" si="9"/>
        <v>0</v>
      </c>
      <c r="H73" s="316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1182.072907</v>
      </c>
    </row>
    <row r="74" spans="1:17" x14ac:dyDescent="0.15">
      <c r="A74" s="305" t="s">
        <v>97</v>
      </c>
      <c r="B74" s="317">
        <v>155</v>
      </c>
      <c r="C74" s="85">
        <v>9.9369479999999992</v>
      </c>
      <c r="D74" s="85">
        <v>12.14204</v>
      </c>
      <c r="E74" s="320">
        <v>8.7893659999999993</v>
      </c>
      <c r="F74" s="85">
        <v>7.4122669999999999</v>
      </c>
      <c r="G74" s="85"/>
      <c r="H74" s="85"/>
      <c r="I74" s="85"/>
      <c r="J74" s="85"/>
      <c r="K74" s="85"/>
      <c r="L74" s="85"/>
      <c r="M74" s="85"/>
      <c r="N74" s="151"/>
      <c r="O74" s="310">
        <f>SUM(C74:N74)</f>
        <v>38.280620999999996</v>
      </c>
      <c r="Q74">
        <v>10000</v>
      </c>
    </row>
    <row r="75" spans="1:17" x14ac:dyDescent="0.15">
      <c r="A75" s="305" t="s">
        <v>98</v>
      </c>
      <c r="B75" s="317">
        <v>153</v>
      </c>
      <c r="C75" s="85"/>
      <c r="D75" s="85">
        <v>0.22075500000000001</v>
      </c>
      <c r="E75" s="320">
        <f>(1356+283.02)/10000</f>
        <v>0.16390199999999999</v>
      </c>
      <c r="F75" s="85">
        <v>0.99971600000000005</v>
      </c>
      <c r="G75" s="85"/>
      <c r="H75" s="85"/>
      <c r="I75" s="85"/>
      <c r="J75" s="85"/>
      <c r="K75" s="85"/>
      <c r="L75" s="85"/>
      <c r="M75" s="85"/>
      <c r="N75" s="151"/>
      <c r="O75" s="310">
        <f t="shared" ref="O75:O82" si="10">SUM(C75:N75)</f>
        <v>1.3843730000000001</v>
      </c>
    </row>
    <row r="76" spans="1:17" x14ac:dyDescent="0.15">
      <c r="A76" s="305" t="s">
        <v>99</v>
      </c>
      <c r="B76" s="317">
        <v>2779.26</v>
      </c>
      <c r="C76" s="85">
        <v>233.90069500000001</v>
      </c>
      <c r="D76" s="85">
        <v>234.033447</v>
      </c>
      <c r="E76" s="320">
        <v>240.384862</v>
      </c>
      <c r="F76" s="85">
        <v>241.551523</v>
      </c>
      <c r="G76" s="85"/>
      <c r="H76" s="85"/>
      <c r="I76" s="85"/>
      <c r="J76" s="85"/>
      <c r="K76" s="85"/>
      <c r="L76" s="85"/>
      <c r="M76" s="85"/>
      <c r="N76" s="151"/>
      <c r="O76" s="310">
        <f t="shared" si="10"/>
        <v>949.87052699999992</v>
      </c>
    </row>
    <row r="77" spans="1:17" x14ac:dyDescent="0.15">
      <c r="A77" s="305" t="s">
        <v>100</v>
      </c>
      <c r="B77" s="317">
        <v>428.89004799999998</v>
      </c>
      <c r="C77" s="85">
        <v>59.142954000000003</v>
      </c>
      <c r="D77" s="85">
        <v>20.03293</v>
      </c>
      <c r="E77" s="320">
        <v>16.346458999999999</v>
      </c>
      <c r="F77" s="85">
        <v>64.066927000000007</v>
      </c>
      <c r="G77" s="85"/>
      <c r="H77" s="85"/>
      <c r="I77" s="85"/>
      <c r="J77" s="85"/>
      <c r="K77" s="85"/>
      <c r="L77" s="85"/>
      <c r="M77" s="85"/>
      <c r="N77" s="151"/>
      <c r="O77" s="310">
        <f t="shared" si="10"/>
        <v>159.58927</v>
      </c>
    </row>
    <row r="78" spans="1:17" x14ac:dyDescent="0.15">
      <c r="A78" s="307" t="s">
        <v>101</v>
      </c>
      <c r="B78" s="319">
        <v>180.73</v>
      </c>
      <c r="C78" s="85">
        <v>11.396547</v>
      </c>
      <c r="D78" s="85">
        <v>0.190751</v>
      </c>
      <c r="E78" s="320">
        <v>0.15905900000000001</v>
      </c>
      <c r="F78" s="85">
        <v>21.201758999999999</v>
      </c>
      <c r="G78" s="85"/>
      <c r="H78" s="85"/>
      <c r="I78" s="85"/>
      <c r="J78" s="85"/>
      <c r="K78" s="85"/>
      <c r="L78" s="85"/>
      <c r="M78" s="85"/>
      <c r="N78" s="151"/>
      <c r="O78" s="310">
        <f t="shared" si="10"/>
        <v>32.948115999999999</v>
      </c>
    </row>
    <row r="79" spans="1:17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0</v>
      </c>
    </row>
    <row r="80" spans="1:17" x14ac:dyDescent="0.15">
      <c r="A80" s="309" t="s">
        <v>103</v>
      </c>
      <c r="B80" s="310">
        <f t="shared" ref="B80:N80" si="12">B21</f>
        <v>51.5</v>
      </c>
      <c r="C80" s="310">
        <f t="shared" si="12"/>
        <v>0</v>
      </c>
      <c r="D80" s="310">
        <f t="shared" si="12"/>
        <v>0</v>
      </c>
      <c r="E80" s="310">
        <f t="shared" si="12"/>
        <v>0</v>
      </c>
      <c r="F80" s="310">
        <f t="shared" si="12"/>
        <v>21.211525999999999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21.211525999999999</v>
      </c>
    </row>
    <row r="81" spans="1:15" x14ac:dyDescent="0.15">
      <c r="A81" s="309" t="s">
        <v>104</v>
      </c>
      <c r="B81" s="310">
        <f t="shared" ref="B81:N81" si="13">B23</f>
        <v>165.22592</v>
      </c>
      <c r="C81" s="310">
        <f t="shared" si="13"/>
        <v>11.561597000000001</v>
      </c>
      <c r="D81" s="310">
        <f t="shared" si="13"/>
        <v>4.7202830000000002</v>
      </c>
      <c r="E81" s="310">
        <f t="shared" si="13"/>
        <v>6.8033890000000001</v>
      </c>
      <c r="F81" s="310">
        <f t="shared" si="13"/>
        <v>14.982087999999999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38.067357000000001</v>
      </c>
    </row>
    <row r="82" spans="1:15" x14ac:dyDescent="0.15">
      <c r="A82" s="309" t="s">
        <v>105</v>
      </c>
      <c r="B82" s="310">
        <f t="shared" ref="B82:N82" si="14">B25</f>
        <v>2504.6010000000001</v>
      </c>
      <c r="C82" s="310">
        <f t="shared" si="14"/>
        <v>195.597093</v>
      </c>
      <c r="D82" s="310">
        <f t="shared" si="14"/>
        <v>176.52269799999999</v>
      </c>
      <c r="E82" s="310">
        <f t="shared" si="14"/>
        <v>195.43592200000001</v>
      </c>
      <c r="F82" s="310">
        <f t="shared" si="14"/>
        <v>189.13165799999999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756.68737099999998</v>
      </c>
    </row>
    <row r="83" spans="1:15" x14ac:dyDescent="0.15">
      <c r="A83" s="309" t="s">
        <v>106</v>
      </c>
      <c r="B83" s="310">
        <f t="shared" ref="B83:O84" si="15">B29</f>
        <v>399.67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  <row r="87" spans="1:15" x14ac:dyDescent="0.15">
      <c r="G87" s="46"/>
    </row>
    <row r="88" spans="1:15" x14ac:dyDescent="0.15">
      <c r="K88">
        <v>82061.399999999994</v>
      </c>
    </row>
    <row r="89" spans="1:15" x14ac:dyDescent="0.15">
      <c r="K89">
        <v>78225.399999999994</v>
      </c>
    </row>
    <row r="91" spans="1:15" x14ac:dyDescent="0.15">
      <c r="K91" s="324">
        <f>K87+K88-K89</f>
        <v>3836</v>
      </c>
    </row>
    <row r="92" spans="1:15" x14ac:dyDescent="0.15">
      <c r="K92" s="324">
        <f>K89+K90</f>
        <v>78225.399999999994</v>
      </c>
    </row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8"/>
  <sheetViews>
    <sheetView workbookViewId="0">
      <pane xSplit="1" ySplit="2" topLeftCell="B3" activePane="bottomRight" state="frozenSplit"/>
      <selection pane="topRight"/>
      <selection pane="bottomLeft"/>
      <selection pane="bottomRight" activeCell="F3" sqref="F3:F70"/>
    </sheetView>
  </sheetViews>
  <sheetFormatPr defaultColWidth="9" defaultRowHeight="13.5" x14ac:dyDescent="0.15"/>
  <cols>
    <col min="1" max="1" width="22.5" customWidth="1"/>
    <col min="2" max="2" width="11.75" customWidth="1"/>
    <col min="3" max="15" width="8.87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3400.4480471500001</v>
      </c>
      <c r="C3" s="292">
        <v>126.07595000000001</v>
      </c>
      <c r="D3" s="292">
        <v>119.036300999999</v>
      </c>
      <c r="E3" s="292">
        <v>259.94865299999998</v>
      </c>
      <c r="F3" s="292">
        <v>320.92321500000003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314">
        <f>SUM(C3:N3)</f>
        <v>825.98411899999905</v>
      </c>
    </row>
    <row r="4" spans="1:15" x14ac:dyDescent="0.15">
      <c r="A4" s="291" t="s">
        <v>15</v>
      </c>
      <c r="B4" s="292">
        <f>B5+B6</f>
        <v>3400.4480471500001</v>
      </c>
      <c r="C4" s="292">
        <v>126.07595000000001</v>
      </c>
      <c r="D4" s="292">
        <v>119.036300999999</v>
      </c>
      <c r="E4" s="292">
        <v>259.94865299999998</v>
      </c>
      <c r="F4" s="292">
        <v>320.92321500000003</v>
      </c>
      <c r="G4" s="292">
        <f t="shared" ref="G4:N4" si="1">G5+G6</f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314">
        <f>SUM(C4:N4)</f>
        <v>825.98411899999905</v>
      </c>
    </row>
    <row r="5" spans="1:15" ht="24" x14ac:dyDescent="0.15">
      <c r="A5" s="291" t="s">
        <v>17</v>
      </c>
      <c r="B5" s="292">
        <v>3400.4480471500001</v>
      </c>
      <c r="C5" s="292">
        <v>126.07595000000001</v>
      </c>
      <c r="D5" s="292">
        <v>119.036300999999</v>
      </c>
      <c r="E5" s="292">
        <v>259.94865299999998</v>
      </c>
      <c r="F5" s="292">
        <v>320.92321500000003</v>
      </c>
      <c r="G5" s="292"/>
      <c r="H5" s="292"/>
      <c r="I5" s="292"/>
      <c r="J5" s="292"/>
      <c r="K5" s="292"/>
      <c r="L5" s="292"/>
      <c r="M5" s="292"/>
      <c r="N5" s="292"/>
      <c r="O5" s="314">
        <f>SUM(C5:N5)</f>
        <v>825.98411899999905</v>
      </c>
    </row>
    <row r="6" spans="1:15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314">
        <f>SUM(C6:L6)</f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314">
        <f t="shared" ref="O7:O37" si="2">SUM(C7:N7)</f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314">
        <f t="shared" si="2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314">
        <f t="shared" si="2"/>
        <v>0</v>
      </c>
    </row>
    <row r="10" spans="1:15" x14ac:dyDescent="0.15">
      <c r="A10" s="291" t="s">
        <v>22</v>
      </c>
      <c r="B10" s="314">
        <f>B11+B21+B23+B25+B29</f>
        <v>3750.098</v>
      </c>
      <c r="C10" s="292">
        <v>295.67748599999999</v>
      </c>
      <c r="D10" s="292">
        <v>259.508487</v>
      </c>
      <c r="E10" s="292">
        <v>281.13427299999898</v>
      </c>
      <c r="F10" s="292">
        <v>297.884444999999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314">
        <f t="shared" si="2"/>
        <v>1134.2046909999981</v>
      </c>
    </row>
    <row r="11" spans="1:15" x14ac:dyDescent="0.15">
      <c r="A11" s="291" t="s">
        <v>23</v>
      </c>
      <c r="B11" s="292">
        <f>B12+B13</f>
        <v>2055.3813999999998</v>
      </c>
      <c r="C11" s="292">
        <v>155.86581799999999</v>
      </c>
      <c r="D11" s="292">
        <v>137.960105</v>
      </c>
      <c r="E11" s="292">
        <v>153.19539399999999</v>
      </c>
      <c r="F11" s="292">
        <v>155.44234900000001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314">
        <f t="shared" si="2"/>
        <v>602.46366599999999</v>
      </c>
    </row>
    <row r="12" spans="1:15" ht="24" x14ac:dyDescent="0.15">
      <c r="A12" s="291" t="s">
        <v>144</v>
      </c>
      <c r="B12" s="293">
        <f>B73</f>
        <v>2055.3813999999998</v>
      </c>
      <c r="C12" s="293">
        <v>155.86581799999999</v>
      </c>
      <c r="D12" s="293">
        <v>137.960105</v>
      </c>
      <c r="E12" s="293">
        <v>153.19539399999999</v>
      </c>
      <c r="F12" s="293">
        <v>155.44234900000001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328">
        <f t="shared" si="2"/>
        <v>602.46366599999999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314">
        <f t="shared" si="2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314">
        <f t="shared" si="2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314">
        <f t="shared" si="2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314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314">
        <f t="shared" si="2"/>
        <v>0</v>
      </c>
    </row>
    <row r="18" spans="1:15" ht="24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314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314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314">
        <f t="shared" si="2"/>
        <v>0</v>
      </c>
    </row>
    <row r="21" spans="1:15" x14ac:dyDescent="0.15">
      <c r="A21" s="291" t="s">
        <v>33</v>
      </c>
      <c r="B21" s="292">
        <v>6</v>
      </c>
      <c r="C21" s="292">
        <v>0.12232</v>
      </c>
      <c r="D21" s="312">
        <v>4.4249999999999998E-2</v>
      </c>
      <c r="E21" s="292">
        <v>0.12297999999999901</v>
      </c>
      <c r="F21" s="292">
        <v>0.18826999999999999</v>
      </c>
      <c r="G21" s="292"/>
      <c r="H21" s="292"/>
      <c r="I21" s="292"/>
      <c r="J21" s="292"/>
      <c r="K21" s="292"/>
      <c r="L21" s="292"/>
      <c r="M21" s="292"/>
      <c r="N21" s="292"/>
      <c r="O21" s="314">
        <f t="shared" si="2"/>
        <v>0.47781999999999897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314">
        <f t="shared" si="2"/>
        <v>0</v>
      </c>
    </row>
    <row r="23" spans="1:15" x14ac:dyDescent="0.15">
      <c r="A23" s="291" t="s">
        <v>35</v>
      </c>
      <c r="B23" s="292">
        <v>391.00360000000001</v>
      </c>
      <c r="C23" s="292">
        <v>32.069978999999996</v>
      </c>
      <c r="D23" s="292">
        <v>18.303363999999998</v>
      </c>
      <c r="E23" s="292">
        <v>19.023358000000002</v>
      </c>
      <c r="F23" s="292">
        <v>34.017238999999996</v>
      </c>
      <c r="G23" s="292"/>
      <c r="H23" s="292"/>
      <c r="I23" s="292"/>
      <c r="J23" s="292"/>
      <c r="K23" s="292"/>
      <c r="L23" s="292"/>
      <c r="M23" s="292"/>
      <c r="N23" s="292"/>
      <c r="O23" s="314">
        <f t="shared" si="2"/>
        <v>103.41394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314">
        <f t="shared" si="2"/>
        <v>0</v>
      </c>
    </row>
    <row r="25" spans="1:15" x14ac:dyDescent="0.15">
      <c r="A25" s="291" t="s">
        <v>37</v>
      </c>
      <c r="B25" s="292">
        <v>1233.713</v>
      </c>
      <c r="C25" s="292">
        <v>107.619368999999</v>
      </c>
      <c r="D25" s="292">
        <v>103.200768</v>
      </c>
      <c r="E25" s="292">
        <v>108.79254099999901</v>
      </c>
      <c r="F25" s="292">
        <v>108.236587</v>
      </c>
      <c r="G25" s="292"/>
      <c r="H25" s="292"/>
      <c r="I25" s="292"/>
      <c r="J25" s="292"/>
      <c r="K25" s="292"/>
      <c r="L25" s="292"/>
      <c r="M25" s="292"/>
      <c r="N25" s="292"/>
      <c r="O25" s="314">
        <f t="shared" si="2"/>
        <v>427.84926499999801</v>
      </c>
    </row>
    <row r="26" spans="1:15" hidden="1" x14ac:dyDescent="0.15">
      <c r="A26" s="291" t="s">
        <v>38</v>
      </c>
      <c r="B26" s="292"/>
      <c r="C26" s="292">
        <v>107.687614</v>
      </c>
      <c r="D26" s="292">
        <v>103.20167499999999</v>
      </c>
      <c r="E26" s="292">
        <v>109.064077</v>
      </c>
      <c r="F26" s="292">
        <v>108.28730400000001</v>
      </c>
      <c r="G26" s="292"/>
      <c r="H26" s="292"/>
      <c r="I26" s="292"/>
      <c r="J26" s="292"/>
      <c r="K26" s="292"/>
      <c r="L26" s="292"/>
      <c r="M26" s="292"/>
      <c r="N26" s="292"/>
      <c r="O26" s="314">
        <f t="shared" si="2"/>
        <v>428.24066999999997</v>
      </c>
    </row>
    <row r="27" spans="1:15" hidden="1" x14ac:dyDescent="0.15">
      <c r="A27" s="291" t="s">
        <v>39</v>
      </c>
      <c r="B27" s="292"/>
      <c r="C27" s="292">
        <v>8.6845000000000006E-2</v>
      </c>
      <c r="D27" s="292">
        <v>1.6106999999999899E-2</v>
      </c>
      <c r="E27" s="292">
        <v>0.313336</v>
      </c>
      <c r="F27" s="292">
        <v>0.100919999999999</v>
      </c>
      <c r="G27" s="292"/>
      <c r="H27" s="292"/>
      <c r="I27" s="292"/>
      <c r="J27" s="292"/>
      <c r="K27" s="292"/>
      <c r="L27" s="292"/>
      <c r="M27" s="292"/>
      <c r="N27" s="292"/>
      <c r="O27" s="314">
        <f t="shared" si="2"/>
        <v>0.51720799999999889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314">
        <f t="shared" si="2"/>
        <v>0</v>
      </c>
    </row>
    <row r="29" spans="1:15" x14ac:dyDescent="0.15">
      <c r="A29" s="291" t="s">
        <v>41</v>
      </c>
      <c r="B29" s="292">
        <v>64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314">
        <f t="shared" si="2"/>
        <v>0</v>
      </c>
    </row>
    <row r="30" spans="1:15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314">
        <f t="shared" si="2"/>
        <v>0</v>
      </c>
    </row>
    <row r="31" spans="1:15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314">
        <f t="shared" si="2"/>
        <v>0</v>
      </c>
    </row>
    <row r="32" spans="1:15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314">
        <f t="shared" si="2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314">
        <f t="shared" si="2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314">
        <f t="shared" si="2"/>
        <v>0</v>
      </c>
    </row>
    <row r="35" spans="1:15" x14ac:dyDescent="0.15">
      <c r="A35" s="291" t="s">
        <v>47</v>
      </c>
      <c r="B35" s="292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314">
        <f t="shared" si="2"/>
        <v>0</v>
      </c>
    </row>
    <row r="36" spans="1:15" x14ac:dyDescent="0.15">
      <c r="A36" s="291" t="s">
        <v>48</v>
      </c>
      <c r="B36" s="295">
        <f>B3-B10+B35</f>
        <v>-349.64995284999986</v>
      </c>
      <c r="C36" s="292">
        <v>-169.60153600000001</v>
      </c>
      <c r="D36" s="295">
        <v>-140.47218599999999</v>
      </c>
      <c r="E36" s="295">
        <v>-21.185619999999901</v>
      </c>
      <c r="F36" s="295">
        <v>23.0387699999999</v>
      </c>
      <c r="G36" s="295">
        <f t="shared" ref="G36:N36" si="6">G3-G10+G35</f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 t="shared" si="6"/>
        <v>0</v>
      </c>
      <c r="O36" s="314">
        <f t="shared" si="2"/>
        <v>-308.220572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314">
        <f t="shared" si="2"/>
        <v>0</v>
      </c>
    </row>
    <row r="38" spans="1:15" ht="24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314">
        <f t="shared" ref="O38:O68" si="7">SUM(C38:N38)</f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314">
        <f t="shared" si="7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314">
        <f t="shared" si="7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314">
        <f t="shared" si="7"/>
        <v>0</v>
      </c>
    </row>
    <row r="42" spans="1:15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314">
        <f t="shared" si="7"/>
        <v>0</v>
      </c>
    </row>
    <row r="43" spans="1:15" ht="24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314">
        <f t="shared" si="7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29">
        <f t="shared" si="7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314">
        <f t="shared" si="7"/>
        <v>0</v>
      </c>
    </row>
    <row r="46" spans="1:15" x14ac:dyDescent="0.15">
      <c r="A46" s="291" t="s">
        <v>58</v>
      </c>
      <c r="B46" s="325">
        <f>B36+B37-B42</f>
        <v>-349.64995284999986</v>
      </c>
      <c r="C46" s="292">
        <v>-169.60153600000001</v>
      </c>
      <c r="D46" s="296">
        <v>-140.47218599999999</v>
      </c>
      <c r="E46" s="296">
        <v>-21.185619999999901</v>
      </c>
      <c r="F46" s="313">
        <v>23.0387699999999</v>
      </c>
      <c r="G46" s="296">
        <f t="shared" ref="G46:N46" si="8">G36+G37-G42</f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314">
        <f t="shared" si="7"/>
        <v>-308.220572</v>
      </c>
    </row>
    <row r="47" spans="1:15" x14ac:dyDescent="0.15">
      <c r="A47" s="291" t="s">
        <v>59</v>
      </c>
      <c r="B47" s="292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314">
        <f t="shared" si="7"/>
        <v>0</v>
      </c>
    </row>
    <row r="48" spans="1:15" x14ac:dyDescent="0.15">
      <c r="A48" s="291" t="s">
        <v>60</v>
      </c>
      <c r="B48" s="292"/>
      <c r="C48" s="292">
        <v>-169.60153600000001</v>
      </c>
      <c r="D48" s="292">
        <v>-140.47218599999999</v>
      </c>
      <c r="E48" s="292">
        <v>-21.185619999999901</v>
      </c>
      <c r="F48" s="292">
        <v>23.0387699999999</v>
      </c>
      <c r="G48" s="292"/>
      <c r="H48" s="292"/>
      <c r="I48" s="292"/>
      <c r="J48" s="292"/>
      <c r="K48" s="292"/>
      <c r="L48" s="292"/>
      <c r="M48" s="292"/>
      <c r="N48" s="292"/>
      <c r="O48" s="314">
        <f t="shared" si="7"/>
        <v>-308.220572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7"/>
        <v>0</v>
      </c>
    </row>
    <row r="50" spans="1:15" ht="24" hidden="1" x14ac:dyDescent="0.15">
      <c r="A50" s="291" t="s">
        <v>62</v>
      </c>
      <c r="B50" s="298"/>
      <c r="C50" s="292">
        <v>-169.60153600000001</v>
      </c>
      <c r="D50" s="292">
        <v>-140.47218599999999</v>
      </c>
      <c r="E50" s="292">
        <v>-21.185619999999901</v>
      </c>
      <c r="F50" s="292">
        <v>23.0387699999999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7"/>
        <v>-308.220572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7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7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7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7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7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7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7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7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7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7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7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7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78.526140999999896</v>
      </c>
      <c r="H63" s="292">
        <v>138.98451700000001</v>
      </c>
      <c r="I63" s="292">
        <v>239.88756799999999</v>
      </c>
      <c r="J63" s="292">
        <v>159.795939</v>
      </c>
      <c r="K63" s="292">
        <v>19.227654000000001</v>
      </c>
      <c r="L63" s="292">
        <v>-106.73332799999901</v>
      </c>
      <c r="M63" s="292">
        <v>-179.23293400000099</v>
      </c>
      <c r="N63" s="292">
        <v>-247.66150499999901</v>
      </c>
      <c r="O63" s="292">
        <f t="shared" si="7"/>
        <v>102.79405200000087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/>
      <c r="G64" s="292">
        <v>78.526140999999896</v>
      </c>
      <c r="H64" s="292">
        <v>138.98451700000001</v>
      </c>
      <c r="I64" s="292">
        <v>239.88756799999999</v>
      </c>
      <c r="J64" s="292">
        <v>159.79593899999901</v>
      </c>
      <c r="K64" s="292">
        <v>19.2276540000009</v>
      </c>
      <c r="L64" s="292">
        <v>-106.733328</v>
      </c>
      <c r="M64" s="292">
        <v>-179.232934</v>
      </c>
      <c r="N64" s="292">
        <v>-247.66150499999901</v>
      </c>
      <c r="O64" s="292">
        <f t="shared" si="7"/>
        <v>102.79405200000087</v>
      </c>
    </row>
    <row r="65" spans="1:15" hidden="1" x14ac:dyDescent="0.15">
      <c r="A65" s="291" t="s">
        <v>77</v>
      </c>
      <c r="B65" s="298"/>
      <c r="C65" s="292">
        <v>-169.60153600000001</v>
      </c>
      <c r="D65" s="292"/>
      <c r="E65" s="292">
        <v>-21.185619999999901</v>
      </c>
      <c r="F65" s="292">
        <v>23.0387699999999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7"/>
        <v>-167.74838600000004</v>
      </c>
    </row>
    <row r="66" spans="1:15" ht="24" hidden="1" x14ac:dyDescent="0.15">
      <c r="A66" s="291" t="s">
        <v>78</v>
      </c>
      <c r="B66" s="298"/>
      <c r="C66" s="292">
        <v>-169.60153600000001</v>
      </c>
      <c r="D66" s="292">
        <v>-140.47218599999999</v>
      </c>
      <c r="E66" s="292">
        <v>-21.185619999999901</v>
      </c>
      <c r="F66" s="292">
        <v>23.0387699999999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7"/>
        <v>-308.220572</v>
      </c>
    </row>
    <row r="67" spans="1:15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7"/>
        <v>0</v>
      </c>
    </row>
    <row r="68" spans="1:15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7"/>
        <v>0</v>
      </c>
    </row>
    <row r="69" spans="1:15" hidden="1" x14ac:dyDescent="0.15">
      <c r="A69" s="291" t="s">
        <v>81</v>
      </c>
      <c r="B69" s="299"/>
    </row>
    <row r="70" spans="1:15" hidden="1" x14ac:dyDescent="0.15">
      <c r="A70" s="291" t="s">
        <v>82</v>
      </c>
      <c r="B70" s="299"/>
    </row>
    <row r="71" spans="1:15" x14ac:dyDescent="0.15">
      <c r="B71" s="299"/>
    </row>
    <row r="72" spans="1:15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5" x14ac:dyDescent="0.15">
      <c r="A73" s="303" t="s">
        <v>146</v>
      </c>
      <c r="B73" s="316">
        <f t="shared" ref="B73:O73" si="9">SUM(B74:B78)</f>
        <v>2055.3813999999998</v>
      </c>
      <c r="C73" s="304">
        <f t="shared" si="9"/>
        <v>155.86581799999999</v>
      </c>
      <c r="D73" s="304">
        <f t="shared" si="9"/>
        <v>137.960105</v>
      </c>
      <c r="E73" s="304">
        <f t="shared" si="9"/>
        <v>153.19539499999999</v>
      </c>
      <c r="F73" s="315">
        <f t="shared" si="9"/>
        <v>155.44234899999998</v>
      </c>
      <c r="G73" s="304">
        <f t="shared" si="9"/>
        <v>0</v>
      </c>
      <c r="H73" s="304">
        <f t="shared" si="9"/>
        <v>0</v>
      </c>
      <c r="I73" s="331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602.46366699999999</v>
      </c>
    </row>
    <row r="74" spans="1:15" x14ac:dyDescent="0.15">
      <c r="A74" s="305" t="s">
        <v>97</v>
      </c>
      <c r="B74" s="85">
        <v>36.299999999999997</v>
      </c>
      <c r="C74" s="85"/>
      <c r="D74" s="85"/>
      <c r="E74" s="330">
        <v>1.5405530000000001</v>
      </c>
      <c r="F74" s="85"/>
      <c r="G74" s="85"/>
      <c r="H74" s="85"/>
      <c r="I74" s="85"/>
      <c r="J74" s="85"/>
      <c r="K74" s="85"/>
      <c r="L74" s="85"/>
      <c r="M74" s="85"/>
      <c r="N74" s="320"/>
      <c r="O74" s="327">
        <f>SUM(C74:N74)</f>
        <v>1.5405530000000001</v>
      </c>
    </row>
    <row r="75" spans="1:15" x14ac:dyDescent="0.15">
      <c r="A75" s="305" t="s">
        <v>98</v>
      </c>
      <c r="B75" s="85">
        <v>96.6</v>
      </c>
      <c r="C75" s="85"/>
      <c r="D75" s="85"/>
      <c r="E75" s="85"/>
      <c r="F75" s="85"/>
      <c r="G75" s="85"/>
      <c r="H75" s="85"/>
      <c r="I75" s="85"/>
      <c r="J75" s="85"/>
      <c r="K75" s="85"/>
      <c r="L75" s="320"/>
      <c r="M75" s="85"/>
      <c r="N75" s="320"/>
      <c r="O75" s="327">
        <f t="shared" ref="O75:O82" si="10">SUM(C75:N75)</f>
        <v>0</v>
      </c>
    </row>
    <row r="76" spans="1:15" x14ac:dyDescent="0.15">
      <c r="A76" s="305" t="s">
        <v>99</v>
      </c>
      <c r="B76" s="85">
        <v>1460.796</v>
      </c>
      <c r="C76" s="85">
        <v>121.93694000000001</v>
      </c>
      <c r="D76" s="85">
        <v>121.936971</v>
      </c>
      <c r="E76" s="85">
        <v>121.936847</v>
      </c>
      <c r="F76" s="85">
        <v>121.93694499999999</v>
      </c>
      <c r="G76" s="85"/>
      <c r="H76" s="85"/>
      <c r="I76" s="85"/>
      <c r="J76" s="85"/>
      <c r="K76" s="85"/>
      <c r="L76" s="85"/>
      <c r="M76" s="85"/>
      <c r="N76" s="320"/>
      <c r="O76" s="327">
        <f t="shared" si="10"/>
        <v>487.747703</v>
      </c>
    </row>
    <row r="77" spans="1:15" x14ac:dyDescent="0.15">
      <c r="A77" s="305" t="s">
        <v>100</v>
      </c>
      <c r="B77" s="85">
        <v>364.1454</v>
      </c>
      <c r="C77" s="85">
        <v>33.928877999999997</v>
      </c>
      <c r="D77" s="85">
        <v>15.511708</v>
      </c>
      <c r="E77" s="85">
        <v>14.791829999999999</v>
      </c>
      <c r="F77" s="85">
        <v>33.505403999999999</v>
      </c>
      <c r="G77" s="85"/>
      <c r="H77" s="85"/>
      <c r="I77" s="85"/>
      <c r="J77" s="85"/>
      <c r="K77" s="85"/>
      <c r="L77" s="85"/>
      <c r="M77" s="85"/>
      <c r="N77" s="320"/>
      <c r="O77" s="327">
        <f t="shared" si="10"/>
        <v>97.737819999999999</v>
      </c>
    </row>
    <row r="78" spans="1:15" x14ac:dyDescent="0.15">
      <c r="A78" s="307" t="s">
        <v>101</v>
      </c>
      <c r="B78" s="85">
        <v>97.54</v>
      </c>
      <c r="C78" s="85"/>
      <c r="D78" s="85">
        <v>0.51142600000000005</v>
      </c>
      <c r="E78" s="85">
        <v>14.926164999999999</v>
      </c>
      <c r="F78" s="85"/>
      <c r="G78" s="85"/>
      <c r="H78" s="85"/>
      <c r="I78" s="85"/>
      <c r="J78" s="85"/>
      <c r="K78" s="85"/>
      <c r="L78" s="85"/>
      <c r="M78" s="85"/>
      <c r="N78" s="320"/>
      <c r="O78" s="327">
        <f t="shared" si="10"/>
        <v>15.437590999999999</v>
      </c>
    </row>
    <row r="79" spans="1:15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27">
        <f t="shared" si="10"/>
        <v>0</v>
      </c>
    </row>
    <row r="80" spans="1:15" x14ac:dyDescent="0.15">
      <c r="A80" s="309" t="s">
        <v>103</v>
      </c>
      <c r="B80" s="310">
        <f t="shared" ref="B80:N80" si="12">B21</f>
        <v>6</v>
      </c>
      <c r="C80" s="310">
        <f t="shared" si="12"/>
        <v>0.12232</v>
      </c>
      <c r="D80" s="310">
        <f t="shared" si="12"/>
        <v>4.4249999999999998E-2</v>
      </c>
      <c r="E80" s="310">
        <f t="shared" si="12"/>
        <v>0.12297999999999901</v>
      </c>
      <c r="F80" s="310">
        <f t="shared" si="12"/>
        <v>0.18826999999999999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27">
        <f t="shared" si="10"/>
        <v>0.47781999999999897</v>
      </c>
    </row>
    <row r="81" spans="1:15" x14ac:dyDescent="0.15">
      <c r="A81" s="309" t="s">
        <v>104</v>
      </c>
      <c r="B81" s="327">
        <f t="shared" ref="B81:N81" si="13">B23</f>
        <v>391.00360000000001</v>
      </c>
      <c r="C81" s="310">
        <f t="shared" si="13"/>
        <v>32.069978999999996</v>
      </c>
      <c r="D81" s="310">
        <f t="shared" si="13"/>
        <v>18.303363999999998</v>
      </c>
      <c r="E81" s="310">
        <f t="shared" si="13"/>
        <v>19.023358000000002</v>
      </c>
      <c r="F81" s="310">
        <f t="shared" si="13"/>
        <v>34.017238999999996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27">
        <f t="shared" si="10"/>
        <v>103.41394</v>
      </c>
    </row>
    <row r="82" spans="1:15" x14ac:dyDescent="0.15">
      <c r="A82" s="309" t="s">
        <v>105</v>
      </c>
      <c r="B82" s="310">
        <f t="shared" ref="B82:N82" si="14">B25</f>
        <v>1233.713</v>
      </c>
      <c r="C82" s="310">
        <f t="shared" si="14"/>
        <v>107.619368999999</v>
      </c>
      <c r="D82" s="310">
        <f t="shared" si="14"/>
        <v>103.200768</v>
      </c>
      <c r="E82" s="310">
        <f t="shared" si="14"/>
        <v>108.79254099999901</v>
      </c>
      <c r="F82" s="310">
        <f t="shared" si="14"/>
        <v>108.236587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27">
        <f t="shared" si="10"/>
        <v>427.84926499999801</v>
      </c>
    </row>
    <row r="83" spans="1:15" x14ac:dyDescent="0.15">
      <c r="A83" s="309" t="s">
        <v>106</v>
      </c>
      <c r="B83" s="310">
        <f t="shared" ref="B83:O84" si="15">B29</f>
        <v>64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27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  <row r="88" spans="1:15" x14ac:dyDescent="0.15">
      <c r="O88" s="332">
        <f>O84-O85</f>
        <v>0</v>
      </c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2"/>
  <sheetViews>
    <sheetView workbookViewId="0">
      <pane xSplit="1" ySplit="2" topLeftCell="B3" activePane="bottomRight" state="frozenSplit"/>
      <selection pane="topRight"/>
      <selection pane="bottomLeft"/>
      <selection pane="bottomRight" activeCell="F3" sqref="F3:F70"/>
    </sheetView>
  </sheetViews>
  <sheetFormatPr defaultColWidth="9" defaultRowHeight="13.5" x14ac:dyDescent="0.15"/>
  <cols>
    <col min="1" max="1" width="20.875" customWidth="1"/>
    <col min="2" max="2" width="9.25" customWidth="1"/>
    <col min="3" max="14" width="9.375" customWidth="1"/>
    <col min="15" max="15" width="10.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3435.5336153846201</v>
      </c>
      <c r="C3" s="292">
        <v>250.47741400000001</v>
      </c>
      <c r="D3" s="292">
        <v>309.14243199999999</v>
      </c>
      <c r="E3" s="292">
        <v>362.594335</v>
      </c>
      <c r="F3" s="292">
        <v>248.35813099999899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>SUM(C3:N3)</f>
        <v>1170.5723119999991</v>
      </c>
    </row>
    <row r="4" spans="1:15" x14ac:dyDescent="0.15">
      <c r="A4" s="291" t="s">
        <v>15</v>
      </c>
      <c r="B4" s="292">
        <f>B5+B6</f>
        <v>3435.5336153846201</v>
      </c>
      <c r="C4" s="292">
        <v>250.47741400000001</v>
      </c>
      <c r="D4" s="292">
        <v>309.14243199999999</v>
      </c>
      <c r="E4" s="292">
        <v>362.594335</v>
      </c>
      <c r="F4" s="292">
        <v>248.35813099999899</v>
      </c>
      <c r="G4" s="292">
        <f t="shared" ref="G4:N4" si="1">G5+G6</f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292">
        <f>SUM(C4:N4)</f>
        <v>1170.5723119999991</v>
      </c>
    </row>
    <row r="5" spans="1:15" ht="15" customHeight="1" x14ac:dyDescent="0.15">
      <c r="A5" s="291" t="s">
        <v>17</v>
      </c>
      <c r="B5" s="292">
        <v>3435.5336153846201</v>
      </c>
      <c r="C5" s="292">
        <v>250.47741400000001</v>
      </c>
      <c r="D5" s="292">
        <v>309.14243199999999</v>
      </c>
      <c r="E5" s="292">
        <v>362.594335</v>
      </c>
      <c r="F5" s="292">
        <v>248.35813099999899</v>
      </c>
      <c r="G5" s="292"/>
      <c r="H5" s="292"/>
      <c r="I5" s="292"/>
      <c r="J5" s="292"/>
      <c r="K5" s="292"/>
      <c r="L5" s="292"/>
      <c r="M5" s="292"/>
      <c r="N5" s="292"/>
      <c r="O5" s="292">
        <f>SUM(C5:N5)</f>
        <v>1170.5723119999991</v>
      </c>
    </row>
    <row r="6" spans="1:15" ht="15.75" customHeight="1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>SUM(C6:L6)</f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ref="O7:O68" si="2">SUM(C7:N7)</f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2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2"/>
        <v>0</v>
      </c>
    </row>
    <row r="10" spans="1:15" x14ac:dyDescent="0.15">
      <c r="A10" s="291" t="s">
        <v>22</v>
      </c>
      <c r="B10" s="292">
        <f>B11+B21+B23+B25+B29</f>
        <v>3325.0317999999997</v>
      </c>
      <c r="C10" s="292">
        <v>277.21308599999998</v>
      </c>
      <c r="D10" s="292">
        <v>241.65252100000001</v>
      </c>
      <c r="E10" s="292">
        <v>251.96522899999999</v>
      </c>
      <c r="F10" s="292">
        <v>296.83387699999997</v>
      </c>
      <c r="G10" s="292">
        <f t="shared" ref="G10:M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>N11+N21+N23+N25+N29+N35</f>
        <v>0</v>
      </c>
      <c r="O10" s="314">
        <f t="shared" si="2"/>
        <v>1067.6647129999999</v>
      </c>
    </row>
    <row r="11" spans="1:15" x14ac:dyDescent="0.15">
      <c r="A11" s="291" t="s">
        <v>23</v>
      </c>
      <c r="B11" s="292">
        <f>B12+B13</f>
        <v>2203.9202800000003</v>
      </c>
      <c r="C11" s="292">
        <v>176.620834</v>
      </c>
      <c r="D11" s="292">
        <v>157.137293</v>
      </c>
      <c r="E11" s="292">
        <v>156.32764599999999</v>
      </c>
      <c r="F11" s="292">
        <v>197.485503999999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314">
        <f t="shared" si="2"/>
        <v>687.57127699999899</v>
      </c>
    </row>
    <row r="12" spans="1:15" ht="24" x14ac:dyDescent="0.15">
      <c r="A12" s="291" t="s">
        <v>144</v>
      </c>
      <c r="B12" s="293">
        <f>B73</f>
        <v>2203.9202800000003</v>
      </c>
      <c r="C12" s="292">
        <v>176.620834</v>
      </c>
      <c r="D12" s="293">
        <v>157.137293</v>
      </c>
      <c r="E12" s="293">
        <v>156.32764599999999</v>
      </c>
      <c r="F12" s="293">
        <v>197.485503999999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2">
        <f t="shared" si="2"/>
        <v>687.57127699999899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2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2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2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2"/>
        <v>0</v>
      </c>
    </row>
    <row r="18" spans="1:15" ht="24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2"/>
        <v>0</v>
      </c>
    </row>
    <row r="21" spans="1:15" x14ac:dyDescent="0.15">
      <c r="A21" s="291" t="s">
        <v>33</v>
      </c>
      <c r="B21" s="292">
        <v>101.72</v>
      </c>
      <c r="C21" s="292"/>
      <c r="D21" s="292">
        <v>0.14399999999999999</v>
      </c>
      <c r="E21" s="292">
        <v>0</v>
      </c>
      <c r="F21" s="292">
        <v>0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2"/>
        <v>0.14399999999999999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2"/>
        <v>0</v>
      </c>
    </row>
    <row r="23" spans="1:15" x14ac:dyDescent="0.15">
      <c r="A23" s="291" t="s">
        <v>35</v>
      </c>
      <c r="B23" s="292">
        <v>179.12652</v>
      </c>
      <c r="C23" s="292">
        <v>14.238809</v>
      </c>
      <c r="D23" s="292">
        <v>6.3477379999999997</v>
      </c>
      <c r="E23" s="292">
        <v>9.4640350000000009</v>
      </c>
      <c r="F23" s="292">
        <v>15.7553859999999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2"/>
        <v>45.805967999999901</v>
      </c>
    </row>
    <row r="24" spans="1:15" ht="18" hidden="1" customHeight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si="2"/>
        <v>0</v>
      </c>
    </row>
    <row r="25" spans="1:15" x14ac:dyDescent="0.15">
      <c r="A25" s="291" t="s">
        <v>37</v>
      </c>
      <c r="B25" s="292">
        <v>950.26499999999999</v>
      </c>
      <c r="C25" s="292">
        <v>86.353442999999999</v>
      </c>
      <c r="D25" s="292">
        <v>78.023489999999995</v>
      </c>
      <c r="E25" s="292">
        <v>86.173547999999997</v>
      </c>
      <c r="F25" s="292">
        <v>83.592986999999994</v>
      </c>
      <c r="G25" s="292"/>
      <c r="H25" s="292"/>
      <c r="I25" s="292"/>
      <c r="J25" s="292"/>
      <c r="K25" s="292"/>
      <c r="L25" s="292"/>
      <c r="M25" s="292"/>
      <c r="N25" s="292"/>
      <c r="O25" s="292">
        <f t="shared" si="2"/>
        <v>334.14346799999998</v>
      </c>
    </row>
    <row r="26" spans="1:15" hidden="1" x14ac:dyDescent="0.15">
      <c r="A26" s="291" t="s">
        <v>38</v>
      </c>
      <c r="B26" s="292"/>
      <c r="C26" s="292">
        <v>86.594771999999907</v>
      </c>
      <c r="D26" s="292">
        <v>78.013452000000001</v>
      </c>
      <c r="E26" s="292">
        <v>86.255886999999902</v>
      </c>
      <c r="F26" s="292">
        <v>83.585841000000002</v>
      </c>
      <c r="G26" s="292"/>
      <c r="H26" s="292"/>
      <c r="I26" s="292"/>
      <c r="J26" s="292"/>
      <c r="K26" s="292"/>
      <c r="L26" s="292"/>
      <c r="M26" s="292"/>
      <c r="N26" s="292"/>
      <c r="O26" s="292">
        <f t="shared" si="2"/>
        <v>334.44995199999983</v>
      </c>
    </row>
    <row r="27" spans="1:15" hidden="1" x14ac:dyDescent="0.15">
      <c r="A27" s="291" t="s">
        <v>39</v>
      </c>
      <c r="B27" s="292"/>
      <c r="C27" s="292">
        <v>0.24432899999999999</v>
      </c>
      <c r="D27" s="292">
        <v>9.2461999999999905E-2</v>
      </c>
      <c r="E27" s="292">
        <v>8.4338999999999997E-2</v>
      </c>
      <c r="F27" s="292">
        <v>1.48539999999999E-2</v>
      </c>
      <c r="G27" s="292"/>
      <c r="H27" s="292"/>
      <c r="I27" s="292"/>
      <c r="J27" s="292"/>
      <c r="K27" s="292"/>
      <c r="L27" s="292"/>
      <c r="M27" s="292"/>
      <c r="N27" s="292"/>
      <c r="O27" s="292">
        <f t="shared" si="2"/>
        <v>0.43598399999999982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2"/>
        <v>0</v>
      </c>
    </row>
    <row r="29" spans="1:15" x14ac:dyDescent="0.15">
      <c r="A29" s="291" t="s">
        <v>41</v>
      </c>
      <c r="B29" s="292">
        <v>-110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2"/>
        <v>0</v>
      </c>
    </row>
    <row r="30" spans="1:15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2"/>
        <v>0</v>
      </c>
    </row>
    <row r="31" spans="1:15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2"/>
        <v>0</v>
      </c>
    </row>
    <row r="32" spans="1:15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2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2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2"/>
        <v>0</v>
      </c>
    </row>
    <row r="35" spans="1:15" x14ac:dyDescent="0.15">
      <c r="A35" s="291" t="s">
        <v>47</v>
      </c>
      <c r="B35" s="295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2"/>
        <v>0</v>
      </c>
    </row>
    <row r="36" spans="1:15" x14ac:dyDescent="0.15">
      <c r="A36" s="291" t="s">
        <v>48</v>
      </c>
      <c r="B36" s="295">
        <f>B3-B10+B35</f>
        <v>110.50181538462039</v>
      </c>
      <c r="C36" s="292">
        <v>-26.735671999999902</v>
      </c>
      <c r="D36" s="295">
        <v>67.489910999999793</v>
      </c>
      <c r="E36" s="295">
        <v>110.62910599999999</v>
      </c>
      <c r="F36" s="295">
        <v>-48.475745999999901</v>
      </c>
      <c r="G36" s="295">
        <f t="shared" ref="G36:M36" si="6">G3-G10+G35</f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>N3-N10</f>
        <v>0</v>
      </c>
      <c r="O36" s="292">
        <f t="shared" si="2"/>
        <v>102.90759899999998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2"/>
        <v>0</v>
      </c>
    </row>
    <row r="38" spans="1:15" ht="24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2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2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2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2"/>
        <v>0</v>
      </c>
    </row>
    <row r="42" spans="1:15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2"/>
        <v>0</v>
      </c>
    </row>
    <row r="43" spans="1:15" ht="24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2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25">
        <f t="shared" si="2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si="2"/>
        <v>0</v>
      </c>
    </row>
    <row r="46" spans="1:15" x14ac:dyDescent="0.15">
      <c r="A46" s="291" t="s">
        <v>58</v>
      </c>
      <c r="B46" s="296">
        <f>B36+B37-B42</f>
        <v>110.50181538462039</v>
      </c>
      <c r="C46" s="292">
        <v>-26.735671999999902</v>
      </c>
      <c r="D46" s="296">
        <v>67.489910999999907</v>
      </c>
      <c r="E46" s="296">
        <v>110.62910599999999</v>
      </c>
      <c r="F46" s="296">
        <v>-48.475745999999901</v>
      </c>
      <c r="G46" s="296">
        <f t="shared" ref="G46:N46" si="7">G36+G37-G42</f>
        <v>0</v>
      </c>
      <c r="H46" s="296">
        <f t="shared" si="7"/>
        <v>0</v>
      </c>
      <c r="I46" s="296">
        <f t="shared" si="7"/>
        <v>0</v>
      </c>
      <c r="J46" s="296">
        <f t="shared" si="7"/>
        <v>0</v>
      </c>
      <c r="K46" s="296">
        <f t="shared" si="7"/>
        <v>0</v>
      </c>
      <c r="L46" s="296">
        <f t="shared" si="7"/>
        <v>0</v>
      </c>
      <c r="M46" s="296">
        <f t="shared" si="7"/>
        <v>0</v>
      </c>
      <c r="N46" s="296">
        <f t="shared" si="7"/>
        <v>0</v>
      </c>
      <c r="O46" s="292">
        <f t="shared" si="2"/>
        <v>102.90759900000009</v>
      </c>
    </row>
    <row r="47" spans="1:15" x14ac:dyDescent="0.15">
      <c r="A47" s="291" t="s">
        <v>59</v>
      </c>
      <c r="B47" s="297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2"/>
        <v>0</v>
      </c>
    </row>
    <row r="48" spans="1:15" ht="15" customHeight="1" x14ac:dyDescent="0.15">
      <c r="A48" s="291" t="s">
        <v>60</v>
      </c>
      <c r="B48" s="297"/>
      <c r="C48" s="292">
        <v>-26.735671999999902</v>
      </c>
      <c r="D48" s="292">
        <v>67.489910999999907</v>
      </c>
      <c r="E48" s="292">
        <v>110.62910599999999</v>
      </c>
      <c r="F48" s="292">
        <v>-48.475745999999901</v>
      </c>
      <c r="G48" s="292"/>
      <c r="H48" s="292"/>
      <c r="I48" s="292"/>
      <c r="J48" s="292"/>
      <c r="K48" s="292"/>
      <c r="L48" s="292"/>
      <c r="M48" s="292"/>
      <c r="N48" s="292"/>
      <c r="O48" s="292">
        <f t="shared" si="2"/>
        <v>102.90759900000009</v>
      </c>
    </row>
    <row r="49" spans="1:15" ht="15" hidden="1" customHeight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2"/>
        <v>0</v>
      </c>
    </row>
    <row r="50" spans="1:15" ht="15" hidden="1" customHeight="1" x14ac:dyDescent="0.15">
      <c r="A50" s="291" t="s">
        <v>62</v>
      </c>
      <c r="B50" s="298"/>
      <c r="C50" s="292">
        <v>-26.735671999999902</v>
      </c>
      <c r="D50" s="292">
        <v>67.489910999999793</v>
      </c>
      <c r="E50" s="292">
        <v>110.62910599999999</v>
      </c>
      <c r="F50" s="292">
        <v>-48.475745999999901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2"/>
        <v>102.90759899999998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2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2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2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2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2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2"/>
        <v>0</v>
      </c>
    </row>
    <row r="57" spans="1:15" ht="36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2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2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2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2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2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2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50.130699</v>
      </c>
      <c r="H63" s="292"/>
      <c r="I63" s="292">
        <v>-30.568946999999898</v>
      </c>
      <c r="J63" s="292">
        <v>5.4062149999995999</v>
      </c>
      <c r="K63" s="292">
        <v>24.376710000000301</v>
      </c>
      <c r="L63" s="292">
        <v>-0.53479900000019898</v>
      </c>
      <c r="M63" s="292">
        <v>-72.069296999999906</v>
      </c>
      <c r="N63" s="292">
        <v>-292.852925999999</v>
      </c>
      <c r="O63" s="292">
        <f t="shared" si="2"/>
        <v>-316.1123449999991</v>
      </c>
    </row>
    <row r="64" spans="1:15" ht="24" hidden="1" x14ac:dyDescent="0.15">
      <c r="A64" s="291" t="s">
        <v>76</v>
      </c>
      <c r="B64" s="298"/>
      <c r="C64" s="292"/>
      <c r="D64" s="292"/>
      <c r="E64" s="292"/>
      <c r="F64" s="292"/>
      <c r="G64" s="292">
        <v>50.130699</v>
      </c>
      <c r="H64" s="292"/>
      <c r="I64" s="292">
        <v>-30.568946999999799</v>
      </c>
      <c r="J64" s="292">
        <v>5.4062149999998299</v>
      </c>
      <c r="K64" s="292">
        <v>24.376710000000301</v>
      </c>
      <c r="L64" s="292">
        <v>-0.53479900000000202</v>
      </c>
      <c r="M64" s="292">
        <v>-72.069297000000105</v>
      </c>
      <c r="N64" s="292">
        <v>-292.85292600000099</v>
      </c>
      <c r="O64" s="292">
        <f t="shared" si="2"/>
        <v>-316.11234500000074</v>
      </c>
    </row>
    <row r="65" spans="1:15" hidden="1" x14ac:dyDescent="0.15">
      <c r="A65" s="291" t="s">
        <v>77</v>
      </c>
      <c r="B65" s="298"/>
      <c r="C65" s="292">
        <v>-26.735671999999902</v>
      </c>
      <c r="D65" s="292"/>
      <c r="E65" s="292">
        <v>110.62910599999999</v>
      </c>
      <c r="F65" s="292">
        <v>-48.475745999999901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2"/>
        <v>35.417688000000197</v>
      </c>
    </row>
    <row r="66" spans="1:15" ht="24" hidden="1" x14ac:dyDescent="0.15">
      <c r="A66" s="291" t="s">
        <v>78</v>
      </c>
      <c r="B66" s="298"/>
      <c r="C66" s="292">
        <v>-26.735671999999902</v>
      </c>
      <c r="D66" s="292">
        <v>67.489910999999793</v>
      </c>
      <c r="E66" s="292">
        <v>110.62910599999999</v>
      </c>
      <c r="F66" s="292">
        <v>-48.475745999999901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2"/>
        <v>102.90759899999998</v>
      </c>
    </row>
    <row r="67" spans="1:15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2"/>
        <v>0</v>
      </c>
    </row>
    <row r="68" spans="1:15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2"/>
        <v>0</v>
      </c>
    </row>
    <row r="69" spans="1:15" hidden="1" x14ac:dyDescent="0.15">
      <c r="A69" s="291" t="s">
        <v>81</v>
      </c>
      <c r="B69" s="299"/>
    </row>
    <row r="70" spans="1:15" hidden="1" x14ac:dyDescent="0.15">
      <c r="A70" s="291" t="s">
        <v>82</v>
      </c>
      <c r="B70" s="299"/>
    </row>
    <row r="71" spans="1:15" x14ac:dyDescent="0.15">
      <c r="B71" s="299"/>
    </row>
    <row r="72" spans="1:15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5" x14ac:dyDescent="0.15">
      <c r="A73" s="303" t="s">
        <v>146</v>
      </c>
      <c r="B73" s="304">
        <f t="shared" ref="B73:O73" si="8">SUM(B74:B78)</f>
        <v>2203.9202800000003</v>
      </c>
      <c r="C73" s="304">
        <f t="shared" si="8"/>
        <v>176.620834</v>
      </c>
      <c r="D73" s="304">
        <f t="shared" si="8"/>
        <v>157.137293</v>
      </c>
      <c r="E73" s="304">
        <f t="shared" si="8"/>
        <v>156.32764600000002</v>
      </c>
      <c r="F73" s="315">
        <f t="shared" si="8"/>
        <v>197.48550499999999</v>
      </c>
      <c r="G73" s="304">
        <f t="shared" si="8"/>
        <v>0</v>
      </c>
      <c r="H73" s="304">
        <f t="shared" si="8"/>
        <v>0</v>
      </c>
      <c r="I73" s="304">
        <f t="shared" si="8"/>
        <v>0</v>
      </c>
      <c r="J73" s="304">
        <f t="shared" si="8"/>
        <v>0</v>
      </c>
      <c r="K73" s="304">
        <f t="shared" si="8"/>
        <v>0</v>
      </c>
      <c r="L73" s="304">
        <f t="shared" si="8"/>
        <v>0</v>
      </c>
      <c r="M73" s="304">
        <f t="shared" si="8"/>
        <v>0</v>
      </c>
      <c r="N73" s="304">
        <f t="shared" si="8"/>
        <v>0</v>
      </c>
      <c r="O73" s="316">
        <f t="shared" si="8"/>
        <v>687.57127800000001</v>
      </c>
    </row>
    <row r="74" spans="1:15" x14ac:dyDescent="0.15">
      <c r="A74" s="305" t="s">
        <v>97</v>
      </c>
      <c r="B74" s="317">
        <v>25.608000000000001</v>
      </c>
      <c r="C74" s="57">
        <v>3.289256</v>
      </c>
      <c r="D74" s="57">
        <v>2.0121690000000001</v>
      </c>
      <c r="E74" s="57">
        <v>1.832978</v>
      </c>
      <c r="F74" s="57">
        <v>1.299288</v>
      </c>
      <c r="G74" s="85"/>
      <c r="H74" s="85"/>
      <c r="I74" s="85"/>
      <c r="J74" s="85"/>
      <c r="K74" s="85"/>
      <c r="L74" s="85"/>
      <c r="M74" s="85"/>
      <c r="N74" s="132"/>
      <c r="O74" s="326">
        <f>SUM(C74:N74)</f>
        <v>8.4336909999999996</v>
      </c>
    </row>
    <row r="75" spans="1:15" x14ac:dyDescent="0.15">
      <c r="A75" s="305" t="s">
        <v>98</v>
      </c>
      <c r="B75" s="317">
        <v>110.1</v>
      </c>
      <c r="C75" s="57">
        <v>1.8937949999999999</v>
      </c>
      <c r="D75" s="57"/>
      <c r="E75" s="57">
        <v>0.40412900000000002</v>
      </c>
      <c r="F75" s="57">
        <v>8.4441769999999998</v>
      </c>
      <c r="G75" s="85"/>
      <c r="H75" s="85"/>
      <c r="I75" s="85"/>
      <c r="J75" s="85"/>
      <c r="K75" s="85"/>
      <c r="L75" s="85"/>
      <c r="M75" s="85"/>
      <c r="N75" s="132"/>
      <c r="O75" s="327">
        <f t="shared" ref="O75:O82" si="9">SUM(C75:N75)</f>
        <v>10.742101</v>
      </c>
    </row>
    <row r="76" spans="1:15" x14ac:dyDescent="0.15">
      <c r="A76" s="305" t="s">
        <v>99</v>
      </c>
      <c r="B76" s="317">
        <v>1760.6279999999999</v>
      </c>
      <c r="C76" s="57">
        <v>146.529797</v>
      </c>
      <c r="D76" s="57">
        <v>146.529652</v>
      </c>
      <c r="E76" s="57">
        <v>146.52969300000001</v>
      </c>
      <c r="F76" s="57">
        <v>146.52966499999999</v>
      </c>
      <c r="G76" s="85"/>
      <c r="H76" s="85"/>
      <c r="I76" s="85"/>
      <c r="J76" s="85"/>
      <c r="K76" s="85"/>
      <c r="L76" s="85"/>
      <c r="M76" s="85"/>
      <c r="N76" s="132"/>
      <c r="O76" s="327">
        <f t="shared" si="9"/>
        <v>586.11880699999995</v>
      </c>
    </row>
    <row r="77" spans="1:15" x14ac:dyDescent="0.15">
      <c r="A77" s="305" t="s">
        <v>100</v>
      </c>
      <c r="B77" s="317">
        <v>174.64428000000001</v>
      </c>
      <c r="C77" s="57">
        <v>18.354436</v>
      </c>
      <c r="D77" s="57">
        <v>7.5874829999999998</v>
      </c>
      <c r="E77" s="57">
        <v>7.5608459999999997</v>
      </c>
      <c r="F77" s="57">
        <v>20.499336</v>
      </c>
      <c r="G77" s="85"/>
      <c r="H77" s="85"/>
      <c r="I77" s="85"/>
      <c r="J77" s="85"/>
      <c r="K77" s="85"/>
      <c r="L77" s="85"/>
      <c r="M77" s="85"/>
      <c r="N77" s="132"/>
      <c r="O77" s="327">
        <f t="shared" si="9"/>
        <v>54.002100999999996</v>
      </c>
    </row>
    <row r="78" spans="1:15" x14ac:dyDescent="0.15">
      <c r="A78" s="307" t="s">
        <v>101</v>
      </c>
      <c r="B78" s="319">
        <v>132.94</v>
      </c>
      <c r="C78" s="57">
        <v>6.5535500000000004</v>
      </c>
      <c r="D78" s="57">
        <v>1.007989</v>
      </c>
      <c r="E78" s="57"/>
      <c r="F78" s="57">
        <v>20.713038999999998</v>
      </c>
      <c r="G78" s="85"/>
      <c r="H78" s="85"/>
      <c r="I78" s="320"/>
      <c r="J78" s="85"/>
      <c r="K78" s="85"/>
      <c r="L78" s="85"/>
      <c r="M78" s="85"/>
      <c r="N78" s="132"/>
      <c r="O78" s="327">
        <f t="shared" si="9"/>
        <v>28.274577999999998</v>
      </c>
    </row>
    <row r="79" spans="1:15" x14ac:dyDescent="0.15">
      <c r="A79" s="309" t="s">
        <v>102</v>
      </c>
      <c r="B79" s="310">
        <f t="shared" ref="B79:N79" si="10">B13</f>
        <v>0</v>
      </c>
      <c r="C79" s="310">
        <f t="shared" si="10"/>
        <v>0</v>
      </c>
      <c r="D79" s="310">
        <f t="shared" si="10"/>
        <v>0</v>
      </c>
      <c r="E79" s="310">
        <f t="shared" si="10"/>
        <v>0</v>
      </c>
      <c r="F79" s="310">
        <f t="shared" si="10"/>
        <v>0</v>
      </c>
      <c r="G79" s="310">
        <f t="shared" si="10"/>
        <v>0</v>
      </c>
      <c r="H79" s="310">
        <f t="shared" si="10"/>
        <v>0</v>
      </c>
      <c r="I79" s="310">
        <f t="shared" si="10"/>
        <v>0</v>
      </c>
      <c r="J79" s="310">
        <f t="shared" si="10"/>
        <v>0</v>
      </c>
      <c r="K79" s="310">
        <f t="shared" si="10"/>
        <v>0</v>
      </c>
      <c r="L79" s="310">
        <f t="shared" si="10"/>
        <v>0</v>
      </c>
      <c r="M79" s="310">
        <f t="shared" si="10"/>
        <v>0</v>
      </c>
      <c r="N79" s="310">
        <f t="shared" si="10"/>
        <v>0</v>
      </c>
      <c r="O79" s="327">
        <f t="shared" si="9"/>
        <v>0</v>
      </c>
    </row>
    <row r="80" spans="1:15" x14ac:dyDescent="0.15">
      <c r="A80" s="309" t="s">
        <v>103</v>
      </c>
      <c r="B80" s="310">
        <f t="shared" ref="B80:N80" si="11">B21</f>
        <v>101.72</v>
      </c>
      <c r="C80" s="310">
        <f t="shared" si="11"/>
        <v>0</v>
      </c>
      <c r="D80" s="310">
        <f t="shared" si="11"/>
        <v>0.14399999999999999</v>
      </c>
      <c r="E80" s="310">
        <f t="shared" si="11"/>
        <v>0</v>
      </c>
      <c r="F80" s="310">
        <f t="shared" si="11"/>
        <v>0</v>
      </c>
      <c r="G80" s="310">
        <f t="shared" si="11"/>
        <v>0</v>
      </c>
      <c r="H80" s="310">
        <f t="shared" si="11"/>
        <v>0</v>
      </c>
      <c r="I80" s="310">
        <f t="shared" si="11"/>
        <v>0</v>
      </c>
      <c r="J80" s="310">
        <f t="shared" si="11"/>
        <v>0</v>
      </c>
      <c r="K80" s="310">
        <f t="shared" si="11"/>
        <v>0</v>
      </c>
      <c r="L80" s="310">
        <f t="shared" si="11"/>
        <v>0</v>
      </c>
      <c r="M80" s="310">
        <f t="shared" si="11"/>
        <v>0</v>
      </c>
      <c r="N80" s="310">
        <f t="shared" si="11"/>
        <v>0</v>
      </c>
      <c r="O80" s="327">
        <f t="shared" si="9"/>
        <v>0.14399999999999999</v>
      </c>
    </row>
    <row r="81" spans="1:15" x14ac:dyDescent="0.15">
      <c r="A81" s="309" t="s">
        <v>104</v>
      </c>
      <c r="B81" s="310">
        <f t="shared" ref="B81:N81" si="12">B23</f>
        <v>179.12652</v>
      </c>
      <c r="C81" s="310">
        <f t="shared" si="12"/>
        <v>14.238809</v>
      </c>
      <c r="D81" s="310">
        <f t="shared" si="12"/>
        <v>6.3477379999999997</v>
      </c>
      <c r="E81" s="310">
        <f t="shared" si="12"/>
        <v>9.4640350000000009</v>
      </c>
      <c r="F81" s="310">
        <f t="shared" si="12"/>
        <v>15.7553859999999</v>
      </c>
      <c r="G81" s="310">
        <f t="shared" si="12"/>
        <v>0</v>
      </c>
      <c r="H81" s="310">
        <f t="shared" si="12"/>
        <v>0</v>
      </c>
      <c r="I81" s="310">
        <f t="shared" si="12"/>
        <v>0</v>
      </c>
      <c r="J81" s="310">
        <f t="shared" si="12"/>
        <v>0</v>
      </c>
      <c r="K81" s="310">
        <f t="shared" si="12"/>
        <v>0</v>
      </c>
      <c r="L81" s="310">
        <f t="shared" si="12"/>
        <v>0</v>
      </c>
      <c r="M81" s="310">
        <f t="shared" si="12"/>
        <v>0</v>
      </c>
      <c r="N81" s="310">
        <f t="shared" si="12"/>
        <v>0</v>
      </c>
      <c r="O81" s="327">
        <f t="shared" si="9"/>
        <v>45.805967999999901</v>
      </c>
    </row>
    <row r="82" spans="1:15" x14ac:dyDescent="0.15">
      <c r="A82" s="309" t="s">
        <v>105</v>
      </c>
      <c r="B82" s="310">
        <f t="shared" ref="B82:N82" si="13">B25</f>
        <v>950.26499999999999</v>
      </c>
      <c r="C82" s="310">
        <f t="shared" si="13"/>
        <v>86.353442999999999</v>
      </c>
      <c r="D82" s="310">
        <f t="shared" si="13"/>
        <v>78.023489999999995</v>
      </c>
      <c r="E82" s="310">
        <f t="shared" si="13"/>
        <v>86.173547999999997</v>
      </c>
      <c r="F82" s="310">
        <f t="shared" si="13"/>
        <v>83.592986999999994</v>
      </c>
      <c r="G82" s="310">
        <f t="shared" si="13"/>
        <v>0</v>
      </c>
      <c r="H82" s="310">
        <f t="shared" si="13"/>
        <v>0</v>
      </c>
      <c r="I82" s="310">
        <f t="shared" si="13"/>
        <v>0</v>
      </c>
      <c r="J82" s="310">
        <f t="shared" si="13"/>
        <v>0</v>
      </c>
      <c r="K82" s="310">
        <f t="shared" si="13"/>
        <v>0</v>
      </c>
      <c r="L82" s="310">
        <f t="shared" si="13"/>
        <v>0</v>
      </c>
      <c r="M82" s="310">
        <f t="shared" si="13"/>
        <v>0</v>
      </c>
      <c r="N82" s="310">
        <f t="shared" si="13"/>
        <v>0</v>
      </c>
      <c r="O82" s="327">
        <f t="shared" si="9"/>
        <v>334.14346799999998</v>
      </c>
    </row>
    <row r="83" spans="1:15" x14ac:dyDescent="0.15">
      <c r="A83" s="309" t="s">
        <v>106</v>
      </c>
      <c r="B83" s="310">
        <f t="shared" ref="B83:O84" si="14">B29</f>
        <v>-110</v>
      </c>
      <c r="C83" s="310">
        <f t="shared" si="14"/>
        <v>0</v>
      </c>
      <c r="D83" s="310">
        <f t="shared" si="14"/>
        <v>0</v>
      </c>
      <c r="E83" s="310">
        <f t="shared" si="14"/>
        <v>0</v>
      </c>
      <c r="F83" s="310">
        <f t="shared" si="14"/>
        <v>0</v>
      </c>
      <c r="G83" s="310">
        <f t="shared" si="14"/>
        <v>0</v>
      </c>
      <c r="H83" s="310">
        <f t="shared" si="14"/>
        <v>0</v>
      </c>
      <c r="I83" s="310">
        <f t="shared" si="14"/>
        <v>0</v>
      </c>
      <c r="J83" s="310">
        <f t="shared" si="14"/>
        <v>0</v>
      </c>
      <c r="K83" s="310">
        <f t="shared" si="14"/>
        <v>0</v>
      </c>
      <c r="L83" s="310">
        <f t="shared" si="14"/>
        <v>0</v>
      </c>
      <c r="M83" s="310">
        <f t="shared" si="14"/>
        <v>0</v>
      </c>
      <c r="N83" s="310">
        <f t="shared" si="14"/>
        <v>0</v>
      </c>
      <c r="O83" s="327">
        <f t="shared" si="14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5">C35</f>
        <v>0</v>
      </c>
      <c r="D84" s="310">
        <f t="shared" si="15"/>
        <v>0</v>
      </c>
      <c r="E84" s="310">
        <f t="shared" si="15"/>
        <v>0</v>
      </c>
      <c r="F84" s="310">
        <f t="shared" si="15"/>
        <v>0</v>
      </c>
      <c r="G84" s="310">
        <f t="shared" si="15"/>
        <v>0</v>
      </c>
      <c r="H84" s="310">
        <f t="shared" si="15"/>
        <v>0</v>
      </c>
      <c r="I84" s="310">
        <f t="shared" si="15"/>
        <v>0</v>
      </c>
      <c r="J84" s="310">
        <f t="shared" si="15"/>
        <v>0</v>
      </c>
      <c r="K84" s="310">
        <f t="shared" si="15"/>
        <v>0</v>
      </c>
      <c r="L84" s="310">
        <f t="shared" si="15"/>
        <v>0</v>
      </c>
      <c r="M84" s="310">
        <f t="shared" si="15"/>
        <v>0</v>
      </c>
      <c r="N84" s="310">
        <f t="shared" si="15"/>
        <v>0</v>
      </c>
      <c r="O84" s="310">
        <f t="shared" si="14"/>
        <v>0</v>
      </c>
    </row>
    <row r="85" spans="1:15" x14ac:dyDescent="0.15">
      <c r="A85" s="309" t="s">
        <v>107</v>
      </c>
      <c r="B85" s="310">
        <f t="shared" ref="B85:N85" si="16">B37</f>
        <v>0</v>
      </c>
      <c r="C85" s="310">
        <f t="shared" si="16"/>
        <v>0</v>
      </c>
      <c r="D85" s="310">
        <f t="shared" si="16"/>
        <v>0</v>
      </c>
      <c r="E85" s="310">
        <f t="shared" si="16"/>
        <v>0</v>
      </c>
      <c r="F85" s="310">
        <f t="shared" si="16"/>
        <v>0</v>
      </c>
      <c r="G85" s="310">
        <f t="shared" si="16"/>
        <v>0</v>
      </c>
      <c r="H85" s="310">
        <f t="shared" si="16"/>
        <v>0</v>
      </c>
      <c r="I85" s="310">
        <f t="shared" si="16"/>
        <v>0</v>
      </c>
      <c r="J85" s="310">
        <f t="shared" si="16"/>
        <v>0</v>
      </c>
      <c r="K85" s="310">
        <f t="shared" si="16"/>
        <v>0</v>
      </c>
      <c r="L85" s="310">
        <f t="shared" si="16"/>
        <v>0</v>
      </c>
      <c r="M85" s="310">
        <f t="shared" si="16"/>
        <v>0</v>
      </c>
      <c r="N85" s="310">
        <f t="shared" si="16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7">D40</f>
        <v>0</v>
      </c>
      <c r="E86" s="310">
        <f t="shared" si="17"/>
        <v>0</v>
      </c>
      <c r="F86" s="310">
        <f t="shared" si="17"/>
        <v>0</v>
      </c>
      <c r="G86" s="310">
        <f t="shared" si="17"/>
        <v>0</v>
      </c>
      <c r="H86" s="310">
        <f t="shared" si="17"/>
        <v>0</v>
      </c>
      <c r="I86" s="310">
        <f t="shared" si="17"/>
        <v>0</v>
      </c>
      <c r="J86" s="310">
        <f t="shared" si="17"/>
        <v>0</v>
      </c>
      <c r="K86" s="310">
        <f t="shared" si="17"/>
        <v>0</v>
      </c>
      <c r="L86" s="310">
        <f t="shared" si="17"/>
        <v>0</v>
      </c>
      <c r="M86" s="310">
        <f t="shared" si="17"/>
        <v>0</v>
      </c>
      <c r="N86" s="310">
        <f t="shared" si="17"/>
        <v>0</v>
      </c>
      <c r="O86" s="310">
        <f>O31</f>
        <v>0</v>
      </c>
    </row>
    <row r="91" spans="1:15" x14ac:dyDescent="0.15">
      <c r="K91" s="324"/>
    </row>
    <row r="92" spans="1:15" x14ac:dyDescent="0.15">
      <c r="K92" s="324"/>
    </row>
  </sheetData>
  <phoneticPr fontId="3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6"/>
  <sheetViews>
    <sheetView workbookViewId="0">
      <pane xSplit="1" ySplit="2" topLeftCell="B3" activePane="bottomRight" state="frozenSplit"/>
      <selection pane="topRight"/>
      <selection pane="bottomLeft"/>
      <selection pane="bottomRight" activeCell="F77" sqref="F77"/>
    </sheetView>
  </sheetViews>
  <sheetFormatPr defaultColWidth="9" defaultRowHeight="13.5" x14ac:dyDescent="0.15"/>
  <cols>
    <col min="1" max="1" width="20.75" customWidth="1"/>
    <col min="2" max="2" width="11.75" customWidth="1"/>
    <col min="3" max="6" width="10" customWidth="1"/>
    <col min="7" max="7" width="10.875" customWidth="1"/>
    <col min="8" max="8" width="9.625" customWidth="1"/>
    <col min="9" max="14" width="8.625" customWidth="1"/>
    <col min="15" max="15" width="11.12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7076.30933333333</v>
      </c>
      <c r="C3" s="292">
        <v>529.70098899999903</v>
      </c>
      <c r="D3" s="292">
        <v>614.67724899999996</v>
      </c>
      <c r="E3" s="292">
        <v>673.06985699999905</v>
      </c>
      <c r="F3" s="292">
        <v>765.69357600000001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314">
        <f>SUM(C3:N3)</f>
        <v>2583.141670999998</v>
      </c>
    </row>
    <row r="4" spans="1:15" x14ac:dyDescent="0.15">
      <c r="A4" s="291" t="s">
        <v>15</v>
      </c>
      <c r="B4" s="292">
        <f>B5+B6</f>
        <v>7076.30933333333</v>
      </c>
      <c r="C4" s="292">
        <v>529.70098899999903</v>
      </c>
      <c r="D4" s="292">
        <v>614.67724899999996</v>
      </c>
      <c r="E4" s="292">
        <v>673.06985699999905</v>
      </c>
      <c r="F4" s="292">
        <v>765.69357600000001</v>
      </c>
      <c r="G4" s="292">
        <f t="shared" ref="G4:N4" si="1">G5+G6</f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314">
        <f>SUM(C4:N4)</f>
        <v>2583.141670999998</v>
      </c>
    </row>
    <row r="5" spans="1:15" ht="24" x14ac:dyDescent="0.15">
      <c r="A5" s="291" t="s">
        <v>17</v>
      </c>
      <c r="B5" s="292">
        <v>7076.30933333333</v>
      </c>
      <c r="C5" s="292">
        <v>529.70098899999903</v>
      </c>
      <c r="D5" s="292">
        <v>614.67724899999996</v>
      </c>
      <c r="E5" s="292">
        <v>673.06985699999905</v>
      </c>
      <c r="F5" s="292">
        <v>765.69357600000001</v>
      </c>
      <c r="G5" s="292"/>
      <c r="H5" s="292"/>
      <c r="I5" s="292"/>
      <c r="J5" s="292"/>
      <c r="K5" s="292"/>
      <c r="L5" s="292"/>
      <c r="M5" s="292"/>
      <c r="N5" s="292"/>
      <c r="O5" s="314">
        <f>SUM(C5:N5)</f>
        <v>2583.141670999998</v>
      </c>
    </row>
    <row r="6" spans="1:15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314">
        <f>SUM(C6:L6)</f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314">
        <f t="shared" ref="O7:O23" si="2">SUM(C7:N7)</f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314">
        <f t="shared" si="2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314">
        <f t="shared" si="2"/>
        <v>0</v>
      </c>
    </row>
    <row r="10" spans="1:15" x14ac:dyDescent="0.15">
      <c r="A10" s="291" t="s">
        <v>22</v>
      </c>
      <c r="B10" s="292">
        <f>B11+B21+B23+B25+B29</f>
        <v>5717.0798000000013</v>
      </c>
      <c r="C10" s="292">
        <v>462.18051500000001</v>
      </c>
      <c r="D10" s="292">
        <v>408.319783999999</v>
      </c>
      <c r="E10" s="292">
        <v>469.01279899999997</v>
      </c>
      <c r="F10" s="292">
        <v>467.87530399999901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314">
        <f t="shared" si="2"/>
        <v>1807.388401999998</v>
      </c>
    </row>
    <row r="11" spans="1:15" x14ac:dyDescent="0.15">
      <c r="A11" s="291" t="s">
        <v>23</v>
      </c>
      <c r="B11" s="292">
        <f>B12+B13</f>
        <v>3907.6142800000002</v>
      </c>
      <c r="C11" s="292">
        <v>298.83997299999999</v>
      </c>
      <c r="D11" s="292">
        <v>271.33046199999899</v>
      </c>
      <c r="E11" s="292">
        <v>302.16683699999999</v>
      </c>
      <c r="F11" s="292">
        <v>298.02684399999902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314">
        <f t="shared" si="2"/>
        <v>1170.3641159999979</v>
      </c>
    </row>
    <row r="12" spans="1:15" ht="24" x14ac:dyDescent="0.15">
      <c r="A12" s="291" t="s">
        <v>144</v>
      </c>
      <c r="B12" s="293">
        <f>B73</f>
        <v>3907.6142800000002</v>
      </c>
      <c r="C12" s="292">
        <v>298.83997299999999</v>
      </c>
      <c r="D12" s="293">
        <v>271.33046199999899</v>
      </c>
      <c r="E12" s="293">
        <v>302.16683699999999</v>
      </c>
      <c r="F12" s="293">
        <v>298.02684399999902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314">
        <f t="shared" si="2"/>
        <v>1170.3641159999979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314">
        <f t="shared" si="2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314">
        <f t="shared" si="2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314">
        <f t="shared" si="2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314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314">
        <f t="shared" si="2"/>
        <v>0</v>
      </c>
    </row>
    <row r="18" spans="1:15" ht="24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314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314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314">
        <f t="shared" si="2"/>
        <v>0</v>
      </c>
    </row>
    <row r="21" spans="1:15" x14ac:dyDescent="0.15">
      <c r="A21" s="291" t="s">
        <v>33</v>
      </c>
      <c r="B21" s="292">
        <v>195.36</v>
      </c>
      <c r="C21" s="312">
        <v>0.32773999999999998</v>
      </c>
      <c r="D21" s="312">
        <v>0.18945999999999999</v>
      </c>
      <c r="E21" s="292">
        <v>23.730166000000001</v>
      </c>
      <c r="F21" s="292">
        <v>8.5637620000000005</v>
      </c>
      <c r="G21" s="292"/>
      <c r="H21" s="292"/>
      <c r="I21" s="292"/>
      <c r="J21" s="292"/>
      <c r="K21" s="292"/>
      <c r="L21" s="292"/>
      <c r="M21" s="292"/>
      <c r="N21" s="292"/>
      <c r="O21" s="314">
        <f t="shared" si="2"/>
        <v>32.811127999999997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314">
        <f t="shared" si="2"/>
        <v>0</v>
      </c>
    </row>
    <row r="23" spans="1:15" x14ac:dyDescent="0.15">
      <c r="A23" s="291" t="s">
        <v>35</v>
      </c>
      <c r="B23" s="292">
        <v>318.53152</v>
      </c>
      <c r="C23" s="292">
        <v>31.286677000000001</v>
      </c>
      <c r="D23" s="292">
        <v>10.119532</v>
      </c>
      <c r="E23" s="292">
        <v>11.026001999999901</v>
      </c>
      <c r="F23" s="292">
        <v>32.401770999999997</v>
      </c>
      <c r="G23" s="292"/>
      <c r="H23" s="292"/>
      <c r="I23" s="292"/>
      <c r="J23" s="292"/>
      <c r="K23" s="292"/>
      <c r="L23" s="292"/>
      <c r="M23" s="292"/>
      <c r="N23" s="292"/>
      <c r="O23" s="314">
        <f t="shared" si="2"/>
        <v>84.833981999999907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314">
        <f t="shared" ref="O24:O68" si="6">SUM(C24:N24)</f>
        <v>0</v>
      </c>
    </row>
    <row r="25" spans="1:15" x14ac:dyDescent="0.15">
      <c r="A25" s="291" t="s">
        <v>37</v>
      </c>
      <c r="B25" s="292">
        <v>1529.5740000000001</v>
      </c>
      <c r="C25" s="292">
        <v>131.726125</v>
      </c>
      <c r="D25" s="292">
        <v>126.680329999999</v>
      </c>
      <c r="E25" s="292">
        <v>132.08979400000001</v>
      </c>
      <c r="F25" s="292">
        <v>128.882926999999</v>
      </c>
      <c r="G25" s="292"/>
      <c r="H25" s="292"/>
      <c r="I25" s="292"/>
      <c r="J25" s="292"/>
      <c r="K25" s="292"/>
      <c r="L25" s="292"/>
      <c r="M25" s="292"/>
      <c r="N25" s="292"/>
      <c r="O25" s="314">
        <f t="shared" si="6"/>
        <v>519.37917599999798</v>
      </c>
    </row>
    <row r="26" spans="1:15" hidden="1" x14ac:dyDescent="0.15">
      <c r="A26" s="291" t="s">
        <v>38</v>
      </c>
      <c r="B26" s="292"/>
      <c r="C26" s="292">
        <v>131.858757</v>
      </c>
      <c r="D26" s="292">
        <v>126.711182999999</v>
      </c>
      <c r="E26" s="292">
        <v>132.145847</v>
      </c>
      <c r="F26" s="292">
        <v>126.88081699999999</v>
      </c>
      <c r="G26" s="292"/>
      <c r="H26" s="292"/>
      <c r="I26" s="292"/>
      <c r="J26" s="292"/>
      <c r="K26" s="292"/>
      <c r="L26" s="292"/>
      <c r="M26" s="292"/>
      <c r="N26" s="292"/>
      <c r="O26" s="314">
        <f t="shared" si="6"/>
        <v>517.59660399999905</v>
      </c>
    </row>
    <row r="27" spans="1:15" hidden="1" x14ac:dyDescent="0.15">
      <c r="A27" s="291" t="s">
        <v>39</v>
      </c>
      <c r="B27" s="292"/>
      <c r="C27" s="292">
        <v>0.20011399999999999</v>
      </c>
      <c r="D27" s="292">
        <v>0.105653</v>
      </c>
      <c r="E27" s="292">
        <v>7.4102999999999905E-2</v>
      </c>
      <c r="F27" s="292">
        <v>3.6389999999999999E-2</v>
      </c>
      <c r="G27" s="292"/>
      <c r="H27" s="292"/>
      <c r="I27" s="292"/>
      <c r="J27" s="292"/>
      <c r="K27" s="292"/>
      <c r="L27" s="292"/>
      <c r="M27" s="292"/>
      <c r="N27" s="292"/>
      <c r="O27" s="314">
        <f t="shared" si="6"/>
        <v>0.41625999999999991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314">
        <f t="shared" si="6"/>
        <v>0</v>
      </c>
    </row>
    <row r="29" spans="1:15" x14ac:dyDescent="0.15">
      <c r="A29" s="291" t="s">
        <v>41</v>
      </c>
      <c r="B29" s="292">
        <v>-234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314">
        <f t="shared" si="6"/>
        <v>0</v>
      </c>
    </row>
    <row r="30" spans="1:15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314">
        <f t="shared" si="6"/>
        <v>0</v>
      </c>
    </row>
    <row r="31" spans="1:15" ht="15.75" hidden="1" customHeight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314">
        <f t="shared" si="6"/>
        <v>0</v>
      </c>
    </row>
    <row r="32" spans="1:15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314">
        <f t="shared" si="6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314">
        <f t="shared" si="6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314">
        <f t="shared" si="6"/>
        <v>0</v>
      </c>
    </row>
    <row r="35" spans="1:15" x14ac:dyDescent="0.15">
      <c r="A35" s="291" t="s">
        <v>47</v>
      </c>
      <c r="B35" s="292">
        <v>260</v>
      </c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314">
        <f t="shared" si="6"/>
        <v>0</v>
      </c>
    </row>
    <row r="36" spans="1:15" x14ac:dyDescent="0.15">
      <c r="A36" s="291" t="s">
        <v>48</v>
      </c>
      <c r="B36" s="295">
        <f>B3-B10+B35</f>
        <v>1619.2295333333286</v>
      </c>
      <c r="C36" s="292">
        <v>67.520473999999993</v>
      </c>
      <c r="D36" s="295">
        <v>206.35746499999999</v>
      </c>
      <c r="E36" s="295">
        <v>204.05705799999899</v>
      </c>
      <c r="F36" s="295">
        <v>297.81827199999998</v>
      </c>
      <c r="G36" s="295">
        <f t="shared" ref="G36:N36" si="7">G3-G10+G35</f>
        <v>0</v>
      </c>
      <c r="H36" s="295">
        <f t="shared" si="7"/>
        <v>0</v>
      </c>
      <c r="I36" s="295">
        <f t="shared" si="7"/>
        <v>0</v>
      </c>
      <c r="J36" s="295">
        <f t="shared" si="7"/>
        <v>0</v>
      </c>
      <c r="K36" s="295">
        <f t="shared" si="7"/>
        <v>0</v>
      </c>
      <c r="L36" s="295">
        <f t="shared" si="7"/>
        <v>0</v>
      </c>
      <c r="M36" s="295">
        <f t="shared" si="7"/>
        <v>0</v>
      </c>
      <c r="N36" s="295">
        <f t="shared" si="7"/>
        <v>0</v>
      </c>
      <c r="O36" s="314">
        <f t="shared" si="6"/>
        <v>775.75326899999891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314">
        <f t="shared" si="6"/>
        <v>0</v>
      </c>
    </row>
    <row r="38" spans="1:15" ht="24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314">
        <f t="shared" si="6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314">
        <f t="shared" si="6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314">
        <f t="shared" si="6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314">
        <f t="shared" si="6"/>
        <v>0</v>
      </c>
    </row>
    <row r="42" spans="1:15" x14ac:dyDescent="0.15">
      <c r="A42" s="291" t="s">
        <v>54</v>
      </c>
      <c r="B42" s="292">
        <v>3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314">
        <f t="shared" si="6"/>
        <v>0</v>
      </c>
    </row>
    <row r="43" spans="1:15" ht="24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314">
        <f t="shared" si="6"/>
        <v>0</v>
      </c>
    </row>
    <row r="44" spans="1:15" hidden="1" x14ac:dyDescent="0.15">
      <c r="A44" s="291" t="s">
        <v>56</v>
      </c>
      <c r="B44" s="296"/>
      <c r="C44" s="292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14">
        <f t="shared" si="6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314">
        <f t="shared" si="6"/>
        <v>0</v>
      </c>
    </row>
    <row r="46" spans="1:15" x14ac:dyDescent="0.15">
      <c r="A46" s="291" t="s">
        <v>58</v>
      </c>
      <c r="B46" s="296">
        <f>B36+B37-B42</f>
        <v>1616.2295333333286</v>
      </c>
      <c r="C46" s="292">
        <v>67.520473999999993</v>
      </c>
      <c r="D46" s="296">
        <v>206.35746499999999</v>
      </c>
      <c r="E46" s="296">
        <v>204.05705799999899</v>
      </c>
      <c r="F46" s="296">
        <v>297.81827199999998</v>
      </c>
      <c r="G46" s="296">
        <f t="shared" ref="G46:N46" si="8">G36+G37-G42</f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314">
        <f t="shared" si="6"/>
        <v>775.75326899999891</v>
      </c>
    </row>
    <row r="47" spans="1:15" x14ac:dyDescent="0.15">
      <c r="A47" s="291" t="s">
        <v>59</v>
      </c>
      <c r="B47" s="297"/>
      <c r="C47" s="292"/>
      <c r="D47" s="292"/>
      <c r="E47" s="292">
        <v>71.696018999999893</v>
      </c>
      <c r="F47" s="292">
        <v>0</v>
      </c>
      <c r="G47" s="292"/>
      <c r="H47" s="292"/>
      <c r="I47" s="292"/>
      <c r="J47" s="292"/>
      <c r="K47" s="292"/>
      <c r="L47" s="292"/>
      <c r="M47" s="292"/>
      <c r="N47" s="292"/>
      <c r="O47" s="292">
        <f t="shared" si="6"/>
        <v>71.696018999999893</v>
      </c>
    </row>
    <row r="48" spans="1:15" x14ac:dyDescent="0.15">
      <c r="A48" s="291" t="s">
        <v>60</v>
      </c>
      <c r="B48" s="297"/>
      <c r="C48" s="292">
        <v>67.520473999999993</v>
      </c>
      <c r="D48" s="292">
        <v>206.35746499999999</v>
      </c>
      <c r="E48" s="292">
        <v>132.36103899999901</v>
      </c>
      <c r="F48" s="292">
        <v>297.81827199999998</v>
      </c>
      <c r="G48" s="292"/>
      <c r="H48" s="292"/>
      <c r="I48" s="292"/>
      <c r="J48" s="292"/>
      <c r="K48" s="292"/>
      <c r="L48" s="292"/>
      <c r="M48" s="292"/>
      <c r="N48" s="292"/>
      <c r="O48" s="292">
        <f t="shared" si="6"/>
        <v>704.05724999999893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6"/>
        <v>0</v>
      </c>
    </row>
    <row r="50" spans="1:15" ht="24" hidden="1" x14ac:dyDescent="0.15">
      <c r="A50" s="291" t="s">
        <v>62</v>
      </c>
      <c r="B50" s="298"/>
      <c r="C50" s="292">
        <v>67.520473999999894</v>
      </c>
      <c r="D50" s="292">
        <v>206.35746499999999</v>
      </c>
      <c r="E50" s="292">
        <v>132.36103899999901</v>
      </c>
      <c r="F50" s="292">
        <v>297.81827199999998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6"/>
        <v>704.05724999999882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6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6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6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6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6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6"/>
        <v>0</v>
      </c>
    </row>
    <row r="57" spans="1:15" ht="36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6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6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6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6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6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6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344.85461600000002</v>
      </c>
      <c r="H63" s="292">
        <v>135.36440499999901</v>
      </c>
      <c r="I63" s="292">
        <v>189.080172</v>
      </c>
      <c r="J63" s="292">
        <v>65.896472000000003</v>
      </c>
      <c r="K63" s="292">
        <v>44.217958000000003</v>
      </c>
      <c r="L63" s="292">
        <v>64.054039999999802</v>
      </c>
      <c r="M63" s="292">
        <v>39.551886000000103</v>
      </c>
      <c r="N63" s="292">
        <v>-137.143124</v>
      </c>
      <c r="O63" s="292">
        <f t="shared" si="6"/>
        <v>745.87642499999879</v>
      </c>
    </row>
    <row r="64" spans="1:15" ht="24" hidden="1" x14ac:dyDescent="0.15">
      <c r="A64" s="291" t="s">
        <v>76</v>
      </c>
      <c r="B64" s="298"/>
      <c r="C64" s="292"/>
      <c r="D64" s="292"/>
      <c r="E64" s="292"/>
      <c r="F64" s="292"/>
      <c r="G64" s="292">
        <v>344.85461600000002</v>
      </c>
      <c r="H64" s="292">
        <v>135.364405000001</v>
      </c>
      <c r="I64" s="292">
        <v>189.08017199999799</v>
      </c>
      <c r="J64" s="292">
        <v>65.896472000000003</v>
      </c>
      <c r="K64" s="292">
        <v>44.217958000000003</v>
      </c>
      <c r="L64" s="292">
        <v>64.054039999999802</v>
      </c>
      <c r="M64" s="292">
        <v>39.551886000000103</v>
      </c>
      <c r="N64" s="292">
        <v>-137.143124</v>
      </c>
      <c r="O64" s="292">
        <f t="shared" si="6"/>
        <v>745.87642499999879</v>
      </c>
    </row>
    <row r="65" spans="1:15" hidden="1" x14ac:dyDescent="0.15">
      <c r="A65" s="291" t="s">
        <v>77</v>
      </c>
      <c r="B65" s="298"/>
      <c r="C65" s="292">
        <v>67.520474000000107</v>
      </c>
      <c r="D65" s="292"/>
      <c r="E65" s="292">
        <v>132.36103899999901</v>
      </c>
      <c r="F65" s="292">
        <v>297.81827199999998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6"/>
        <v>497.69978499999911</v>
      </c>
    </row>
    <row r="66" spans="1:15" ht="24" hidden="1" x14ac:dyDescent="0.15">
      <c r="A66" s="291" t="s">
        <v>78</v>
      </c>
      <c r="B66" s="298"/>
      <c r="C66" s="292">
        <v>67.520473999999894</v>
      </c>
      <c r="D66" s="292">
        <v>206.35746499999999</v>
      </c>
      <c r="E66" s="292">
        <v>132.36103899999901</v>
      </c>
      <c r="F66" s="292">
        <v>297.81827199999901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6"/>
        <v>704.05724999999779</v>
      </c>
    </row>
    <row r="67" spans="1:15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6"/>
        <v>0</v>
      </c>
    </row>
    <row r="68" spans="1:15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6"/>
        <v>0</v>
      </c>
    </row>
    <row r="69" spans="1:15" hidden="1" x14ac:dyDescent="0.15">
      <c r="A69" s="291" t="s">
        <v>81</v>
      </c>
      <c r="B69" s="299"/>
    </row>
    <row r="70" spans="1:15" hidden="1" x14ac:dyDescent="0.15">
      <c r="A70" s="291" t="s">
        <v>82</v>
      </c>
      <c r="B70" s="299"/>
    </row>
    <row r="71" spans="1:15" x14ac:dyDescent="0.15">
      <c r="B71" s="299"/>
    </row>
    <row r="72" spans="1:15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5" x14ac:dyDescent="0.15">
      <c r="A73" s="303" t="s">
        <v>146</v>
      </c>
      <c r="B73" s="316">
        <f>SUM(B74:B78)</f>
        <v>3907.6142800000002</v>
      </c>
      <c r="C73" s="316">
        <f t="shared" ref="C73:O73" si="9">SUM(C74:C78)</f>
        <v>298.83997299999999</v>
      </c>
      <c r="D73" s="316">
        <f t="shared" si="9"/>
        <v>271.33046200000001</v>
      </c>
      <c r="E73" s="316">
        <f t="shared" si="9"/>
        <v>302.16683899999998</v>
      </c>
      <c r="F73" s="316">
        <f t="shared" si="9"/>
        <v>298.02684399999998</v>
      </c>
      <c r="G73" s="316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1170.364118</v>
      </c>
    </row>
    <row r="74" spans="1:15" x14ac:dyDescent="0.15">
      <c r="A74" s="305" t="s">
        <v>97</v>
      </c>
      <c r="B74" s="322">
        <v>21.57</v>
      </c>
      <c r="C74" s="320"/>
      <c r="D74" s="85"/>
      <c r="E74" s="85"/>
      <c r="F74" s="85"/>
      <c r="H74" s="85"/>
      <c r="I74" s="85"/>
      <c r="J74" s="85"/>
      <c r="K74" s="85"/>
      <c r="L74" s="85"/>
      <c r="M74" s="85"/>
      <c r="N74" s="132"/>
      <c r="O74" s="310">
        <f>SUM(C74:N74)</f>
        <v>0</v>
      </c>
    </row>
    <row r="75" spans="1:15" x14ac:dyDescent="0.15">
      <c r="A75" s="305" t="s">
        <v>98</v>
      </c>
      <c r="B75" s="322">
        <v>309.68</v>
      </c>
      <c r="C75" s="320">
        <v>0.20371800000000001</v>
      </c>
      <c r="D75" s="320">
        <v>6.7905999999999994E-2</v>
      </c>
      <c r="E75" s="85">
        <v>3.4753370000000001</v>
      </c>
      <c r="F75" s="85">
        <v>1.3180339999999999</v>
      </c>
      <c r="G75" s="85"/>
      <c r="H75" s="85"/>
      <c r="I75" s="85"/>
      <c r="J75" s="85"/>
      <c r="K75" s="85"/>
      <c r="L75" s="85"/>
      <c r="M75" s="85"/>
      <c r="N75" s="132"/>
      <c r="O75" s="310">
        <f t="shared" ref="O75:O82" si="10">SUM(C75:N75)</f>
        <v>5.0649949999999997</v>
      </c>
    </row>
    <row r="76" spans="1:15" x14ac:dyDescent="0.15">
      <c r="A76" s="305" t="s">
        <v>99</v>
      </c>
      <c r="B76" s="322">
        <v>3084.4160000000002</v>
      </c>
      <c r="C76" s="320">
        <v>257.27156000000002</v>
      </c>
      <c r="D76" s="85">
        <v>257.27109000000002</v>
      </c>
      <c r="E76" s="85">
        <v>257.271548</v>
      </c>
      <c r="F76" s="85">
        <v>257.27114399999999</v>
      </c>
      <c r="G76" s="85"/>
      <c r="H76" s="85"/>
      <c r="I76" s="85"/>
      <c r="J76" s="85"/>
      <c r="K76" s="85"/>
      <c r="L76" s="85"/>
      <c r="M76" s="85"/>
      <c r="N76" s="132"/>
      <c r="O76" s="310">
        <f t="shared" si="10"/>
        <v>1029.0853420000001</v>
      </c>
    </row>
    <row r="77" spans="1:15" x14ac:dyDescent="0.15">
      <c r="A77" s="305" t="s">
        <v>100</v>
      </c>
      <c r="B77" s="322">
        <v>337.38828000000001</v>
      </c>
      <c r="C77" s="320">
        <v>34.027126000000003</v>
      </c>
      <c r="D77" s="85">
        <v>13.991466000000001</v>
      </c>
      <c r="E77" s="85">
        <v>12.833606</v>
      </c>
      <c r="F77" s="85">
        <v>38.817278000000002</v>
      </c>
      <c r="G77" s="85"/>
      <c r="H77" s="85"/>
      <c r="I77" s="85"/>
      <c r="J77" s="85"/>
      <c r="K77" s="85"/>
      <c r="L77" s="85"/>
      <c r="M77" s="85"/>
      <c r="N77" s="132"/>
      <c r="O77" s="310">
        <f t="shared" si="10"/>
        <v>99.669476000000003</v>
      </c>
    </row>
    <row r="78" spans="1:15" x14ac:dyDescent="0.15">
      <c r="A78" s="307" t="s">
        <v>101</v>
      </c>
      <c r="B78" s="323">
        <v>154.56</v>
      </c>
      <c r="C78" s="320">
        <v>7.3375690000000002</v>
      </c>
      <c r="D78" s="85"/>
      <c r="E78" s="85">
        <v>28.586348000000001</v>
      </c>
      <c r="F78" s="85">
        <v>0.62038800000000005</v>
      </c>
      <c r="G78" s="85"/>
      <c r="H78" s="85"/>
      <c r="I78" s="85"/>
      <c r="J78" s="85"/>
      <c r="K78" s="85"/>
      <c r="L78" s="85"/>
      <c r="M78" s="85"/>
      <c r="N78" s="132"/>
      <c r="O78" s="310">
        <f t="shared" si="10"/>
        <v>36.544305000000001</v>
      </c>
    </row>
    <row r="79" spans="1:15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0</v>
      </c>
    </row>
    <row r="80" spans="1:15" x14ac:dyDescent="0.15">
      <c r="A80" s="309" t="s">
        <v>103</v>
      </c>
      <c r="B80" s="310">
        <f t="shared" ref="B80:N80" si="12">B21</f>
        <v>195.36</v>
      </c>
      <c r="C80" s="310">
        <f t="shared" si="12"/>
        <v>0.32773999999999998</v>
      </c>
      <c r="D80" s="310">
        <f t="shared" si="12"/>
        <v>0.18945999999999999</v>
      </c>
      <c r="E80" s="310">
        <f t="shared" si="12"/>
        <v>23.730166000000001</v>
      </c>
      <c r="F80" s="310">
        <f t="shared" si="12"/>
        <v>8.5637620000000005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32.811127999999997</v>
      </c>
    </row>
    <row r="81" spans="1:15" x14ac:dyDescent="0.15">
      <c r="A81" s="309" t="s">
        <v>104</v>
      </c>
      <c r="B81" s="310">
        <f t="shared" ref="B81:N81" si="13">B23</f>
        <v>318.53152</v>
      </c>
      <c r="C81" s="310">
        <f t="shared" si="13"/>
        <v>31.286677000000001</v>
      </c>
      <c r="D81" s="310">
        <f t="shared" si="13"/>
        <v>10.119532</v>
      </c>
      <c r="E81" s="310">
        <f t="shared" si="13"/>
        <v>11.026001999999901</v>
      </c>
      <c r="F81" s="310">
        <f t="shared" si="13"/>
        <v>32.401770999999997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84.833981999999907</v>
      </c>
    </row>
    <row r="82" spans="1:15" x14ac:dyDescent="0.15">
      <c r="A82" s="309" t="s">
        <v>105</v>
      </c>
      <c r="B82" s="310">
        <f t="shared" ref="B82:N82" si="14">B25</f>
        <v>1529.5740000000001</v>
      </c>
      <c r="C82" s="310">
        <f t="shared" si="14"/>
        <v>131.726125</v>
      </c>
      <c r="D82" s="310">
        <f t="shared" si="14"/>
        <v>126.680329999999</v>
      </c>
      <c r="E82" s="310">
        <f t="shared" si="14"/>
        <v>132.08979400000001</v>
      </c>
      <c r="F82" s="310">
        <f t="shared" si="14"/>
        <v>128.882926999999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519.37917599999798</v>
      </c>
    </row>
    <row r="83" spans="1:15" x14ac:dyDescent="0.15">
      <c r="A83" s="309" t="s">
        <v>106</v>
      </c>
      <c r="B83" s="310">
        <f t="shared" ref="B83:O84" si="15">B29</f>
        <v>-234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260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  <row r="87" spans="1:15" x14ac:dyDescent="0.15">
      <c r="E87" s="46"/>
    </row>
    <row r="88" spans="1:15" x14ac:dyDescent="0.15">
      <c r="E88" s="46"/>
    </row>
    <row r="89" spans="1:15" x14ac:dyDescent="0.15">
      <c r="E89" s="46"/>
    </row>
    <row r="90" spans="1:15" x14ac:dyDescent="0.15">
      <c r="E90" s="46"/>
    </row>
    <row r="91" spans="1:15" x14ac:dyDescent="0.15">
      <c r="E91" s="46"/>
      <c r="K91" s="324"/>
    </row>
    <row r="92" spans="1:15" x14ac:dyDescent="0.15">
      <c r="E92" s="46"/>
      <c r="K92" s="324"/>
    </row>
    <row r="93" spans="1:15" x14ac:dyDescent="0.15">
      <c r="E93" s="46"/>
    </row>
    <row r="94" spans="1:15" x14ac:dyDescent="0.15">
      <c r="E94" s="46"/>
    </row>
    <row r="95" spans="1:15" x14ac:dyDescent="0.15">
      <c r="E95" s="46"/>
    </row>
    <row r="96" spans="1:15" x14ac:dyDescent="0.15">
      <c r="E96" s="46"/>
    </row>
  </sheetData>
  <phoneticPr fontId="30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6"/>
  <sheetViews>
    <sheetView workbookViewId="0">
      <pane xSplit="1" ySplit="2" topLeftCell="B3" activePane="bottomRight" state="frozenSplit"/>
      <selection pane="topRight"/>
      <selection pane="bottomLeft"/>
      <selection pane="bottomRight" activeCell="F23" sqref="F23"/>
    </sheetView>
  </sheetViews>
  <sheetFormatPr defaultColWidth="9" defaultRowHeight="13.5" x14ac:dyDescent="0.15"/>
  <cols>
    <col min="1" max="1" width="22" customWidth="1"/>
    <col min="2" max="2" width="9.5" customWidth="1"/>
    <col min="3" max="15" width="8.87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3464.4084230769199</v>
      </c>
      <c r="C3" s="292">
        <v>275.881013</v>
      </c>
      <c r="D3" s="292">
        <v>287.24142699999999</v>
      </c>
      <c r="E3" s="292">
        <v>355.65563100000003</v>
      </c>
      <c r="F3" s="292">
        <v>349.186173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314">
        <f t="shared" ref="O3:O23" si="1">SUM(C3:N3)</f>
        <v>1267.964244</v>
      </c>
    </row>
    <row r="4" spans="1:15" x14ac:dyDescent="0.15">
      <c r="A4" s="291" t="s">
        <v>15</v>
      </c>
      <c r="B4" s="292">
        <f>B5+B6</f>
        <v>3464.4084230769199</v>
      </c>
      <c r="C4" s="292">
        <v>275.881013</v>
      </c>
      <c r="D4" s="292">
        <v>287.24142699999999</v>
      </c>
      <c r="E4" s="292">
        <v>355.65563100000003</v>
      </c>
      <c r="F4" s="292">
        <v>349.186173</v>
      </c>
      <c r="G4" s="292">
        <f t="shared" ref="G4:N4" si="2">G5+G6</f>
        <v>0</v>
      </c>
      <c r="H4" s="292">
        <f t="shared" si="2"/>
        <v>0</v>
      </c>
      <c r="I4" s="292">
        <f t="shared" si="2"/>
        <v>0</v>
      </c>
      <c r="J4" s="292">
        <f t="shared" si="2"/>
        <v>0</v>
      </c>
      <c r="K4" s="292">
        <f t="shared" si="2"/>
        <v>0</v>
      </c>
      <c r="L4" s="292">
        <f t="shared" si="2"/>
        <v>0</v>
      </c>
      <c r="M4" s="292">
        <f t="shared" si="2"/>
        <v>0</v>
      </c>
      <c r="N4" s="292">
        <f t="shared" si="2"/>
        <v>0</v>
      </c>
      <c r="O4" s="314">
        <f t="shared" si="1"/>
        <v>1267.964244</v>
      </c>
    </row>
    <row r="5" spans="1:15" ht="24" x14ac:dyDescent="0.15">
      <c r="A5" s="291" t="s">
        <v>17</v>
      </c>
      <c r="B5" s="292">
        <v>3464.4084230769199</v>
      </c>
      <c r="C5" s="292">
        <v>275.881013</v>
      </c>
      <c r="D5" s="292">
        <v>287.24142699999999</v>
      </c>
      <c r="E5" s="292">
        <v>355.65563100000003</v>
      </c>
      <c r="F5" s="292">
        <v>349.186173</v>
      </c>
      <c r="G5" s="292"/>
      <c r="H5" s="292"/>
      <c r="I5" s="292"/>
      <c r="J5" s="292"/>
      <c r="K5" s="292"/>
      <c r="L5" s="292"/>
      <c r="M5" s="292"/>
      <c r="N5" s="292"/>
      <c r="O5" s="314">
        <f t="shared" si="1"/>
        <v>1267.964244</v>
      </c>
    </row>
    <row r="6" spans="1:15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314">
        <f t="shared" si="1"/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314">
        <f t="shared" si="1"/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314">
        <f t="shared" si="1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314">
        <f t="shared" si="1"/>
        <v>0</v>
      </c>
    </row>
    <row r="10" spans="1:15" x14ac:dyDescent="0.15">
      <c r="A10" s="291" t="s">
        <v>22</v>
      </c>
      <c r="B10" s="292">
        <f>B11+B21+B23+B25+B29</f>
        <v>3079.6282000000006</v>
      </c>
      <c r="C10" s="292">
        <v>250.63234700000001</v>
      </c>
      <c r="D10" s="292">
        <v>230.73532599999999</v>
      </c>
      <c r="E10" s="292">
        <v>283.562714999999</v>
      </c>
      <c r="F10" s="292">
        <v>267.24314700000002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314">
        <f t="shared" si="1"/>
        <v>1032.173534999999</v>
      </c>
    </row>
    <row r="11" spans="1:15" x14ac:dyDescent="0.15">
      <c r="A11" s="291" t="s">
        <v>23</v>
      </c>
      <c r="B11" s="292">
        <f>B12+B13</f>
        <v>2125.9125200000003</v>
      </c>
      <c r="C11" s="292">
        <v>167.60098300000001</v>
      </c>
      <c r="D11" s="292">
        <v>166.542698</v>
      </c>
      <c r="E11" s="292">
        <v>166.91449</v>
      </c>
      <c r="F11" s="292">
        <v>184.070583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314">
        <f t="shared" si="1"/>
        <v>685.12875400000007</v>
      </c>
    </row>
    <row r="12" spans="1:15" ht="24" x14ac:dyDescent="0.15">
      <c r="A12" s="291" t="s">
        <v>144</v>
      </c>
      <c r="B12" s="293">
        <f>B73</f>
        <v>2125.9125200000003</v>
      </c>
      <c r="C12" s="292">
        <v>167.60098300000001</v>
      </c>
      <c r="D12" s="293">
        <v>166.542698</v>
      </c>
      <c r="E12" s="293">
        <v>166.91449</v>
      </c>
      <c r="F12" s="293">
        <v>184.070583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314">
        <f t="shared" si="1"/>
        <v>685.12875400000007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314">
        <f t="shared" si="1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314">
        <f t="shared" si="1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314">
        <f t="shared" si="1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314">
        <f t="shared" si="1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314">
        <f t="shared" si="1"/>
        <v>0</v>
      </c>
    </row>
    <row r="18" spans="1:15" ht="24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314">
        <f t="shared" si="1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314">
        <f t="shared" si="1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314">
        <f t="shared" si="1"/>
        <v>0</v>
      </c>
    </row>
    <row r="21" spans="1:15" x14ac:dyDescent="0.15">
      <c r="A21" s="291" t="s">
        <v>33</v>
      </c>
      <c r="B21" s="292">
        <v>173.44</v>
      </c>
      <c r="C21" s="292">
        <v>0.27209699999999998</v>
      </c>
      <c r="D21" s="312">
        <v>0.42799899999999902</v>
      </c>
      <c r="E21" s="292">
        <v>41.957087000000001</v>
      </c>
      <c r="F21" s="292">
        <v>0.44340999999999697</v>
      </c>
      <c r="G21" s="292"/>
      <c r="H21" s="292"/>
      <c r="I21" s="292"/>
      <c r="J21" s="292"/>
      <c r="K21" s="292"/>
      <c r="L21" s="292"/>
      <c r="M21" s="292"/>
      <c r="N21" s="292"/>
      <c r="O21" s="314">
        <f t="shared" si="1"/>
        <v>43.100593000000003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314">
        <f t="shared" si="1"/>
        <v>0</v>
      </c>
    </row>
    <row r="23" spans="1:15" x14ac:dyDescent="0.15">
      <c r="A23" s="291" t="s">
        <v>35</v>
      </c>
      <c r="B23" s="292">
        <v>219.41368</v>
      </c>
      <c r="C23" s="292">
        <v>18.392060999999899</v>
      </c>
      <c r="D23" s="292">
        <v>7.6830189999999998</v>
      </c>
      <c r="E23" s="292">
        <v>8.1303879999999999</v>
      </c>
      <c r="F23" s="292">
        <v>19.909638999999899</v>
      </c>
      <c r="G23" s="292"/>
      <c r="H23" s="292"/>
      <c r="I23" s="292"/>
      <c r="J23" s="292"/>
      <c r="K23" s="292"/>
      <c r="L23" s="292"/>
      <c r="M23" s="292"/>
      <c r="N23" s="292"/>
      <c r="O23" s="314">
        <f t="shared" si="1"/>
        <v>54.115106999999796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314">
        <f t="shared" ref="O24:O68" si="6">SUM(C24:N24)</f>
        <v>0</v>
      </c>
    </row>
    <row r="25" spans="1:15" x14ac:dyDescent="0.15">
      <c r="A25" s="291" t="s">
        <v>37</v>
      </c>
      <c r="B25" s="292">
        <v>723.86199999999997</v>
      </c>
      <c r="C25" s="292">
        <v>64.367205999999996</v>
      </c>
      <c r="D25" s="292">
        <v>56.081609999999898</v>
      </c>
      <c r="E25" s="292">
        <v>66.560749999999999</v>
      </c>
      <c r="F25" s="292">
        <v>62.819515000000003</v>
      </c>
      <c r="G25" s="292"/>
      <c r="H25" s="292"/>
      <c r="I25" s="292"/>
      <c r="J25" s="292"/>
      <c r="K25" s="292"/>
      <c r="L25" s="292"/>
      <c r="M25" s="292"/>
      <c r="N25" s="292"/>
      <c r="O25" s="314">
        <f t="shared" si="6"/>
        <v>249.82908099999989</v>
      </c>
    </row>
    <row r="26" spans="1:15" hidden="1" x14ac:dyDescent="0.15">
      <c r="A26" s="291" t="s">
        <v>38</v>
      </c>
      <c r="B26" s="292"/>
      <c r="C26" s="292">
        <v>64.420556000000005</v>
      </c>
      <c r="D26" s="292">
        <v>56.0778069999999</v>
      </c>
      <c r="E26" s="292">
        <v>66.645185999999995</v>
      </c>
      <c r="F26" s="292">
        <v>62.828975</v>
      </c>
      <c r="G26" s="292"/>
      <c r="H26" s="292"/>
      <c r="I26" s="292"/>
      <c r="J26" s="292"/>
      <c r="K26" s="292"/>
      <c r="L26" s="292"/>
      <c r="M26" s="292"/>
      <c r="N26" s="292"/>
      <c r="O26" s="314">
        <f t="shared" si="6"/>
        <v>249.97252399999991</v>
      </c>
    </row>
    <row r="27" spans="1:15" hidden="1" x14ac:dyDescent="0.15">
      <c r="A27" s="291" t="s">
        <v>39</v>
      </c>
      <c r="B27" s="292"/>
      <c r="C27" s="292">
        <v>9.6299999999999997E-2</v>
      </c>
      <c r="D27" s="292">
        <v>5.6097000000000001E-2</v>
      </c>
      <c r="E27" s="292">
        <v>0.105486</v>
      </c>
      <c r="F27" s="292">
        <v>1.51099999999999E-2</v>
      </c>
      <c r="G27" s="292"/>
      <c r="H27" s="292"/>
      <c r="I27" s="292"/>
      <c r="J27" s="292"/>
      <c r="K27" s="292"/>
      <c r="L27" s="292"/>
      <c r="M27" s="292"/>
      <c r="N27" s="292"/>
      <c r="O27" s="314">
        <f t="shared" si="6"/>
        <v>0.27299299999999987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314">
        <f t="shared" si="6"/>
        <v>0</v>
      </c>
    </row>
    <row r="29" spans="1:15" x14ac:dyDescent="0.15">
      <c r="A29" s="291" t="s">
        <v>41</v>
      </c>
      <c r="B29" s="292">
        <v>-163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314">
        <f t="shared" si="6"/>
        <v>0</v>
      </c>
    </row>
    <row r="30" spans="1:15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314">
        <f t="shared" si="6"/>
        <v>0</v>
      </c>
    </row>
    <row r="31" spans="1:15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314">
        <f t="shared" si="6"/>
        <v>0</v>
      </c>
    </row>
    <row r="32" spans="1:15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314">
        <f t="shared" si="6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314">
        <f t="shared" si="6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314">
        <f t="shared" si="6"/>
        <v>0</v>
      </c>
    </row>
    <row r="35" spans="1:15" x14ac:dyDescent="0.15">
      <c r="A35" s="291" t="s">
        <v>47</v>
      </c>
      <c r="B35" s="295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314">
        <f t="shared" si="6"/>
        <v>0</v>
      </c>
    </row>
    <row r="36" spans="1:15" x14ac:dyDescent="0.15">
      <c r="A36" s="291" t="s">
        <v>48</v>
      </c>
      <c r="B36" s="295">
        <f>B3-B10+B35</f>
        <v>384.78022307691936</v>
      </c>
      <c r="C36" s="292">
        <v>25.248666</v>
      </c>
      <c r="D36" s="295">
        <v>56.506101000000001</v>
      </c>
      <c r="E36" s="295">
        <v>72.092916000000201</v>
      </c>
      <c r="F36" s="295">
        <v>81.943025999999904</v>
      </c>
      <c r="G36" s="295">
        <f t="shared" ref="G36:N36" si="7">G3-G10+G35</f>
        <v>0</v>
      </c>
      <c r="H36" s="295">
        <f t="shared" si="7"/>
        <v>0</v>
      </c>
      <c r="I36" s="295">
        <f t="shared" si="7"/>
        <v>0</v>
      </c>
      <c r="J36" s="295">
        <f t="shared" si="7"/>
        <v>0</v>
      </c>
      <c r="K36" s="295">
        <f t="shared" si="7"/>
        <v>0</v>
      </c>
      <c r="L36" s="295">
        <f t="shared" si="7"/>
        <v>0</v>
      </c>
      <c r="M36" s="295">
        <f t="shared" si="7"/>
        <v>0</v>
      </c>
      <c r="N36" s="295">
        <f t="shared" si="7"/>
        <v>0</v>
      </c>
      <c r="O36" s="314">
        <f t="shared" si="6"/>
        <v>235.79070900000011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314">
        <f t="shared" si="6"/>
        <v>0</v>
      </c>
    </row>
    <row r="38" spans="1:15" ht="24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314">
        <f t="shared" si="6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314">
        <f t="shared" si="6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314">
        <f t="shared" si="6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314">
        <f t="shared" si="6"/>
        <v>0</v>
      </c>
    </row>
    <row r="42" spans="1:15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314">
        <f t="shared" si="6"/>
        <v>0</v>
      </c>
    </row>
    <row r="43" spans="1:15" ht="24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314">
        <f t="shared" si="6"/>
        <v>0</v>
      </c>
    </row>
    <row r="44" spans="1:15" hidden="1" x14ac:dyDescent="0.15">
      <c r="A44" s="291" t="s">
        <v>56</v>
      </c>
      <c r="B44" s="296"/>
      <c r="C44" s="292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14">
        <f t="shared" si="6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314">
        <f t="shared" si="6"/>
        <v>0</v>
      </c>
    </row>
    <row r="46" spans="1:15" x14ac:dyDescent="0.15">
      <c r="A46" s="291" t="s">
        <v>58</v>
      </c>
      <c r="B46" s="296">
        <f>B36+B37-B42</f>
        <v>384.78022307691936</v>
      </c>
      <c r="C46" s="292">
        <v>25.248666</v>
      </c>
      <c r="D46" s="296">
        <v>56.506101000000001</v>
      </c>
      <c r="E46" s="296">
        <v>72.092916000000102</v>
      </c>
      <c r="F46" s="313">
        <v>81.943025999999904</v>
      </c>
      <c r="G46" s="296">
        <f t="shared" ref="G46:N46" si="8">G36+G37-G42</f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314">
        <f t="shared" si="6"/>
        <v>235.79070899999999</v>
      </c>
    </row>
    <row r="47" spans="1:15" x14ac:dyDescent="0.15">
      <c r="A47" s="291" t="s">
        <v>59</v>
      </c>
      <c r="B47" s="297"/>
      <c r="C47" s="292"/>
      <c r="D47" s="292"/>
      <c r="E47" s="292">
        <v>23.077151999999899</v>
      </c>
      <c r="F47" s="292">
        <v>0</v>
      </c>
      <c r="G47" s="292"/>
      <c r="H47" s="292"/>
      <c r="I47" s="292"/>
      <c r="J47" s="292"/>
      <c r="K47" s="292"/>
      <c r="L47" s="292"/>
      <c r="M47" s="292"/>
      <c r="N47" s="292"/>
      <c r="O47" s="314">
        <f t="shared" si="6"/>
        <v>23.077151999999899</v>
      </c>
    </row>
    <row r="48" spans="1:15" x14ac:dyDescent="0.15">
      <c r="A48" s="291" t="s">
        <v>60</v>
      </c>
      <c r="B48" s="297"/>
      <c r="C48" s="292">
        <v>25.248666</v>
      </c>
      <c r="D48" s="292">
        <v>56.506101000000001</v>
      </c>
      <c r="E48" s="292">
        <v>49.015763999999898</v>
      </c>
      <c r="F48" s="292">
        <v>81.943025999999904</v>
      </c>
      <c r="G48" s="292"/>
      <c r="H48" s="292"/>
      <c r="I48" s="292"/>
      <c r="J48" s="292"/>
      <c r="K48" s="292"/>
      <c r="L48" s="292"/>
      <c r="M48" s="292"/>
      <c r="N48" s="292"/>
      <c r="O48" s="314">
        <f t="shared" si="6"/>
        <v>212.71355699999981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314">
        <f t="shared" si="6"/>
        <v>0</v>
      </c>
    </row>
    <row r="50" spans="1:15" ht="24" hidden="1" x14ac:dyDescent="0.15">
      <c r="A50" s="291" t="s">
        <v>62</v>
      </c>
      <c r="B50" s="298"/>
      <c r="C50" s="292">
        <v>25.248666</v>
      </c>
      <c r="D50" s="292">
        <v>56.506101000000001</v>
      </c>
      <c r="E50" s="292">
        <v>49.015764000000097</v>
      </c>
      <c r="F50" s="292">
        <v>81.943025999999904</v>
      </c>
      <c r="G50" s="292"/>
      <c r="H50" s="292"/>
      <c r="I50" s="292"/>
      <c r="J50" s="292"/>
      <c r="K50" s="292"/>
      <c r="L50" s="292"/>
      <c r="M50" s="292"/>
      <c r="N50" s="292"/>
      <c r="O50" s="314">
        <f t="shared" si="6"/>
        <v>212.71355699999998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314">
        <f t="shared" si="6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6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6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6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6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6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6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6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6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6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6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6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125.451877</v>
      </c>
      <c r="H63" s="292">
        <v>54.7202359999999</v>
      </c>
      <c r="I63" s="292">
        <v>55.166634999999999</v>
      </c>
      <c r="J63" s="292">
        <v>53.700610000000999</v>
      </c>
      <c r="K63" s="292">
        <v>-17.517220000001</v>
      </c>
      <c r="L63" s="292">
        <v>9.8713450000000194</v>
      </c>
      <c r="M63" s="292">
        <v>72.245057000000003</v>
      </c>
      <c r="N63" s="292">
        <v>-215.317429</v>
      </c>
      <c r="O63" s="292">
        <f t="shared" si="6"/>
        <v>138.32111099999992</v>
      </c>
    </row>
    <row r="64" spans="1:15" ht="24" hidden="1" x14ac:dyDescent="0.15">
      <c r="A64" s="291" t="s">
        <v>76</v>
      </c>
      <c r="B64" s="298"/>
      <c r="C64" s="292"/>
      <c r="D64" s="292"/>
      <c r="E64" s="292"/>
      <c r="F64" s="292"/>
      <c r="G64" s="292">
        <v>125.451877</v>
      </c>
      <c r="H64" s="292">
        <v>54.7202359999999</v>
      </c>
      <c r="I64" s="292">
        <v>55.166634999999999</v>
      </c>
      <c r="J64" s="292">
        <v>53.700609999999998</v>
      </c>
      <c r="K64" s="292">
        <v>-17.517219999999998</v>
      </c>
      <c r="L64" s="292">
        <v>9.8713450000000194</v>
      </c>
      <c r="M64" s="292">
        <v>72.245057000000003</v>
      </c>
      <c r="N64" s="292">
        <v>-215.317429</v>
      </c>
      <c r="O64" s="292">
        <f t="shared" si="6"/>
        <v>138.32111099999992</v>
      </c>
    </row>
    <row r="65" spans="1:15" hidden="1" x14ac:dyDescent="0.15">
      <c r="A65" s="291" t="s">
        <v>77</v>
      </c>
      <c r="B65" s="298"/>
      <c r="C65" s="292">
        <v>25.248666</v>
      </c>
      <c r="D65" s="292"/>
      <c r="E65" s="292">
        <v>49.015763999999898</v>
      </c>
      <c r="F65" s="292">
        <v>81.943025999999904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6"/>
        <v>156.20745599999981</v>
      </c>
    </row>
    <row r="66" spans="1:15" ht="24" hidden="1" x14ac:dyDescent="0.15">
      <c r="A66" s="291" t="s">
        <v>78</v>
      </c>
      <c r="B66" s="298"/>
      <c r="C66" s="292">
        <v>25.248666</v>
      </c>
      <c r="D66" s="292">
        <v>56.506101000000001</v>
      </c>
      <c r="E66" s="292">
        <v>49.015764000000097</v>
      </c>
      <c r="F66" s="292">
        <v>81.943025999999904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6"/>
        <v>212.71355699999998</v>
      </c>
    </row>
    <row r="67" spans="1:15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6"/>
        <v>0</v>
      </c>
    </row>
    <row r="68" spans="1:15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6"/>
        <v>0</v>
      </c>
    </row>
    <row r="69" spans="1:15" hidden="1" x14ac:dyDescent="0.15">
      <c r="A69" s="291" t="s">
        <v>81</v>
      </c>
      <c r="B69" s="299"/>
    </row>
    <row r="70" spans="1:15" hidden="1" x14ac:dyDescent="0.15">
      <c r="A70" s="291" t="s">
        <v>82</v>
      </c>
      <c r="B70" s="299"/>
    </row>
    <row r="71" spans="1:15" x14ac:dyDescent="0.15">
      <c r="B71" s="299"/>
    </row>
    <row r="72" spans="1:15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5" x14ac:dyDescent="0.15">
      <c r="A73" s="303" t="s">
        <v>146</v>
      </c>
      <c r="B73" s="304">
        <f t="shared" ref="B73:O73" si="9">SUM(B74:B78)</f>
        <v>2125.9125200000003</v>
      </c>
      <c r="C73" s="304">
        <f t="shared" si="9"/>
        <v>167.60098300000001</v>
      </c>
      <c r="D73" s="304">
        <f t="shared" si="9"/>
        <v>166.542698</v>
      </c>
      <c r="E73" s="304">
        <f t="shared" si="9"/>
        <v>166.91449</v>
      </c>
      <c r="F73" s="315">
        <f t="shared" si="9"/>
        <v>184.070583</v>
      </c>
      <c r="G73" s="304">
        <f t="shared" si="9"/>
        <v>0</v>
      </c>
      <c r="H73" s="316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685.12875400000007</v>
      </c>
    </row>
    <row r="74" spans="1:15" x14ac:dyDescent="0.15">
      <c r="A74" s="305" t="s">
        <v>97</v>
      </c>
      <c r="B74" s="317">
        <v>38.28</v>
      </c>
      <c r="C74" s="85">
        <v>4.3319099999999997</v>
      </c>
      <c r="D74" s="85">
        <v>6.4315769999999999</v>
      </c>
      <c r="E74" s="85">
        <v>3.6385369999999999</v>
      </c>
      <c r="F74" s="318">
        <v>2.64419</v>
      </c>
      <c r="G74" s="85"/>
      <c r="H74" s="85"/>
      <c r="I74" s="85"/>
      <c r="J74" s="85"/>
      <c r="K74" s="85"/>
      <c r="L74" s="85"/>
      <c r="M74" s="85"/>
      <c r="N74" s="132"/>
      <c r="O74" s="310">
        <f>SUM(C74:N74)</f>
        <v>17.046213999999999</v>
      </c>
    </row>
    <row r="75" spans="1:15" x14ac:dyDescent="0.15">
      <c r="A75" s="305" t="s">
        <v>98</v>
      </c>
      <c r="B75" s="317">
        <v>107.38</v>
      </c>
      <c r="C75" s="85">
        <v>0.998085</v>
      </c>
      <c r="D75" s="85">
        <v>9.4959059999999997</v>
      </c>
      <c r="E75" s="85">
        <v>0.40788099999999999</v>
      </c>
      <c r="F75" s="318">
        <v>9.2994769999999995</v>
      </c>
      <c r="G75" s="85"/>
      <c r="H75" s="85"/>
      <c r="I75" s="85"/>
      <c r="J75" s="85"/>
      <c r="K75" s="85"/>
      <c r="L75" s="320"/>
      <c r="M75" s="85"/>
      <c r="N75" s="132"/>
      <c r="O75" s="310">
        <f t="shared" ref="O75:O82" si="10">SUM(C75:N75)</f>
        <v>20.201349</v>
      </c>
    </row>
    <row r="76" spans="1:15" x14ac:dyDescent="0.15">
      <c r="A76" s="305" t="s">
        <v>99</v>
      </c>
      <c r="B76" s="317">
        <v>1608.5640000000001</v>
      </c>
      <c r="C76" s="85">
        <v>134.413704</v>
      </c>
      <c r="D76" s="85">
        <v>135.35689400000001</v>
      </c>
      <c r="E76" s="85">
        <v>135.34745699999999</v>
      </c>
      <c r="F76" s="318">
        <v>135.34753900000001</v>
      </c>
      <c r="G76" s="85"/>
      <c r="H76" s="85"/>
      <c r="I76" s="85"/>
      <c r="J76" s="85"/>
      <c r="K76" s="85"/>
      <c r="L76" s="85"/>
      <c r="M76" s="85"/>
      <c r="N76" s="132"/>
      <c r="O76" s="310">
        <f t="shared" si="10"/>
        <v>540.46559400000001</v>
      </c>
    </row>
    <row r="77" spans="1:15" x14ac:dyDescent="0.15">
      <c r="A77" s="305" t="s">
        <v>100</v>
      </c>
      <c r="B77" s="317">
        <v>265.56851999999998</v>
      </c>
      <c r="C77" s="85">
        <v>29.027284000000002</v>
      </c>
      <c r="D77" s="85">
        <v>13.374946</v>
      </c>
      <c r="E77" s="85">
        <v>12.164116</v>
      </c>
      <c r="F77" s="318">
        <v>30.607272999999999</v>
      </c>
      <c r="G77" s="85"/>
      <c r="H77" s="85"/>
      <c r="I77" s="85"/>
      <c r="J77" s="85"/>
      <c r="K77" s="85"/>
      <c r="L77" s="85"/>
      <c r="M77" s="85"/>
      <c r="N77" s="132"/>
      <c r="O77" s="310">
        <f t="shared" si="10"/>
        <v>85.173619000000002</v>
      </c>
    </row>
    <row r="78" spans="1:15" x14ac:dyDescent="0.15">
      <c r="A78" s="307" t="s">
        <v>101</v>
      </c>
      <c r="B78" s="319">
        <v>106.12</v>
      </c>
      <c r="C78" s="85">
        <v>-1.17</v>
      </c>
      <c r="D78" s="85">
        <v>1.883375</v>
      </c>
      <c r="E78" s="85">
        <v>15.356498999999999</v>
      </c>
      <c r="F78" s="318">
        <v>6.172104</v>
      </c>
      <c r="G78" s="85"/>
      <c r="H78" s="85"/>
      <c r="I78" s="85"/>
      <c r="J78" s="85"/>
      <c r="K78" s="85"/>
      <c r="L78" s="85"/>
      <c r="M78" s="85"/>
      <c r="N78" s="132"/>
      <c r="O78" s="310">
        <f t="shared" si="10"/>
        <v>22.241978</v>
      </c>
    </row>
    <row r="79" spans="1:15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21">
        <f t="shared" si="11"/>
        <v>0</v>
      </c>
      <c r="N79" s="310">
        <f t="shared" si="11"/>
        <v>0</v>
      </c>
      <c r="O79" s="310">
        <f t="shared" si="10"/>
        <v>0</v>
      </c>
    </row>
    <row r="80" spans="1:15" x14ac:dyDescent="0.15">
      <c r="A80" s="309" t="s">
        <v>103</v>
      </c>
      <c r="B80" s="310">
        <f t="shared" ref="B80:N80" si="12">B21</f>
        <v>173.44</v>
      </c>
      <c r="C80" s="310">
        <f t="shared" si="12"/>
        <v>0.27209699999999998</v>
      </c>
      <c r="D80" s="310">
        <f t="shared" si="12"/>
        <v>0.42799899999999902</v>
      </c>
      <c r="E80" s="310">
        <f t="shared" si="12"/>
        <v>41.957087000000001</v>
      </c>
      <c r="F80" s="310">
        <f t="shared" si="12"/>
        <v>0.44340999999999697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21">
        <f t="shared" si="12"/>
        <v>0</v>
      </c>
      <c r="N80" s="310">
        <f t="shared" si="12"/>
        <v>0</v>
      </c>
      <c r="O80" s="310">
        <f t="shared" si="10"/>
        <v>43.100593000000003</v>
      </c>
    </row>
    <row r="81" spans="1:15" x14ac:dyDescent="0.15">
      <c r="A81" s="309" t="s">
        <v>104</v>
      </c>
      <c r="B81" s="310">
        <f t="shared" ref="B81:N81" si="13">B23</f>
        <v>219.41368</v>
      </c>
      <c r="C81" s="310">
        <f t="shared" si="13"/>
        <v>18.392060999999899</v>
      </c>
      <c r="D81" s="310">
        <f t="shared" si="13"/>
        <v>7.6830189999999998</v>
      </c>
      <c r="E81" s="310">
        <f t="shared" si="13"/>
        <v>8.1303879999999999</v>
      </c>
      <c r="F81" s="310">
        <f t="shared" si="13"/>
        <v>19.909638999999899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21">
        <f t="shared" si="13"/>
        <v>0</v>
      </c>
      <c r="N81" s="310">
        <f t="shared" si="13"/>
        <v>0</v>
      </c>
      <c r="O81" s="310">
        <f t="shared" si="10"/>
        <v>54.115106999999796</v>
      </c>
    </row>
    <row r="82" spans="1:15" x14ac:dyDescent="0.15">
      <c r="A82" s="309" t="s">
        <v>105</v>
      </c>
      <c r="B82" s="310">
        <f t="shared" ref="B82:N82" si="14">B25</f>
        <v>723.86199999999997</v>
      </c>
      <c r="C82" s="310">
        <f t="shared" si="14"/>
        <v>64.367205999999996</v>
      </c>
      <c r="D82" s="310">
        <f t="shared" si="14"/>
        <v>56.081609999999898</v>
      </c>
      <c r="E82" s="310">
        <f t="shared" si="14"/>
        <v>66.560749999999999</v>
      </c>
      <c r="F82" s="310">
        <f t="shared" si="14"/>
        <v>62.819515000000003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21">
        <f t="shared" si="14"/>
        <v>0</v>
      </c>
      <c r="N82" s="310">
        <f t="shared" si="14"/>
        <v>0</v>
      </c>
      <c r="O82" s="310">
        <f t="shared" si="10"/>
        <v>249.82908099999989</v>
      </c>
    </row>
    <row r="83" spans="1:15" x14ac:dyDescent="0.15">
      <c r="A83" s="309" t="s">
        <v>106</v>
      </c>
      <c r="B83" s="310">
        <f t="shared" ref="B83:O84" si="15">B29</f>
        <v>-163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86"/>
  <sheetViews>
    <sheetView workbookViewId="0">
      <selection activeCell="H42" sqref="H42"/>
    </sheetView>
  </sheetViews>
  <sheetFormatPr defaultColWidth="9" defaultRowHeight="13.5" x14ac:dyDescent="0.15"/>
  <cols>
    <col min="1" max="1" width="23.25" customWidth="1"/>
    <col min="2" max="2" width="11.75" customWidth="1"/>
    <col min="3" max="15" width="8.875" customWidth="1"/>
  </cols>
  <sheetData>
    <row r="1" spans="1:17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7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7" x14ac:dyDescent="0.15">
      <c r="A3" s="291" t="s">
        <v>14</v>
      </c>
      <c r="B3" s="292">
        <f>B4</f>
        <v>12729.2004214153</v>
      </c>
      <c r="C3" s="292">
        <v>1521.8600160000001</v>
      </c>
      <c r="D3" s="292">
        <v>937.77311799999995</v>
      </c>
      <c r="E3" s="292">
        <v>1287.363701</v>
      </c>
      <c r="F3" s="292">
        <v>1035.78469899999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 t="shared" ref="O3:O23" si="1">SUM(C3:N3)</f>
        <v>4782.7815339999897</v>
      </c>
    </row>
    <row r="4" spans="1:17" x14ac:dyDescent="0.15">
      <c r="A4" s="291" t="s">
        <v>15</v>
      </c>
      <c r="B4" s="292">
        <f>B5+B6</f>
        <v>12729.2004214153</v>
      </c>
      <c r="C4" s="292">
        <v>1521.8600160000001</v>
      </c>
      <c r="D4" s="292">
        <v>937.77311799999995</v>
      </c>
      <c r="E4" s="292">
        <v>1287.363701</v>
      </c>
      <c r="F4" s="292">
        <v>1035.78469899999</v>
      </c>
      <c r="G4" s="292">
        <f t="shared" ref="G4:N4" si="2">G5+G6</f>
        <v>0</v>
      </c>
      <c r="H4" s="292">
        <f t="shared" si="2"/>
        <v>0</v>
      </c>
      <c r="I4" s="292">
        <f t="shared" si="2"/>
        <v>0</v>
      </c>
      <c r="J4" s="292">
        <f t="shared" si="2"/>
        <v>0</v>
      </c>
      <c r="K4" s="292">
        <f t="shared" si="2"/>
        <v>0</v>
      </c>
      <c r="L4" s="292">
        <f t="shared" si="2"/>
        <v>0</v>
      </c>
      <c r="M4" s="292">
        <f t="shared" si="2"/>
        <v>0</v>
      </c>
      <c r="N4" s="292">
        <f t="shared" si="2"/>
        <v>0</v>
      </c>
      <c r="O4" s="292">
        <f t="shared" si="1"/>
        <v>4782.7815339999897</v>
      </c>
    </row>
    <row r="5" spans="1:17" ht="24" x14ac:dyDescent="0.15">
      <c r="A5" s="291" t="s">
        <v>17</v>
      </c>
      <c r="B5" s="292">
        <v>12725.3908214153</v>
      </c>
      <c r="C5" s="292">
        <v>1521.8600160000001</v>
      </c>
      <c r="D5" s="292">
        <v>937.77311799999995</v>
      </c>
      <c r="E5" s="292">
        <v>1286.2033409999999</v>
      </c>
      <c r="F5" s="292">
        <v>1035.78469899999</v>
      </c>
      <c r="G5" s="292"/>
      <c r="H5" s="292"/>
      <c r="I5" s="292"/>
      <c r="J5" s="292"/>
      <c r="K5" s="292"/>
      <c r="L5" s="292"/>
      <c r="M5" s="292"/>
      <c r="N5" s="292"/>
      <c r="O5" s="292">
        <f t="shared" si="1"/>
        <v>4781.6211739999899</v>
      </c>
    </row>
    <row r="6" spans="1:17" x14ac:dyDescent="0.15">
      <c r="A6" s="291" t="s">
        <v>18</v>
      </c>
      <c r="B6" s="292">
        <v>3.8096000000000001</v>
      </c>
      <c r="C6" s="292"/>
      <c r="D6" s="292"/>
      <c r="E6" s="292">
        <v>1.1603600000000001</v>
      </c>
      <c r="F6" s="292">
        <v>0</v>
      </c>
      <c r="G6" s="292"/>
      <c r="H6" s="292"/>
      <c r="I6" s="292"/>
      <c r="J6" s="292"/>
      <c r="K6" s="292"/>
      <c r="L6" s="292"/>
      <c r="M6" s="292"/>
      <c r="N6" s="292"/>
      <c r="O6" s="292">
        <f t="shared" si="1"/>
        <v>1.1603600000000001</v>
      </c>
    </row>
    <row r="7" spans="1:17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si="1"/>
        <v>0</v>
      </c>
    </row>
    <row r="8" spans="1:17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1"/>
        <v>0</v>
      </c>
    </row>
    <row r="9" spans="1:17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1"/>
        <v>0</v>
      </c>
    </row>
    <row r="10" spans="1:17" x14ac:dyDescent="0.15">
      <c r="A10" s="291" t="s">
        <v>22</v>
      </c>
      <c r="B10" s="292">
        <f>B11+B21+B23+B25+B29</f>
        <v>7495.589620400001</v>
      </c>
      <c r="C10" s="292">
        <v>508.07741600000003</v>
      </c>
      <c r="D10" s="292">
        <v>508.070573999999</v>
      </c>
      <c r="E10" s="292">
        <v>580.13968399999999</v>
      </c>
      <c r="F10" s="292">
        <v>557.29264299999898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1"/>
        <v>2153.5803169999981</v>
      </c>
      <c r="Q10" s="311"/>
    </row>
    <row r="11" spans="1:17" x14ac:dyDescent="0.15">
      <c r="A11" s="291" t="s">
        <v>23</v>
      </c>
      <c r="B11" s="292">
        <f>B12+B13</f>
        <v>4039.2556055599998</v>
      </c>
      <c r="C11" s="292">
        <v>269.530431999999</v>
      </c>
      <c r="D11" s="292">
        <v>270.24750299999999</v>
      </c>
      <c r="E11" s="292">
        <v>265.50554199999999</v>
      </c>
      <c r="F11" s="292">
        <v>289.777197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292">
        <f t="shared" si="1"/>
        <v>1095.0606739999989</v>
      </c>
    </row>
    <row r="12" spans="1:17" ht="24" x14ac:dyDescent="0.15">
      <c r="A12" s="291" t="s">
        <v>144</v>
      </c>
      <c r="B12" s="293">
        <v>4005.2556055599998</v>
      </c>
      <c r="C12" s="292">
        <v>266.595732</v>
      </c>
      <c r="D12" s="293">
        <v>267.31280299999997</v>
      </c>
      <c r="E12" s="293">
        <v>262.570841999999</v>
      </c>
      <c r="F12" s="293">
        <v>286.84249699999901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2">
        <f t="shared" si="1"/>
        <v>1083.3218739999979</v>
      </c>
    </row>
    <row r="13" spans="1:17" x14ac:dyDescent="0.15">
      <c r="A13" s="291" t="s">
        <v>25</v>
      </c>
      <c r="B13" s="292">
        <v>34</v>
      </c>
      <c r="C13" s="292">
        <v>2.9346999999999999</v>
      </c>
      <c r="D13" s="292">
        <v>2.9346999999999999</v>
      </c>
      <c r="E13" s="292">
        <v>2.9346999999999999</v>
      </c>
      <c r="F13" s="292">
        <v>2.9346999999999999</v>
      </c>
      <c r="G13" s="292"/>
      <c r="H13" s="292"/>
      <c r="I13" s="292"/>
      <c r="J13" s="292"/>
      <c r="K13" s="292"/>
      <c r="L13" s="292"/>
      <c r="M13" s="292"/>
      <c r="N13" s="292"/>
      <c r="O13" s="292">
        <f t="shared" si="1"/>
        <v>11.738799999999999</v>
      </c>
    </row>
    <row r="14" spans="1:17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1"/>
        <v>0</v>
      </c>
    </row>
    <row r="15" spans="1:17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1"/>
        <v>0</v>
      </c>
    </row>
    <row r="16" spans="1:17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1"/>
        <v>0</v>
      </c>
    </row>
    <row r="17" spans="1:17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1"/>
        <v>0</v>
      </c>
    </row>
    <row r="18" spans="1:17" ht="24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1"/>
        <v>0</v>
      </c>
    </row>
    <row r="19" spans="1:17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1"/>
        <v>0</v>
      </c>
    </row>
    <row r="20" spans="1:17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1"/>
        <v>0</v>
      </c>
    </row>
    <row r="21" spans="1:17" x14ac:dyDescent="0.15">
      <c r="A21" s="291" t="s">
        <v>33</v>
      </c>
      <c r="B21" s="292">
        <v>33.35</v>
      </c>
      <c r="C21" s="292">
        <v>7.7996999999999997E-2</v>
      </c>
      <c r="D21" s="292">
        <v>0</v>
      </c>
      <c r="E21" s="292">
        <v>1.6147879999999999</v>
      </c>
      <c r="F21" s="292">
        <v>0.268202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1"/>
        <v>1.960987</v>
      </c>
    </row>
    <row r="22" spans="1:17" x14ac:dyDescent="0.15">
      <c r="A22" s="291" t="s">
        <v>34</v>
      </c>
      <c r="B22" s="292"/>
      <c r="C22" s="292"/>
      <c r="D22" s="292"/>
      <c r="E22" s="292">
        <v>3.5625279999999999</v>
      </c>
      <c r="F22" s="292">
        <v>0</v>
      </c>
      <c r="G22" s="292"/>
      <c r="H22" s="292"/>
      <c r="I22" s="292"/>
      <c r="J22" s="292"/>
      <c r="K22" s="292"/>
      <c r="L22" s="292"/>
      <c r="M22" s="292"/>
      <c r="N22" s="292"/>
      <c r="O22" s="292">
        <f t="shared" si="1"/>
        <v>3.5625279999999999</v>
      </c>
    </row>
    <row r="23" spans="1:17" x14ac:dyDescent="0.15">
      <c r="A23" s="291" t="s">
        <v>35</v>
      </c>
      <c r="B23" s="292">
        <v>1496.64401484</v>
      </c>
      <c r="C23" s="292">
        <v>51.782670000000003</v>
      </c>
      <c r="D23" s="292">
        <v>58.286394999999999</v>
      </c>
      <c r="E23" s="292">
        <v>113.510221</v>
      </c>
      <c r="F23" s="292">
        <v>74.856064999999901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1"/>
        <v>298.43535099999991</v>
      </c>
      <c r="Q23" s="46"/>
    </row>
    <row r="24" spans="1:17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ref="O24:O68" si="6">SUM(C24:N24)</f>
        <v>0</v>
      </c>
    </row>
    <row r="25" spans="1:17" x14ac:dyDescent="0.15">
      <c r="A25" s="291" t="s">
        <v>37</v>
      </c>
      <c r="B25" s="292">
        <v>2187.75</v>
      </c>
      <c r="C25" s="292">
        <v>186.686317</v>
      </c>
      <c r="D25" s="292">
        <v>179.536676</v>
      </c>
      <c r="E25" s="292">
        <v>195.94660500000001</v>
      </c>
      <c r="F25" s="292">
        <v>192.391178999999</v>
      </c>
      <c r="G25" s="292"/>
      <c r="H25" s="292"/>
      <c r="I25" s="292"/>
      <c r="J25" s="292"/>
      <c r="K25" s="292"/>
      <c r="L25" s="292"/>
      <c r="M25" s="292"/>
      <c r="N25" s="292"/>
      <c r="O25" s="292">
        <f t="shared" si="6"/>
        <v>754.56077699999901</v>
      </c>
    </row>
    <row r="26" spans="1:17" hidden="1" x14ac:dyDescent="0.15">
      <c r="A26" s="291" t="s">
        <v>38</v>
      </c>
      <c r="B26" s="292"/>
      <c r="C26" s="292">
        <v>187.26861</v>
      </c>
      <c r="D26" s="292">
        <v>180.72675799999999</v>
      </c>
      <c r="E26" s="292">
        <v>197.73886599999901</v>
      </c>
      <c r="F26" s="292">
        <v>193.31079500000001</v>
      </c>
      <c r="G26" s="292"/>
      <c r="H26" s="292"/>
      <c r="I26" s="292"/>
      <c r="J26" s="292"/>
      <c r="K26" s="292"/>
      <c r="L26" s="292"/>
      <c r="M26" s="292"/>
      <c r="N26" s="292"/>
      <c r="O26" s="292">
        <f t="shared" si="6"/>
        <v>759.04502899999898</v>
      </c>
    </row>
    <row r="27" spans="1:17" hidden="1" x14ac:dyDescent="0.15">
      <c r="A27" s="291" t="s">
        <v>39</v>
      </c>
      <c r="B27" s="292"/>
      <c r="C27" s="292">
        <v>0.61018399999999995</v>
      </c>
      <c r="D27" s="292">
        <v>1.1900819999999901</v>
      </c>
      <c r="E27" s="292">
        <v>1.8789</v>
      </c>
      <c r="F27" s="292">
        <v>0.94565199999999905</v>
      </c>
      <c r="G27" s="292"/>
      <c r="H27" s="292"/>
      <c r="I27" s="292"/>
      <c r="J27" s="292"/>
      <c r="K27" s="292"/>
      <c r="L27" s="292"/>
      <c r="M27" s="292"/>
      <c r="N27" s="292"/>
      <c r="O27" s="292">
        <f t="shared" si="6"/>
        <v>4.6248179999999888</v>
      </c>
    </row>
    <row r="28" spans="1:17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6"/>
        <v>0</v>
      </c>
    </row>
    <row r="29" spans="1:17" x14ac:dyDescent="0.15">
      <c r="A29" s="291" t="s">
        <v>41</v>
      </c>
      <c r="B29" s="292">
        <v>-261.409999999999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6"/>
        <v>0</v>
      </c>
    </row>
    <row r="30" spans="1:17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6"/>
        <v>0</v>
      </c>
    </row>
    <row r="31" spans="1:17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6"/>
        <v>0</v>
      </c>
    </row>
    <row r="32" spans="1:17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6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6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6"/>
        <v>0</v>
      </c>
    </row>
    <row r="35" spans="1:15" x14ac:dyDescent="0.15">
      <c r="A35" s="291" t="s">
        <v>47</v>
      </c>
      <c r="B35" s="295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6"/>
        <v>0</v>
      </c>
    </row>
    <row r="36" spans="1:15" x14ac:dyDescent="0.15">
      <c r="A36" s="291" t="s">
        <v>48</v>
      </c>
      <c r="B36" s="295">
        <f>B3-B10+B35</f>
        <v>5233.6108010152993</v>
      </c>
      <c r="C36" s="292">
        <v>1013.7826</v>
      </c>
      <c r="D36" s="295">
        <v>429.70254399999999</v>
      </c>
      <c r="E36" s="295">
        <v>707.22401699999898</v>
      </c>
      <c r="F36" s="295">
        <v>478.49205599999902</v>
      </c>
      <c r="G36" s="295">
        <f t="shared" ref="G36:N36" si="7">G3-G10+G35</f>
        <v>0</v>
      </c>
      <c r="H36" s="295">
        <f t="shared" si="7"/>
        <v>0</v>
      </c>
      <c r="I36" s="295">
        <f t="shared" si="7"/>
        <v>0</v>
      </c>
      <c r="J36" s="295">
        <f t="shared" si="7"/>
        <v>0</v>
      </c>
      <c r="K36" s="295">
        <f t="shared" si="7"/>
        <v>0</v>
      </c>
      <c r="L36" s="295">
        <f t="shared" si="7"/>
        <v>0</v>
      </c>
      <c r="M36" s="295">
        <f t="shared" si="7"/>
        <v>0</v>
      </c>
      <c r="N36" s="295">
        <f t="shared" si="7"/>
        <v>0</v>
      </c>
      <c r="O36" s="292">
        <f t="shared" si="6"/>
        <v>2629.201216999998</v>
      </c>
    </row>
    <row r="37" spans="1:15" x14ac:dyDescent="0.15">
      <c r="A37" s="291" t="s">
        <v>49</v>
      </c>
      <c r="B37" s="292">
        <v>3.8</v>
      </c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6"/>
        <v>0</v>
      </c>
    </row>
    <row r="38" spans="1:15" ht="24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6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6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6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6"/>
        <v>0</v>
      </c>
    </row>
    <row r="42" spans="1:15" x14ac:dyDescent="0.15">
      <c r="A42" s="291" t="s">
        <v>54</v>
      </c>
      <c r="B42" s="292">
        <v>44</v>
      </c>
      <c r="C42" s="292"/>
      <c r="D42" s="292"/>
      <c r="E42" s="292"/>
      <c r="F42" s="292">
        <v>10</v>
      </c>
      <c r="G42" s="292"/>
      <c r="H42" s="292"/>
      <c r="I42" s="292"/>
      <c r="J42" s="292"/>
      <c r="K42" s="292"/>
      <c r="L42" s="292"/>
      <c r="M42" s="292"/>
      <c r="N42" s="292"/>
      <c r="O42" s="292">
        <f t="shared" si="6"/>
        <v>10</v>
      </c>
    </row>
    <row r="43" spans="1:15" ht="24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6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2">
        <f t="shared" si="6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si="6"/>
        <v>0</v>
      </c>
    </row>
    <row r="46" spans="1:15" x14ac:dyDescent="0.15">
      <c r="A46" s="291" t="s">
        <v>58</v>
      </c>
      <c r="B46" s="296">
        <f>B36+B37-B42</f>
        <v>5193.4108010152995</v>
      </c>
      <c r="C46" s="292">
        <v>1013.7826</v>
      </c>
      <c r="D46" s="296">
        <v>429.70254399999999</v>
      </c>
      <c r="E46" s="296">
        <v>707.22401699999898</v>
      </c>
      <c r="F46" s="296">
        <v>468.49205599999999</v>
      </c>
      <c r="G46" s="296">
        <f t="shared" ref="G46:N46" si="8">G36+G37-G42</f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6"/>
        <v>2619.2012169999989</v>
      </c>
    </row>
    <row r="47" spans="1:15" x14ac:dyDescent="0.15">
      <c r="A47" s="291" t="s">
        <v>59</v>
      </c>
      <c r="B47" s="297"/>
      <c r="C47" s="292"/>
      <c r="D47" s="292"/>
      <c r="E47" s="292">
        <v>111.25053999999901</v>
      </c>
      <c r="F47" s="292">
        <v>0</v>
      </c>
      <c r="G47" s="292"/>
      <c r="H47" s="292"/>
      <c r="I47" s="292"/>
      <c r="J47" s="292"/>
      <c r="K47" s="292"/>
      <c r="L47" s="292"/>
      <c r="M47" s="292"/>
      <c r="N47" s="292"/>
      <c r="O47" s="292">
        <f t="shared" si="6"/>
        <v>111.25053999999901</v>
      </c>
    </row>
    <row r="48" spans="1:15" x14ac:dyDescent="0.15">
      <c r="A48" s="291" t="s">
        <v>60</v>
      </c>
      <c r="B48" s="297"/>
      <c r="C48" s="292">
        <v>1013.7826</v>
      </c>
      <c r="D48" s="292">
        <v>429.70254399999999</v>
      </c>
      <c r="E48" s="292">
        <v>595.973477</v>
      </c>
      <c r="F48" s="292">
        <v>468.49205599999999</v>
      </c>
      <c r="G48" s="292"/>
      <c r="H48" s="292"/>
      <c r="I48" s="292"/>
      <c r="J48" s="292"/>
      <c r="K48" s="292"/>
      <c r="L48" s="292"/>
      <c r="M48" s="292"/>
      <c r="N48" s="292"/>
      <c r="O48" s="292">
        <f t="shared" si="6"/>
        <v>2507.9506769999998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6"/>
        <v>0</v>
      </c>
    </row>
    <row r="50" spans="1:15" ht="24" hidden="1" x14ac:dyDescent="0.15">
      <c r="A50" s="291" t="s">
        <v>62</v>
      </c>
      <c r="B50" s="298"/>
      <c r="C50" s="292">
        <v>1013.7826</v>
      </c>
      <c r="D50" s="292">
        <v>429.70254399999999</v>
      </c>
      <c r="E50" s="292">
        <v>595.973477</v>
      </c>
      <c r="F50" s="292">
        <v>468.49205599999999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6"/>
        <v>2507.9506769999998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6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6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6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6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6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6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6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6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6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6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6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6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136.40994699999999</v>
      </c>
      <c r="H63" s="292">
        <v>-335.48060900000002</v>
      </c>
      <c r="I63" s="292">
        <v>-106.922391</v>
      </c>
      <c r="J63" s="292">
        <v>-106.690799999999</v>
      </c>
      <c r="K63" s="292">
        <v>-76.460530000000006</v>
      </c>
      <c r="L63" s="292">
        <v>-85.083948999999805</v>
      </c>
      <c r="M63" s="292">
        <v>668.558529999999</v>
      </c>
      <c r="N63" s="292">
        <v>180.509928</v>
      </c>
      <c r="O63" s="292">
        <f t="shared" si="6"/>
        <v>274.84012600000011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/>
      <c r="G64" s="292">
        <v>136.40994699999999</v>
      </c>
      <c r="H64" s="292">
        <v>-335.48060900000002</v>
      </c>
      <c r="I64" s="292">
        <v>-106.922391</v>
      </c>
      <c r="J64" s="292">
        <v>-106.690799999999</v>
      </c>
      <c r="K64" s="292">
        <v>-76.460530000000006</v>
      </c>
      <c r="L64" s="292">
        <v>-85.083948999999805</v>
      </c>
      <c r="M64" s="292">
        <v>668.558529999999</v>
      </c>
      <c r="N64" s="292">
        <v>180.509928</v>
      </c>
      <c r="O64" s="292">
        <f t="shared" si="6"/>
        <v>274.84012600000011</v>
      </c>
    </row>
    <row r="65" spans="1:17" hidden="1" x14ac:dyDescent="0.15">
      <c r="A65" s="291" t="s">
        <v>77</v>
      </c>
      <c r="B65" s="298"/>
      <c r="C65" s="292">
        <v>1013.7826</v>
      </c>
      <c r="D65" s="292"/>
      <c r="E65" s="292">
        <v>595.973477</v>
      </c>
      <c r="F65" s="292">
        <v>468.49205599999999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6"/>
        <v>2078.2481330000001</v>
      </c>
    </row>
    <row r="66" spans="1:17" ht="24" hidden="1" x14ac:dyDescent="0.15">
      <c r="A66" s="291" t="s">
        <v>78</v>
      </c>
      <c r="B66" s="298"/>
      <c r="C66" s="292">
        <v>1013.7826</v>
      </c>
      <c r="D66" s="292">
        <v>429.70254399999999</v>
      </c>
      <c r="E66" s="292">
        <v>595.973477</v>
      </c>
      <c r="F66" s="292">
        <v>468.49205599999999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6"/>
        <v>2507.9506769999998</v>
      </c>
    </row>
    <row r="67" spans="1:17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6"/>
        <v>0</v>
      </c>
    </row>
    <row r="68" spans="1:17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6"/>
        <v>0</v>
      </c>
    </row>
    <row r="69" spans="1:17" hidden="1" x14ac:dyDescent="0.15">
      <c r="A69" s="291" t="s">
        <v>81</v>
      </c>
      <c r="B69" s="299"/>
    </row>
    <row r="70" spans="1:17" hidden="1" x14ac:dyDescent="0.15">
      <c r="A70" s="291" t="s">
        <v>82</v>
      </c>
      <c r="B70" s="299"/>
    </row>
    <row r="71" spans="1:17" x14ac:dyDescent="0.15">
      <c r="B71" s="299"/>
    </row>
    <row r="72" spans="1:1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7" x14ac:dyDescent="0.15">
      <c r="A73" s="303" t="s">
        <v>146</v>
      </c>
      <c r="B73" s="304">
        <f t="shared" ref="B73:O73" si="9">SUM(B74:B78)</f>
        <v>0</v>
      </c>
      <c r="C73" s="304">
        <f t="shared" si="9"/>
        <v>266.59569999999997</v>
      </c>
      <c r="D73" s="304">
        <f t="shared" si="9"/>
        <v>0</v>
      </c>
      <c r="E73" s="304">
        <f t="shared" si="9"/>
        <v>0</v>
      </c>
      <c r="F73" s="304">
        <f t="shared" si="9"/>
        <v>0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266.59569999999997</v>
      </c>
      <c r="Q73" s="46"/>
    </row>
    <row r="74" spans="1:17" x14ac:dyDescent="0.15">
      <c r="A74" s="305" t="s">
        <v>97</v>
      </c>
      <c r="B74" s="306"/>
      <c r="C74" s="232">
        <v>0.70940000000000003</v>
      </c>
      <c r="D74" s="232"/>
      <c r="E74" s="232"/>
      <c r="F74" s="155"/>
      <c r="G74" s="232"/>
      <c r="H74" s="85"/>
      <c r="I74" s="85"/>
      <c r="J74" s="85"/>
      <c r="K74" s="85"/>
      <c r="L74" s="85"/>
      <c r="M74" s="85"/>
      <c r="N74" s="85"/>
      <c r="O74" s="310">
        <f>SUM(C74:N74)</f>
        <v>0.70940000000000003</v>
      </c>
    </row>
    <row r="75" spans="1:17" x14ac:dyDescent="0.15">
      <c r="A75" s="305" t="s">
        <v>98</v>
      </c>
      <c r="B75" s="306"/>
      <c r="C75" s="232"/>
      <c r="D75" s="232"/>
      <c r="E75" s="232"/>
      <c r="F75" s="232"/>
      <c r="G75" s="232"/>
      <c r="H75" s="85"/>
      <c r="I75" s="85"/>
      <c r="J75" s="85"/>
      <c r="K75" s="85"/>
      <c r="L75" s="85"/>
      <c r="M75" s="85"/>
      <c r="N75" s="85"/>
      <c r="O75" s="310">
        <f t="shared" ref="O75:O82" si="10">SUM(C75:N75)</f>
        <v>0</v>
      </c>
    </row>
    <row r="76" spans="1:17" x14ac:dyDescent="0.15">
      <c r="A76" s="305" t="s">
        <v>99</v>
      </c>
      <c r="B76" s="306"/>
      <c r="C76" s="232">
        <v>240.8715</v>
      </c>
      <c r="D76" s="232"/>
      <c r="E76" s="232"/>
      <c r="F76" s="232"/>
      <c r="G76" s="232"/>
      <c r="H76" s="85"/>
      <c r="I76" s="85"/>
      <c r="J76" s="85"/>
      <c r="K76" s="85"/>
      <c r="L76" s="85"/>
      <c r="M76" s="85"/>
      <c r="N76" s="85"/>
      <c r="O76" s="310">
        <f t="shared" si="10"/>
        <v>240.8715</v>
      </c>
    </row>
    <row r="77" spans="1:17" x14ac:dyDescent="0.15">
      <c r="A77" s="305" t="s">
        <v>100</v>
      </c>
      <c r="B77" s="306"/>
      <c r="C77" s="232">
        <v>25.014800000000001</v>
      </c>
      <c r="D77" s="232"/>
      <c r="E77" s="232"/>
      <c r="F77" s="232"/>
      <c r="G77" s="232"/>
      <c r="H77" s="85"/>
      <c r="I77" s="85"/>
      <c r="J77" s="85"/>
      <c r="K77" s="85"/>
      <c r="L77" s="85"/>
      <c r="M77" s="85"/>
      <c r="N77" s="85"/>
      <c r="O77" s="310">
        <f t="shared" si="10"/>
        <v>25.014800000000001</v>
      </c>
      <c r="P77" s="46"/>
    </row>
    <row r="78" spans="1:17" x14ac:dyDescent="0.15">
      <c r="A78" s="307" t="s">
        <v>101</v>
      </c>
      <c r="B78" s="308"/>
      <c r="C78" s="232"/>
      <c r="D78" s="232"/>
      <c r="E78" s="232"/>
      <c r="F78" s="232"/>
      <c r="G78" s="232"/>
      <c r="H78" s="85"/>
      <c r="I78" s="85"/>
      <c r="J78" s="85"/>
      <c r="K78" s="85"/>
      <c r="L78" s="85"/>
      <c r="M78" s="85"/>
      <c r="N78" s="85"/>
      <c r="O78" s="310">
        <f t="shared" si="10"/>
        <v>0</v>
      </c>
    </row>
    <row r="79" spans="1:17" x14ac:dyDescent="0.15">
      <c r="A79" s="309" t="s">
        <v>102</v>
      </c>
      <c r="B79" s="310">
        <f t="shared" ref="B79:N79" si="11">B13</f>
        <v>34</v>
      </c>
      <c r="C79" s="310">
        <f t="shared" si="11"/>
        <v>2.9346999999999999</v>
      </c>
      <c r="D79" s="310">
        <f t="shared" si="11"/>
        <v>2.9346999999999999</v>
      </c>
      <c r="E79" s="310">
        <f t="shared" si="11"/>
        <v>2.9346999999999999</v>
      </c>
      <c r="F79" s="310">
        <f t="shared" si="11"/>
        <v>2.9346999999999999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11.738799999999999</v>
      </c>
    </row>
    <row r="80" spans="1:17" x14ac:dyDescent="0.15">
      <c r="A80" s="309" t="s">
        <v>103</v>
      </c>
      <c r="B80" s="310">
        <f t="shared" ref="B80:N80" si="12">B21</f>
        <v>33.35</v>
      </c>
      <c r="C80" s="310">
        <f t="shared" si="12"/>
        <v>7.7996999999999997E-2</v>
      </c>
      <c r="D80" s="310">
        <f t="shared" si="12"/>
        <v>0</v>
      </c>
      <c r="E80" s="310">
        <f t="shared" si="12"/>
        <v>1.6147879999999999</v>
      </c>
      <c r="F80" s="310">
        <f t="shared" si="12"/>
        <v>0.268202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1.960987</v>
      </c>
    </row>
    <row r="81" spans="1:15" x14ac:dyDescent="0.15">
      <c r="A81" s="309" t="s">
        <v>104</v>
      </c>
      <c r="B81" s="310">
        <f t="shared" ref="B81:N81" si="13">B23</f>
        <v>1496.64401484</v>
      </c>
      <c r="C81" s="310">
        <f t="shared" si="13"/>
        <v>51.782670000000003</v>
      </c>
      <c r="D81" s="310">
        <f t="shared" si="13"/>
        <v>58.286394999999999</v>
      </c>
      <c r="E81" s="310">
        <f t="shared" si="13"/>
        <v>113.510221</v>
      </c>
      <c r="F81" s="310">
        <f t="shared" si="13"/>
        <v>74.856064999999901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298.43535099999991</v>
      </c>
    </row>
    <row r="82" spans="1:15" x14ac:dyDescent="0.15">
      <c r="A82" s="309" t="s">
        <v>105</v>
      </c>
      <c r="B82" s="310">
        <f t="shared" ref="B82:N82" si="14">B25</f>
        <v>2187.75</v>
      </c>
      <c r="C82" s="310">
        <f t="shared" si="14"/>
        <v>186.686317</v>
      </c>
      <c r="D82" s="310">
        <f t="shared" si="14"/>
        <v>179.536676</v>
      </c>
      <c r="E82" s="310">
        <f t="shared" si="14"/>
        <v>195.94660500000001</v>
      </c>
      <c r="F82" s="310">
        <f t="shared" si="14"/>
        <v>192.391178999999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754.56077699999901</v>
      </c>
    </row>
    <row r="83" spans="1:15" x14ac:dyDescent="0.15">
      <c r="A83" s="309" t="s">
        <v>106</v>
      </c>
      <c r="B83" s="310">
        <f t="shared" ref="B83:O84" si="15">B29</f>
        <v>-261.409999999999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3.8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86"/>
  <sheetViews>
    <sheetView workbookViewId="0">
      <selection activeCell="F3" sqref="F3:F70"/>
    </sheetView>
  </sheetViews>
  <sheetFormatPr defaultColWidth="9" defaultRowHeight="13.5" x14ac:dyDescent="0.15"/>
  <cols>
    <col min="1" max="1" width="24.875" customWidth="1"/>
    <col min="2" max="2" width="11.75" customWidth="1"/>
    <col min="3" max="15" width="8.87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5437.2152151794799</v>
      </c>
      <c r="C3" s="292">
        <v>795.50037299999997</v>
      </c>
      <c r="D3" s="292">
        <v>718.92490799999905</v>
      </c>
      <c r="E3" s="292">
        <v>789.52221199999997</v>
      </c>
      <c r="F3" s="292">
        <v>578.86346899999899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 t="shared" ref="O3:O23" si="1">SUM(C3:N3)</f>
        <v>2882.8109619999977</v>
      </c>
    </row>
    <row r="4" spans="1:15" x14ac:dyDescent="0.15">
      <c r="A4" s="291" t="s">
        <v>15</v>
      </c>
      <c r="B4" s="292">
        <f>B5+B6</f>
        <v>5437.2152151794799</v>
      </c>
      <c r="C4" s="292">
        <v>795.50037299999997</v>
      </c>
      <c r="D4" s="292">
        <v>718.92490799999905</v>
      </c>
      <c r="E4" s="292">
        <v>789.52221199999997</v>
      </c>
      <c r="F4" s="292">
        <v>578.86346899999899</v>
      </c>
      <c r="G4" s="292">
        <f t="shared" ref="G4:N4" si="2">G5+G6</f>
        <v>0</v>
      </c>
      <c r="H4" s="292">
        <f t="shared" si="2"/>
        <v>0</v>
      </c>
      <c r="I4" s="292">
        <f t="shared" si="2"/>
        <v>0</v>
      </c>
      <c r="J4" s="292">
        <f t="shared" si="2"/>
        <v>0</v>
      </c>
      <c r="K4" s="292">
        <f t="shared" si="2"/>
        <v>0</v>
      </c>
      <c r="L4" s="292">
        <f t="shared" si="2"/>
        <v>0</v>
      </c>
      <c r="M4" s="292">
        <f t="shared" si="2"/>
        <v>0</v>
      </c>
      <c r="N4" s="292">
        <f t="shared" si="2"/>
        <v>0</v>
      </c>
      <c r="O4" s="292">
        <f t="shared" si="1"/>
        <v>2882.8109619999977</v>
      </c>
    </row>
    <row r="5" spans="1:15" x14ac:dyDescent="0.15">
      <c r="A5" s="291" t="s">
        <v>17</v>
      </c>
      <c r="B5" s="292">
        <v>5437.2152151794799</v>
      </c>
      <c r="C5" s="292">
        <v>795.50037299999997</v>
      </c>
      <c r="D5" s="292">
        <v>718.92490799999905</v>
      </c>
      <c r="E5" s="292">
        <v>789.52221199999997</v>
      </c>
      <c r="F5" s="292">
        <v>578.86346899999899</v>
      </c>
      <c r="G5" s="292"/>
      <c r="H5" s="292"/>
      <c r="I5" s="292"/>
      <c r="J5" s="292"/>
      <c r="K5" s="292"/>
      <c r="L5" s="292"/>
      <c r="M5" s="292"/>
      <c r="N5" s="292"/>
      <c r="O5" s="292">
        <f t="shared" si="1"/>
        <v>2882.8109619999977</v>
      </c>
    </row>
    <row r="6" spans="1:15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 t="shared" si="1"/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si="1"/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1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1"/>
        <v>0</v>
      </c>
    </row>
    <row r="10" spans="1:15" x14ac:dyDescent="0.15">
      <c r="A10" s="291" t="s">
        <v>22</v>
      </c>
      <c r="B10" s="292">
        <f>B11+B21+B23+B25+B29</f>
        <v>4843.8963132320905</v>
      </c>
      <c r="C10" s="292">
        <v>281.09305699999999</v>
      </c>
      <c r="D10" s="292">
        <v>294.48448300000001</v>
      </c>
      <c r="E10" s="292">
        <v>355.00593899999899</v>
      </c>
      <c r="F10" s="292">
        <v>298.38460600000002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1"/>
        <v>1228.9680849999991</v>
      </c>
    </row>
    <row r="11" spans="1:15" x14ac:dyDescent="0.15">
      <c r="A11" s="291" t="s">
        <v>23</v>
      </c>
      <c r="B11" s="292">
        <f>B12+B13</f>
        <v>2439.5027999950898</v>
      </c>
      <c r="C11" s="292">
        <v>169.00474800000001</v>
      </c>
      <c r="D11" s="292">
        <v>174.82437400000001</v>
      </c>
      <c r="E11" s="292">
        <v>178.024923999999</v>
      </c>
      <c r="F11" s="292">
        <v>171.824613999999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292">
        <f t="shared" si="1"/>
        <v>693.67865999999799</v>
      </c>
    </row>
    <row r="12" spans="1:15" x14ac:dyDescent="0.15">
      <c r="A12" s="291" t="s">
        <v>144</v>
      </c>
      <c r="B12" s="293">
        <v>2439.5027999950898</v>
      </c>
      <c r="C12" s="292">
        <v>169.00474800000001</v>
      </c>
      <c r="D12" s="293">
        <v>174.82437400000001</v>
      </c>
      <c r="E12" s="293">
        <v>178.024923999999</v>
      </c>
      <c r="F12" s="293">
        <v>171.824613999999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2">
        <f t="shared" si="1"/>
        <v>693.67865999999799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1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1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1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1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1"/>
        <v>0</v>
      </c>
    </row>
    <row r="18" spans="1:15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1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1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1"/>
        <v>0</v>
      </c>
    </row>
    <row r="21" spans="1:15" x14ac:dyDescent="0.15">
      <c r="A21" s="291" t="s">
        <v>33</v>
      </c>
      <c r="B21" s="292">
        <v>6.11</v>
      </c>
      <c r="C21" s="292"/>
      <c r="D21" s="292"/>
      <c r="E21" s="292">
        <v>1.0330900000000001</v>
      </c>
      <c r="F21" s="292">
        <v>0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1"/>
        <v>1.0330900000000001</v>
      </c>
    </row>
    <row r="22" spans="1:15" x14ac:dyDescent="0.15">
      <c r="A22" s="291" t="s">
        <v>34</v>
      </c>
      <c r="B22" s="292"/>
      <c r="C22" s="292"/>
      <c r="D22" s="292"/>
      <c r="E22" s="292">
        <v>1.956647</v>
      </c>
      <c r="F22" s="292">
        <v>0</v>
      </c>
      <c r="G22" s="292"/>
      <c r="H22" s="292"/>
      <c r="I22" s="292"/>
      <c r="J22" s="292"/>
      <c r="K22" s="292"/>
      <c r="L22" s="292"/>
      <c r="M22" s="292"/>
      <c r="N22" s="292"/>
      <c r="O22" s="292">
        <f t="shared" si="1"/>
        <v>1.956647</v>
      </c>
    </row>
    <row r="23" spans="1:15" x14ac:dyDescent="0.15">
      <c r="A23" s="291" t="s">
        <v>35</v>
      </c>
      <c r="B23" s="292">
        <v>439.64747187</v>
      </c>
      <c r="C23" s="292">
        <v>7.9730109999999996</v>
      </c>
      <c r="D23" s="292">
        <v>9.6694739999999992</v>
      </c>
      <c r="E23" s="292">
        <v>51.391973999999998</v>
      </c>
      <c r="F23" s="292">
        <v>10.257528000000001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1"/>
        <v>79.291987000000006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ref="O24:O68" si="6">SUM(C24:N24)</f>
        <v>0</v>
      </c>
    </row>
    <row r="25" spans="1:15" x14ac:dyDescent="0.15">
      <c r="A25" s="291" t="s">
        <v>37</v>
      </c>
      <c r="B25" s="292">
        <v>1601.546041367</v>
      </c>
      <c r="C25" s="292">
        <v>104.115298</v>
      </c>
      <c r="D25" s="292">
        <v>109.990635</v>
      </c>
      <c r="E25" s="292">
        <v>122.599304</v>
      </c>
      <c r="F25" s="292">
        <v>116.30246399999901</v>
      </c>
      <c r="G25" s="292"/>
      <c r="H25" s="292"/>
      <c r="I25" s="292"/>
      <c r="J25" s="292"/>
      <c r="K25" s="292"/>
      <c r="L25" s="292"/>
      <c r="M25" s="292"/>
      <c r="N25" s="292"/>
      <c r="O25" s="292">
        <f t="shared" si="6"/>
        <v>453.00770099999903</v>
      </c>
    </row>
    <row r="26" spans="1:15" hidden="1" x14ac:dyDescent="0.15">
      <c r="A26" s="291" t="s">
        <v>38</v>
      </c>
      <c r="B26" s="292"/>
      <c r="C26" s="292">
        <v>105.861438999999</v>
      </c>
      <c r="D26" s="292">
        <v>111.762021</v>
      </c>
      <c r="E26" s="292">
        <v>124.746064</v>
      </c>
      <c r="F26" s="292">
        <v>117.884650999999</v>
      </c>
      <c r="G26" s="292"/>
      <c r="H26" s="292"/>
      <c r="I26" s="292"/>
      <c r="J26" s="292"/>
      <c r="K26" s="292"/>
      <c r="L26" s="292"/>
      <c r="M26" s="292"/>
      <c r="N26" s="292"/>
      <c r="O26" s="292">
        <f t="shared" si="6"/>
        <v>460.25417499999799</v>
      </c>
    </row>
    <row r="27" spans="1:15" hidden="1" x14ac:dyDescent="0.15">
      <c r="A27" s="291" t="s">
        <v>39</v>
      </c>
      <c r="B27" s="292"/>
      <c r="C27" s="292">
        <v>1.8113410000000001</v>
      </c>
      <c r="D27" s="292">
        <v>1.79688599999999</v>
      </c>
      <c r="E27" s="292">
        <v>2.2000600000000001</v>
      </c>
      <c r="F27" s="292">
        <v>1.5867869999999999</v>
      </c>
      <c r="G27" s="292"/>
      <c r="H27" s="292"/>
      <c r="I27" s="292"/>
      <c r="J27" s="292"/>
      <c r="K27" s="292"/>
      <c r="L27" s="292"/>
      <c r="M27" s="292"/>
      <c r="N27" s="292"/>
      <c r="O27" s="292">
        <f t="shared" si="6"/>
        <v>7.3950739999999904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6"/>
        <v>0</v>
      </c>
    </row>
    <row r="29" spans="1:15" x14ac:dyDescent="0.15">
      <c r="A29" s="291" t="s">
        <v>41</v>
      </c>
      <c r="B29" s="292">
        <v>357.09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6"/>
        <v>0</v>
      </c>
    </row>
    <row r="30" spans="1:15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6"/>
        <v>0</v>
      </c>
    </row>
    <row r="31" spans="1:15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6"/>
        <v>0</v>
      </c>
    </row>
    <row r="32" spans="1:15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6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6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6"/>
        <v>0</v>
      </c>
    </row>
    <row r="35" spans="1:15" x14ac:dyDescent="0.15">
      <c r="A35" s="291" t="s">
        <v>47</v>
      </c>
      <c r="B35" s="295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6"/>
        <v>0</v>
      </c>
    </row>
    <row r="36" spans="1:15" x14ac:dyDescent="0.15">
      <c r="A36" s="291" t="s">
        <v>48</v>
      </c>
      <c r="B36" s="295">
        <f>B3-B10+B35</f>
        <v>593.31890194738935</v>
      </c>
      <c r="C36" s="292">
        <v>514.40731600000004</v>
      </c>
      <c r="D36" s="295">
        <v>424.440425</v>
      </c>
      <c r="E36" s="295">
        <v>434.51627300000001</v>
      </c>
      <c r="F36" s="295">
        <v>280.47886299999902</v>
      </c>
      <c r="G36" s="295">
        <f t="shared" ref="G36:N36" si="7">G3-G10+G35</f>
        <v>0</v>
      </c>
      <c r="H36" s="295">
        <f t="shared" si="7"/>
        <v>0</v>
      </c>
      <c r="I36" s="295">
        <f t="shared" si="7"/>
        <v>0</v>
      </c>
      <c r="J36" s="295">
        <f t="shared" si="7"/>
        <v>0</v>
      </c>
      <c r="K36" s="295">
        <f t="shared" si="7"/>
        <v>0</v>
      </c>
      <c r="L36" s="295">
        <f t="shared" si="7"/>
        <v>0</v>
      </c>
      <c r="M36" s="295">
        <f t="shared" si="7"/>
        <v>0</v>
      </c>
      <c r="N36" s="295">
        <f t="shared" si="7"/>
        <v>0</v>
      </c>
      <c r="O36" s="292">
        <f t="shared" si="6"/>
        <v>1653.8428769999991</v>
      </c>
    </row>
    <row r="37" spans="1:15" x14ac:dyDescent="0.15">
      <c r="A37" s="291" t="s">
        <v>49</v>
      </c>
      <c r="B37" s="292"/>
      <c r="C37" s="292"/>
      <c r="D37" s="292"/>
      <c r="E37" s="292"/>
      <c r="F37" s="292">
        <v>5</v>
      </c>
      <c r="G37" s="292"/>
      <c r="H37" s="292"/>
      <c r="I37" s="292"/>
      <c r="J37" s="292"/>
      <c r="K37" s="292"/>
      <c r="L37" s="292"/>
      <c r="M37" s="292"/>
      <c r="N37" s="292"/>
      <c r="O37" s="292">
        <f t="shared" si="6"/>
        <v>5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6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6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6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6"/>
        <v>0</v>
      </c>
    </row>
    <row r="42" spans="1:15" x14ac:dyDescent="0.15">
      <c r="A42" s="291" t="s">
        <v>54</v>
      </c>
      <c r="B42" s="292">
        <v>10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6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6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2">
        <f t="shared" si="6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si="6"/>
        <v>0</v>
      </c>
    </row>
    <row r="46" spans="1:15" x14ac:dyDescent="0.15">
      <c r="A46" s="291" t="s">
        <v>58</v>
      </c>
      <c r="B46" s="296">
        <f>B36+B37-B42</f>
        <v>583.31890194738935</v>
      </c>
      <c r="C46" s="292">
        <v>514.40731600000004</v>
      </c>
      <c r="D46" s="296">
        <v>424.440425</v>
      </c>
      <c r="E46" s="296">
        <v>434.51627300000001</v>
      </c>
      <c r="F46" s="296">
        <v>285.47886299999999</v>
      </c>
      <c r="G46" s="296">
        <f t="shared" ref="G46:N46" si="8">G36+G37-G42</f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6"/>
        <v>1658.842877</v>
      </c>
    </row>
    <row r="47" spans="1:15" x14ac:dyDescent="0.15">
      <c r="A47" s="291" t="s">
        <v>59</v>
      </c>
      <c r="B47" s="297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6"/>
        <v>0</v>
      </c>
    </row>
    <row r="48" spans="1:15" x14ac:dyDescent="0.15">
      <c r="A48" s="291" t="s">
        <v>60</v>
      </c>
      <c r="B48" s="297"/>
      <c r="C48" s="292">
        <v>514.40731600000004</v>
      </c>
      <c r="D48" s="292">
        <v>424.440425</v>
      </c>
      <c r="E48" s="292">
        <v>434.51627300000001</v>
      </c>
      <c r="F48" s="292">
        <v>285.47886299999999</v>
      </c>
      <c r="G48" s="292"/>
      <c r="H48" s="292"/>
      <c r="I48" s="292"/>
      <c r="J48" s="292"/>
      <c r="K48" s="292"/>
      <c r="L48" s="292"/>
      <c r="M48" s="292"/>
      <c r="N48" s="292"/>
      <c r="O48" s="292">
        <f t="shared" si="6"/>
        <v>1658.842877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6"/>
        <v>0</v>
      </c>
    </row>
    <row r="50" spans="1:15" ht="24" hidden="1" x14ac:dyDescent="0.15">
      <c r="A50" s="291" t="s">
        <v>62</v>
      </c>
      <c r="B50" s="298"/>
      <c r="C50" s="292">
        <v>514.40731600000004</v>
      </c>
      <c r="D50" s="292">
        <v>424.440425</v>
      </c>
      <c r="E50" s="292">
        <v>434.51627300000001</v>
      </c>
      <c r="F50" s="292">
        <v>285.47886299999999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6"/>
        <v>1658.842877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6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6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6"/>
        <v>0</v>
      </c>
    </row>
    <row r="54" spans="1:15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6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6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6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6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6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6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6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6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6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82.308369000000098</v>
      </c>
      <c r="H63" s="292">
        <v>-135.638575</v>
      </c>
      <c r="I63" s="292">
        <v>-140.223994</v>
      </c>
      <c r="J63" s="292">
        <v>-135.60299599999999</v>
      </c>
      <c r="K63" s="292">
        <v>-142.70771499999901</v>
      </c>
      <c r="L63" s="292">
        <v>-120.726206</v>
      </c>
      <c r="M63" s="292">
        <v>121.057523</v>
      </c>
      <c r="N63" s="292">
        <v>8.60733899999987</v>
      </c>
      <c r="O63" s="292">
        <f t="shared" si="6"/>
        <v>-462.92625499999906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/>
      <c r="G64" s="292">
        <v>82.308369000000098</v>
      </c>
      <c r="H64" s="292">
        <v>-135.638575</v>
      </c>
      <c r="I64" s="292">
        <v>-140.223994</v>
      </c>
      <c r="J64" s="292">
        <v>-135.60299599999999</v>
      </c>
      <c r="K64" s="292">
        <v>-142.70771499999901</v>
      </c>
      <c r="L64" s="292">
        <v>-120.726206</v>
      </c>
      <c r="M64" s="292">
        <v>121.057523</v>
      </c>
      <c r="N64" s="292">
        <v>8.60733899999987</v>
      </c>
      <c r="O64" s="292">
        <f t="shared" si="6"/>
        <v>-462.92625499999906</v>
      </c>
    </row>
    <row r="65" spans="1:15" hidden="1" x14ac:dyDescent="0.15">
      <c r="A65" s="291" t="s">
        <v>77</v>
      </c>
      <c r="B65" s="298"/>
      <c r="C65" s="292">
        <v>514.40731600000004</v>
      </c>
      <c r="D65" s="292"/>
      <c r="E65" s="292">
        <v>434.51627300000001</v>
      </c>
      <c r="F65" s="292">
        <v>285.47886299999999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6"/>
        <v>1234.402452</v>
      </c>
    </row>
    <row r="66" spans="1:15" ht="24" hidden="1" x14ac:dyDescent="0.15">
      <c r="A66" s="291" t="s">
        <v>78</v>
      </c>
      <c r="B66" s="298"/>
      <c r="C66" s="292">
        <v>514.40731600000004</v>
      </c>
      <c r="D66" s="292">
        <v>424.440425</v>
      </c>
      <c r="E66" s="292">
        <v>434.51627300000001</v>
      </c>
      <c r="F66" s="292">
        <v>285.47886299999999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6"/>
        <v>1658.842877</v>
      </c>
    </row>
    <row r="67" spans="1:15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6"/>
        <v>0</v>
      </c>
    </row>
    <row r="68" spans="1:15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6"/>
        <v>0</v>
      </c>
    </row>
    <row r="69" spans="1:15" hidden="1" x14ac:dyDescent="0.15">
      <c r="A69" s="291" t="s">
        <v>81</v>
      </c>
      <c r="B69" s="299"/>
    </row>
    <row r="70" spans="1:15" hidden="1" x14ac:dyDescent="0.15">
      <c r="A70" s="291" t="s">
        <v>82</v>
      </c>
      <c r="B70" s="299"/>
    </row>
    <row r="71" spans="1:15" x14ac:dyDescent="0.15">
      <c r="B71" s="299"/>
    </row>
    <row r="72" spans="1:15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5" x14ac:dyDescent="0.15">
      <c r="A73" s="303" t="s">
        <v>146</v>
      </c>
      <c r="B73" s="304">
        <f t="shared" ref="B73:O73" si="9">SUM(B74:B78)</f>
        <v>0</v>
      </c>
      <c r="C73" s="304">
        <f t="shared" si="9"/>
        <v>169.00470000000001</v>
      </c>
      <c r="D73" s="304">
        <f t="shared" si="9"/>
        <v>0</v>
      </c>
      <c r="E73" s="304">
        <f t="shared" si="9"/>
        <v>0</v>
      </c>
      <c r="F73" s="304">
        <f t="shared" si="9"/>
        <v>0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169.00470000000001</v>
      </c>
    </row>
    <row r="74" spans="1:15" x14ac:dyDescent="0.15">
      <c r="A74" s="305" t="s">
        <v>97</v>
      </c>
      <c r="B74" s="306"/>
      <c r="C74" s="85"/>
      <c r="D74" s="85"/>
      <c r="E74" s="85"/>
      <c r="F74" s="46"/>
      <c r="G74" s="85"/>
      <c r="H74" s="85"/>
      <c r="I74" s="85"/>
      <c r="J74" s="85"/>
      <c r="K74" s="85"/>
      <c r="L74" s="85"/>
      <c r="M74" s="85"/>
      <c r="N74" s="85"/>
      <c r="O74" s="310">
        <f>SUM(C74:N74)</f>
        <v>0</v>
      </c>
    </row>
    <row r="75" spans="1:15" x14ac:dyDescent="0.15">
      <c r="A75" s="305" t="s">
        <v>98</v>
      </c>
      <c r="B75" s="306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310">
        <f t="shared" ref="O75:O82" si="10">SUM(C75:N75)</f>
        <v>0</v>
      </c>
    </row>
    <row r="76" spans="1:15" x14ac:dyDescent="0.15">
      <c r="A76" s="305" t="s">
        <v>99</v>
      </c>
      <c r="B76" s="306"/>
      <c r="C76" s="85">
        <v>150.06630000000001</v>
      </c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310">
        <f t="shared" si="10"/>
        <v>150.06630000000001</v>
      </c>
    </row>
    <row r="77" spans="1:15" x14ac:dyDescent="0.15">
      <c r="A77" s="305" t="s">
        <v>100</v>
      </c>
      <c r="B77" s="306"/>
      <c r="C77" s="85">
        <v>18.938400000000001</v>
      </c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310">
        <f t="shared" si="10"/>
        <v>18.938400000000001</v>
      </c>
    </row>
    <row r="78" spans="1:15" x14ac:dyDescent="0.15">
      <c r="A78" s="307" t="s">
        <v>101</v>
      </c>
      <c r="B78" s="308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310">
        <f t="shared" si="10"/>
        <v>0</v>
      </c>
    </row>
    <row r="79" spans="1:15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0</v>
      </c>
    </row>
    <row r="80" spans="1:15" x14ac:dyDescent="0.15">
      <c r="A80" s="309" t="s">
        <v>103</v>
      </c>
      <c r="B80" s="310">
        <f t="shared" ref="B80:N80" si="12">B21</f>
        <v>6.11</v>
      </c>
      <c r="C80" s="310">
        <f t="shared" si="12"/>
        <v>0</v>
      </c>
      <c r="D80" s="310">
        <f t="shared" si="12"/>
        <v>0</v>
      </c>
      <c r="E80" s="310">
        <f t="shared" si="12"/>
        <v>1.0330900000000001</v>
      </c>
      <c r="F80" s="310">
        <f t="shared" si="12"/>
        <v>0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1.0330900000000001</v>
      </c>
    </row>
    <row r="81" spans="1:15" x14ac:dyDescent="0.15">
      <c r="A81" s="309" t="s">
        <v>104</v>
      </c>
      <c r="B81" s="310">
        <f t="shared" ref="B81:N81" si="13">B23</f>
        <v>439.64747187</v>
      </c>
      <c r="C81" s="310">
        <f t="shared" si="13"/>
        <v>7.9730109999999996</v>
      </c>
      <c r="D81" s="310">
        <f t="shared" si="13"/>
        <v>9.6694739999999992</v>
      </c>
      <c r="E81" s="310">
        <f t="shared" si="13"/>
        <v>51.391973999999998</v>
      </c>
      <c r="F81" s="310">
        <f t="shared" si="13"/>
        <v>10.257528000000001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79.291987000000006</v>
      </c>
    </row>
    <row r="82" spans="1:15" x14ac:dyDescent="0.15">
      <c r="A82" s="309" t="s">
        <v>105</v>
      </c>
      <c r="B82" s="310">
        <f t="shared" ref="B82:N82" si="14">B25</f>
        <v>1601.546041367</v>
      </c>
      <c r="C82" s="310">
        <f t="shared" si="14"/>
        <v>104.115298</v>
      </c>
      <c r="D82" s="310">
        <f t="shared" si="14"/>
        <v>109.990635</v>
      </c>
      <c r="E82" s="310">
        <f t="shared" si="14"/>
        <v>122.599304</v>
      </c>
      <c r="F82" s="310">
        <f t="shared" si="14"/>
        <v>116.30246399999901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453.00770099999903</v>
      </c>
    </row>
    <row r="83" spans="1:15" x14ac:dyDescent="0.15">
      <c r="A83" s="309" t="s">
        <v>106</v>
      </c>
      <c r="B83" s="310">
        <f t="shared" ref="B83:O84" si="15">B29</f>
        <v>357.09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5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86"/>
  <sheetViews>
    <sheetView workbookViewId="0">
      <pane xSplit="1" ySplit="2" topLeftCell="B3" activePane="bottomRight" state="frozenSplit"/>
      <selection pane="topRight"/>
      <selection pane="bottomLeft"/>
      <selection pane="bottomRight" activeCell="F3" sqref="F3:F70"/>
    </sheetView>
  </sheetViews>
  <sheetFormatPr defaultColWidth="9" defaultRowHeight="13.5" x14ac:dyDescent="0.15"/>
  <cols>
    <col min="1" max="1" width="23.625" customWidth="1"/>
    <col min="2" max="2" width="9.125" customWidth="1"/>
    <col min="3" max="15" width="8.87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2839.23675</v>
      </c>
      <c r="C3" s="292">
        <v>193.41385399999999</v>
      </c>
      <c r="D3" s="292">
        <v>199.158435</v>
      </c>
      <c r="E3" s="292">
        <v>238.411506</v>
      </c>
      <c r="F3" s="292">
        <v>197.54356099999899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 t="shared" ref="O3:O23" si="1">SUM(C3:N3)</f>
        <v>828.52735599999892</v>
      </c>
    </row>
    <row r="4" spans="1:15" x14ac:dyDescent="0.15">
      <c r="A4" s="291" t="s">
        <v>15</v>
      </c>
      <c r="B4" s="292">
        <f>B5+B6</f>
        <v>2839.23675</v>
      </c>
      <c r="C4" s="292">
        <v>193.41385399999999</v>
      </c>
      <c r="D4" s="292">
        <v>199.158435</v>
      </c>
      <c r="E4" s="292">
        <v>238.411506</v>
      </c>
      <c r="F4" s="292">
        <v>197.54356099999899</v>
      </c>
      <c r="G4" s="292">
        <f t="shared" ref="G4:N4" si="2">G5+G6</f>
        <v>0</v>
      </c>
      <c r="H4" s="292">
        <f t="shared" si="2"/>
        <v>0</v>
      </c>
      <c r="I4" s="292">
        <f t="shared" si="2"/>
        <v>0</v>
      </c>
      <c r="J4" s="292">
        <f t="shared" si="2"/>
        <v>0</v>
      </c>
      <c r="K4" s="292">
        <f t="shared" si="2"/>
        <v>0</v>
      </c>
      <c r="L4" s="292">
        <f t="shared" si="2"/>
        <v>0</v>
      </c>
      <c r="M4" s="292">
        <f t="shared" si="2"/>
        <v>0</v>
      </c>
      <c r="N4" s="292">
        <f t="shared" si="2"/>
        <v>0</v>
      </c>
      <c r="O4" s="292">
        <f t="shared" si="1"/>
        <v>828.52735599999892</v>
      </c>
    </row>
    <row r="5" spans="1:15" x14ac:dyDescent="0.15">
      <c r="A5" s="291" t="s">
        <v>17</v>
      </c>
      <c r="B5" s="292">
        <v>2839.23675</v>
      </c>
      <c r="C5" s="292">
        <v>193.41385399999999</v>
      </c>
      <c r="D5" s="292">
        <v>199.158435</v>
      </c>
      <c r="E5" s="292">
        <v>238.411506</v>
      </c>
      <c r="F5" s="292">
        <v>197.54356099999899</v>
      </c>
      <c r="G5" s="292"/>
      <c r="H5" s="292"/>
      <c r="I5" s="292"/>
      <c r="J5" s="292"/>
      <c r="K5" s="292"/>
      <c r="L5" s="292"/>
      <c r="M5" s="292"/>
      <c r="N5" s="292"/>
      <c r="O5" s="292">
        <f t="shared" si="1"/>
        <v>828.52735599999892</v>
      </c>
    </row>
    <row r="6" spans="1:15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 t="shared" si="1"/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si="1"/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1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1"/>
        <v>0</v>
      </c>
    </row>
    <row r="10" spans="1:15" x14ac:dyDescent="0.15">
      <c r="A10" s="291" t="s">
        <v>22</v>
      </c>
      <c r="B10" s="292">
        <f>B11+B21+B23+B25+B29</f>
        <v>2573.7261520329989</v>
      </c>
      <c r="C10" s="292">
        <v>123.52284899999999</v>
      </c>
      <c r="D10" s="292">
        <v>116.921314</v>
      </c>
      <c r="E10" s="292">
        <v>141.08817099999999</v>
      </c>
      <c r="F10" s="292">
        <v>122.972452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1"/>
        <v>504.50478599999997</v>
      </c>
    </row>
    <row r="11" spans="1:15" x14ac:dyDescent="0.15">
      <c r="A11" s="291" t="s">
        <v>23</v>
      </c>
      <c r="B11" s="292">
        <f>B12+B13</f>
        <v>1468.7533332999999</v>
      </c>
      <c r="C11" s="292">
        <v>69.878447999999906</v>
      </c>
      <c r="D11" s="292">
        <v>69.346539000000007</v>
      </c>
      <c r="E11" s="292">
        <v>74.093492999999896</v>
      </c>
      <c r="F11" s="292">
        <v>67.954739000000004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292">
        <f t="shared" si="1"/>
        <v>281.27321899999981</v>
      </c>
    </row>
    <row r="12" spans="1:15" x14ac:dyDescent="0.15">
      <c r="A12" s="291" t="s">
        <v>144</v>
      </c>
      <c r="B12" s="293">
        <v>1468.7533332999999</v>
      </c>
      <c r="C12" s="292">
        <v>69.878447999999906</v>
      </c>
      <c r="D12" s="293">
        <v>69.346539000000007</v>
      </c>
      <c r="E12" s="293">
        <v>74.093492999999896</v>
      </c>
      <c r="F12" s="293">
        <v>67.954739000000004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2">
        <f t="shared" si="1"/>
        <v>281.27321899999981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1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1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1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1"/>
        <v>0</v>
      </c>
    </row>
    <row r="17" spans="1:17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1"/>
        <v>0</v>
      </c>
    </row>
    <row r="18" spans="1:17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1"/>
        <v>0</v>
      </c>
    </row>
    <row r="19" spans="1:17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1"/>
        <v>0</v>
      </c>
    </row>
    <row r="20" spans="1:17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1"/>
        <v>0</v>
      </c>
    </row>
    <row r="21" spans="1:17" x14ac:dyDescent="0.15">
      <c r="A21" s="291" t="s">
        <v>33</v>
      </c>
      <c r="B21" s="292">
        <v>18</v>
      </c>
      <c r="C21" s="292">
        <v>6.1100000000000002E-2</v>
      </c>
      <c r="D21" s="292">
        <v>6.2909999999999994E-2</v>
      </c>
      <c r="E21" s="292">
        <v>7.5310000000000002E-2</v>
      </c>
      <c r="F21" s="292">
        <v>0.140399999999999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1"/>
        <v>0.33971999999999902</v>
      </c>
    </row>
    <row r="22" spans="1:17" hidden="1" x14ac:dyDescent="0.15">
      <c r="A22" s="291" t="s">
        <v>34</v>
      </c>
      <c r="B22" s="292"/>
      <c r="C22" s="292"/>
      <c r="D22" s="292"/>
      <c r="E22" s="292">
        <v>0.35533700000000001</v>
      </c>
      <c r="F22" s="292">
        <v>0</v>
      </c>
      <c r="G22" s="292"/>
      <c r="H22" s="292"/>
      <c r="I22" s="292"/>
      <c r="J22" s="292"/>
      <c r="K22" s="292"/>
      <c r="L22" s="292"/>
      <c r="M22" s="292"/>
      <c r="N22" s="292"/>
      <c r="O22" s="292">
        <f t="shared" si="1"/>
        <v>0.35533700000000001</v>
      </c>
    </row>
    <row r="23" spans="1:17" x14ac:dyDescent="0.15">
      <c r="A23" s="291" t="s">
        <v>35</v>
      </c>
      <c r="B23" s="292">
        <v>204.349999999999</v>
      </c>
      <c r="C23" s="292">
        <v>6.7339060000000002</v>
      </c>
      <c r="D23" s="292">
        <v>3.4434939999999998</v>
      </c>
      <c r="E23" s="292">
        <v>17.685416999999902</v>
      </c>
      <c r="F23" s="292">
        <v>7.1854179999999896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1"/>
        <v>35.048234999999892</v>
      </c>
      <c r="Q23" s="46"/>
    </row>
    <row r="24" spans="1:17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ref="O24:O68" si="6">SUM(C24:N24)</f>
        <v>0</v>
      </c>
    </row>
    <row r="25" spans="1:17" x14ac:dyDescent="0.15">
      <c r="A25" s="291" t="s">
        <v>37</v>
      </c>
      <c r="B25" s="292">
        <v>819.75281873300003</v>
      </c>
      <c r="C25" s="292">
        <v>46.849395000000001</v>
      </c>
      <c r="D25" s="292">
        <v>44.068370999999999</v>
      </c>
      <c r="E25" s="292">
        <v>48.878613999999999</v>
      </c>
      <c r="F25" s="292">
        <v>47.691894999999903</v>
      </c>
      <c r="G25" s="292"/>
      <c r="H25" s="292"/>
      <c r="I25" s="292"/>
      <c r="J25" s="292"/>
      <c r="K25" s="292"/>
      <c r="L25" s="292"/>
      <c r="M25" s="292"/>
      <c r="N25" s="292"/>
      <c r="O25" s="292">
        <f t="shared" si="6"/>
        <v>187.4882749999999</v>
      </c>
    </row>
    <row r="26" spans="1:17" hidden="1" x14ac:dyDescent="0.15">
      <c r="A26" s="291" t="s">
        <v>38</v>
      </c>
      <c r="B26" s="292"/>
      <c r="C26" s="292">
        <v>48.657083999999998</v>
      </c>
      <c r="D26" s="292">
        <v>45.567360999999899</v>
      </c>
      <c r="E26" s="292">
        <v>51.038052999999998</v>
      </c>
      <c r="F26" s="292">
        <v>49.558610999999999</v>
      </c>
      <c r="G26" s="292"/>
      <c r="H26" s="292"/>
      <c r="I26" s="292"/>
      <c r="J26" s="292"/>
      <c r="K26" s="292"/>
      <c r="L26" s="292"/>
      <c r="M26" s="292"/>
      <c r="N26" s="292"/>
      <c r="O26" s="292">
        <f t="shared" si="6"/>
        <v>194.82110899999986</v>
      </c>
    </row>
    <row r="27" spans="1:17" hidden="1" x14ac:dyDescent="0.15">
      <c r="A27" s="291" t="s">
        <v>39</v>
      </c>
      <c r="B27" s="292"/>
      <c r="C27" s="292">
        <v>1.8139889999999901</v>
      </c>
      <c r="D27" s="292">
        <v>1.5004900000000001</v>
      </c>
      <c r="E27" s="292">
        <v>2.1838389999999999</v>
      </c>
      <c r="F27" s="292">
        <v>1.8705159999999901</v>
      </c>
      <c r="G27" s="292"/>
      <c r="H27" s="292"/>
      <c r="I27" s="292"/>
      <c r="J27" s="292"/>
      <c r="K27" s="292"/>
      <c r="L27" s="292"/>
      <c r="M27" s="292"/>
      <c r="N27" s="292"/>
      <c r="O27" s="292">
        <f t="shared" si="6"/>
        <v>7.3688339999999801</v>
      </c>
    </row>
    <row r="28" spans="1:17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6"/>
        <v>0</v>
      </c>
    </row>
    <row r="29" spans="1:17" x14ac:dyDescent="0.15">
      <c r="A29" s="291" t="s">
        <v>41</v>
      </c>
      <c r="B29" s="292">
        <v>62.87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6"/>
        <v>0</v>
      </c>
    </row>
    <row r="30" spans="1:17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6"/>
        <v>0</v>
      </c>
    </row>
    <row r="31" spans="1:17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6"/>
        <v>0</v>
      </c>
    </row>
    <row r="32" spans="1:17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6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6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6"/>
        <v>0</v>
      </c>
    </row>
    <row r="35" spans="1:15" x14ac:dyDescent="0.15">
      <c r="A35" s="291" t="s">
        <v>47</v>
      </c>
      <c r="B35" s="295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6"/>
        <v>0</v>
      </c>
    </row>
    <row r="36" spans="1:15" x14ac:dyDescent="0.15">
      <c r="A36" s="291" t="s">
        <v>48</v>
      </c>
      <c r="B36" s="295">
        <f>B3-B10+B35</f>
        <v>265.5105979670011</v>
      </c>
      <c r="C36" s="292">
        <v>69.891005000000007</v>
      </c>
      <c r="D36" s="295">
        <v>82.237121000000002</v>
      </c>
      <c r="E36" s="295">
        <v>97.323334999999901</v>
      </c>
      <c r="F36" s="295">
        <v>74.571109000000007</v>
      </c>
      <c r="G36" s="295">
        <f t="shared" ref="G36:N36" si="7">G3-G10+G35</f>
        <v>0</v>
      </c>
      <c r="H36" s="295">
        <f t="shared" si="7"/>
        <v>0</v>
      </c>
      <c r="I36" s="295">
        <f t="shared" si="7"/>
        <v>0</v>
      </c>
      <c r="J36" s="295">
        <f t="shared" si="7"/>
        <v>0</v>
      </c>
      <c r="K36" s="295">
        <f t="shared" si="7"/>
        <v>0</v>
      </c>
      <c r="L36" s="295">
        <f t="shared" si="7"/>
        <v>0</v>
      </c>
      <c r="M36" s="295">
        <f t="shared" si="7"/>
        <v>0</v>
      </c>
      <c r="N36" s="295">
        <f t="shared" si="7"/>
        <v>0</v>
      </c>
      <c r="O36" s="292">
        <f t="shared" si="6"/>
        <v>324.02256999999992</v>
      </c>
    </row>
    <row r="37" spans="1:15" x14ac:dyDescent="0.15">
      <c r="A37" s="291" t="s">
        <v>49</v>
      </c>
      <c r="B37" s="292"/>
      <c r="C37" s="292"/>
      <c r="D37" s="292">
        <v>1.05</v>
      </c>
      <c r="E37" s="292">
        <v>0</v>
      </c>
      <c r="F37" s="292">
        <v>0</v>
      </c>
      <c r="G37" s="292"/>
      <c r="H37" s="292"/>
      <c r="I37" s="292"/>
      <c r="J37" s="292"/>
      <c r="K37" s="292"/>
      <c r="L37" s="292"/>
      <c r="M37" s="292"/>
      <c r="N37" s="292"/>
      <c r="O37" s="292">
        <f t="shared" si="6"/>
        <v>1.05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6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6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6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6"/>
        <v>0</v>
      </c>
    </row>
    <row r="42" spans="1:15" x14ac:dyDescent="0.15">
      <c r="A42" s="291" t="s">
        <v>54</v>
      </c>
      <c r="B42" s="292">
        <v>10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6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6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2">
        <f t="shared" si="6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si="6"/>
        <v>0</v>
      </c>
    </row>
    <row r="46" spans="1:15" x14ac:dyDescent="0.15">
      <c r="A46" s="291" t="s">
        <v>58</v>
      </c>
      <c r="B46" s="296">
        <f>B36+B37-B42</f>
        <v>255.5105979670011</v>
      </c>
      <c r="C46" s="292">
        <v>69.891005000000007</v>
      </c>
      <c r="D46" s="296">
        <v>83.287120999999999</v>
      </c>
      <c r="E46" s="296">
        <v>97.323334999999901</v>
      </c>
      <c r="F46" s="296">
        <v>74.571109000000007</v>
      </c>
      <c r="G46" s="296">
        <f t="shared" ref="G46:N46" si="8">G36+G37-G42</f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6"/>
        <v>325.07256999999993</v>
      </c>
    </row>
    <row r="47" spans="1:15" x14ac:dyDescent="0.15">
      <c r="A47" s="291" t="s">
        <v>59</v>
      </c>
      <c r="B47" s="297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6"/>
        <v>0</v>
      </c>
    </row>
    <row r="48" spans="1:15" x14ac:dyDescent="0.15">
      <c r="A48" s="291" t="s">
        <v>60</v>
      </c>
      <c r="B48" s="297"/>
      <c r="C48" s="292">
        <v>69.891005000000007</v>
      </c>
      <c r="D48" s="292">
        <v>83.287120999999999</v>
      </c>
      <c r="E48" s="292">
        <v>97.323334999999901</v>
      </c>
      <c r="F48" s="292">
        <v>74.571109000000007</v>
      </c>
      <c r="G48" s="292"/>
      <c r="H48" s="292"/>
      <c r="I48" s="292"/>
      <c r="J48" s="292"/>
      <c r="K48" s="292"/>
      <c r="L48" s="292"/>
      <c r="M48" s="292"/>
      <c r="N48" s="292"/>
      <c r="O48" s="292">
        <f t="shared" si="6"/>
        <v>325.07256999999993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6"/>
        <v>0</v>
      </c>
    </row>
    <row r="50" spans="1:15" ht="24" hidden="1" x14ac:dyDescent="0.15">
      <c r="A50" s="291" t="s">
        <v>62</v>
      </c>
      <c r="B50" s="298"/>
      <c r="C50" s="292">
        <v>69.891005000000007</v>
      </c>
      <c r="D50" s="292">
        <v>83.287120999999999</v>
      </c>
      <c r="E50" s="292">
        <v>97.323334999999901</v>
      </c>
      <c r="F50" s="292">
        <v>74.571109000000007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6"/>
        <v>325.07256999999993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6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6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6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6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6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6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6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6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6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6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6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6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29.630772</v>
      </c>
      <c r="H63" s="292">
        <v>-43.012369</v>
      </c>
      <c r="I63" s="292">
        <v>2.0415780000000199</v>
      </c>
      <c r="J63" s="292">
        <v>5.7144870000000099</v>
      </c>
      <c r="K63" s="292">
        <v>17.770914999999899</v>
      </c>
      <c r="L63" s="292">
        <v>31.401153999999998</v>
      </c>
      <c r="M63" s="292">
        <v>35.977516999999899</v>
      </c>
      <c r="N63" s="292">
        <v>-117.306487</v>
      </c>
      <c r="O63" s="292">
        <f t="shared" si="6"/>
        <v>-37.782433000000168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/>
      <c r="G64" s="292">
        <v>29.630772</v>
      </c>
      <c r="H64" s="292">
        <v>-43.012369</v>
      </c>
      <c r="I64" s="292">
        <v>2.0415780000000199</v>
      </c>
      <c r="J64" s="292">
        <v>5.7144870000000099</v>
      </c>
      <c r="K64" s="292">
        <v>17.770914999999899</v>
      </c>
      <c r="L64" s="292">
        <v>31.401153999999998</v>
      </c>
      <c r="M64" s="292">
        <v>35.977516999999899</v>
      </c>
      <c r="N64" s="292">
        <v>-117.306487</v>
      </c>
      <c r="O64" s="292">
        <f t="shared" si="6"/>
        <v>-37.782433000000168</v>
      </c>
    </row>
    <row r="65" spans="1:17" hidden="1" x14ac:dyDescent="0.15">
      <c r="A65" s="291" t="s">
        <v>77</v>
      </c>
      <c r="B65" s="298"/>
      <c r="C65" s="292">
        <v>69.891005000000007</v>
      </c>
      <c r="D65" s="292"/>
      <c r="E65" s="292">
        <v>97.323334999999901</v>
      </c>
      <c r="F65" s="292">
        <v>74.571109000000007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6"/>
        <v>241.78544899999991</v>
      </c>
    </row>
    <row r="66" spans="1:17" ht="24" hidden="1" x14ac:dyDescent="0.15">
      <c r="A66" s="291" t="s">
        <v>78</v>
      </c>
      <c r="B66" s="298"/>
      <c r="C66" s="292">
        <v>69.891005000000007</v>
      </c>
      <c r="D66" s="292">
        <v>83.287120999999999</v>
      </c>
      <c r="E66" s="292">
        <v>97.323334999999901</v>
      </c>
      <c r="F66" s="292">
        <v>74.571109000000007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6"/>
        <v>325.07256999999993</v>
      </c>
    </row>
    <row r="67" spans="1:17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6"/>
        <v>0</v>
      </c>
    </row>
    <row r="68" spans="1:17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6"/>
        <v>0</v>
      </c>
    </row>
    <row r="69" spans="1:17" hidden="1" x14ac:dyDescent="0.15">
      <c r="A69" s="291" t="s">
        <v>81</v>
      </c>
      <c r="B69" s="299"/>
    </row>
    <row r="70" spans="1:17" hidden="1" x14ac:dyDescent="0.15">
      <c r="A70" s="291" t="s">
        <v>82</v>
      </c>
      <c r="B70" s="299"/>
    </row>
    <row r="71" spans="1:17" x14ac:dyDescent="0.15">
      <c r="B71" s="299"/>
    </row>
    <row r="72" spans="1:1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7" x14ac:dyDescent="0.15">
      <c r="A73" s="303" t="s">
        <v>146</v>
      </c>
      <c r="B73" s="304">
        <f t="shared" ref="B73:O73" si="9">SUM(B74:B78)</f>
        <v>0</v>
      </c>
      <c r="C73" s="304">
        <f t="shared" si="9"/>
        <v>69.878399999999999</v>
      </c>
      <c r="D73" s="304">
        <f t="shared" si="9"/>
        <v>0</v>
      </c>
      <c r="E73" s="304">
        <f t="shared" si="9"/>
        <v>0</v>
      </c>
      <c r="F73" s="304">
        <f t="shared" si="9"/>
        <v>0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69.878399999999999</v>
      </c>
      <c r="Q73" s="46"/>
    </row>
    <row r="74" spans="1:17" x14ac:dyDescent="0.15">
      <c r="A74" s="305" t="s">
        <v>97</v>
      </c>
      <c r="B74" s="306"/>
      <c r="C74" s="85">
        <v>2.1450999999999998</v>
      </c>
      <c r="D74" s="85"/>
      <c r="E74" s="85"/>
      <c r="F74" s="46"/>
      <c r="G74" s="85"/>
      <c r="H74" s="85"/>
      <c r="I74" s="85"/>
      <c r="J74" s="85"/>
      <c r="K74" s="85"/>
      <c r="L74" s="85"/>
      <c r="M74" s="85"/>
      <c r="N74" s="85"/>
      <c r="O74" s="310">
        <f>SUM(C74:N74)</f>
        <v>2.1450999999999998</v>
      </c>
    </row>
    <row r="75" spans="1:17" x14ac:dyDescent="0.15">
      <c r="A75" s="305" t="s">
        <v>98</v>
      </c>
      <c r="B75" s="306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310">
        <f t="shared" ref="O75:O82" si="10">SUM(C75:N75)</f>
        <v>0</v>
      </c>
    </row>
    <row r="76" spans="1:17" x14ac:dyDescent="0.15">
      <c r="A76" s="305" t="s">
        <v>99</v>
      </c>
      <c r="B76" s="306"/>
      <c r="C76" s="85">
        <v>56.688400000000001</v>
      </c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310">
        <f t="shared" si="10"/>
        <v>56.688400000000001</v>
      </c>
    </row>
    <row r="77" spans="1:17" x14ac:dyDescent="0.15">
      <c r="A77" s="305" t="s">
        <v>100</v>
      </c>
      <c r="B77" s="306"/>
      <c r="C77" s="85">
        <v>11.0449</v>
      </c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310">
        <f t="shared" si="10"/>
        <v>11.0449</v>
      </c>
      <c r="P77" s="46"/>
    </row>
    <row r="78" spans="1:17" x14ac:dyDescent="0.15">
      <c r="A78" s="307" t="s">
        <v>101</v>
      </c>
      <c r="B78" s="308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310">
        <f t="shared" si="10"/>
        <v>0</v>
      </c>
    </row>
    <row r="79" spans="1:17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0</v>
      </c>
    </row>
    <row r="80" spans="1:17" x14ac:dyDescent="0.15">
      <c r="A80" s="309" t="s">
        <v>103</v>
      </c>
      <c r="B80" s="310">
        <f t="shared" ref="B80:N80" si="12">B21</f>
        <v>18</v>
      </c>
      <c r="C80" s="310">
        <f t="shared" si="12"/>
        <v>6.1100000000000002E-2</v>
      </c>
      <c r="D80" s="310">
        <f t="shared" si="12"/>
        <v>6.2909999999999994E-2</v>
      </c>
      <c r="E80" s="310">
        <f t="shared" si="12"/>
        <v>7.5310000000000002E-2</v>
      </c>
      <c r="F80" s="310">
        <f t="shared" si="12"/>
        <v>0.140399999999999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0.33971999999999902</v>
      </c>
    </row>
    <row r="81" spans="1:15" x14ac:dyDescent="0.15">
      <c r="A81" s="309" t="s">
        <v>104</v>
      </c>
      <c r="B81" s="310">
        <f t="shared" ref="B81:N81" si="13">B23</f>
        <v>204.349999999999</v>
      </c>
      <c r="C81" s="310">
        <f t="shared" si="13"/>
        <v>6.7339060000000002</v>
      </c>
      <c r="D81" s="310">
        <f t="shared" si="13"/>
        <v>3.4434939999999998</v>
      </c>
      <c r="E81" s="310">
        <f t="shared" si="13"/>
        <v>17.685416999999902</v>
      </c>
      <c r="F81" s="310">
        <f t="shared" si="13"/>
        <v>7.1854179999999896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35.048234999999892</v>
      </c>
    </row>
    <row r="82" spans="1:15" x14ac:dyDescent="0.15">
      <c r="A82" s="309" t="s">
        <v>105</v>
      </c>
      <c r="B82" s="310">
        <f t="shared" ref="B82:N82" si="14">B25</f>
        <v>819.75281873300003</v>
      </c>
      <c r="C82" s="310">
        <f t="shared" si="14"/>
        <v>46.849395000000001</v>
      </c>
      <c r="D82" s="310">
        <f t="shared" si="14"/>
        <v>44.068370999999999</v>
      </c>
      <c r="E82" s="310">
        <f t="shared" si="14"/>
        <v>48.878613999999999</v>
      </c>
      <c r="F82" s="310">
        <f t="shared" si="14"/>
        <v>47.691894999999903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187.4882749999999</v>
      </c>
    </row>
    <row r="83" spans="1:15" x14ac:dyDescent="0.15">
      <c r="A83" s="309" t="s">
        <v>106</v>
      </c>
      <c r="B83" s="310">
        <f t="shared" ref="B83:O84" si="15">B29</f>
        <v>62.87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1.05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85"/>
  <sheetViews>
    <sheetView topLeftCell="A42" workbookViewId="0">
      <selection activeCell="A83" sqref="A83:XFD85"/>
    </sheetView>
  </sheetViews>
  <sheetFormatPr defaultColWidth="9" defaultRowHeight="13.5" x14ac:dyDescent="0.15"/>
  <cols>
    <col min="1" max="1" width="24.125" customWidth="1"/>
    <col min="2" max="2" width="9.25" customWidth="1"/>
    <col min="3" max="15" width="8.875" customWidth="1"/>
  </cols>
  <sheetData>
    <row r="1" spans="1:17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7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7" x14ac:dyDescent="0.15">
      <c r="A3" s="291" t="s">
        <v>14</v>
      </c>
      <c r="B3" s="292">
        <f>B4</f>
        <v>4930.6185968059299</v>
      </c>
      <c r="C3" s="292">
        <f t="shared" ref="C3:N3" si="0">C4</f>
        <v>0</v>
      </c>
      <c r="D3" s="292">
        <f t="shared" si="0"/>
        <v>0</v>
      </c>
      <c r="E3" s="292">
        <f t="shared" si="0"/>
        <v>0</v>
      </c>
      <c r="F3" s="292">
        <f t="shared" si="0"/>
        <v>0</v>
      </c>
      <c r="G3" s="292">
        <f t="shared" si="0"/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 t="shared" ref="O3:O23" si="1">SUM(C3:N3)</f>
        <v>0</v>
      </c>
    </row>
    <row r="4" spans="1:17" x14ac:dyDescent="0.15">
      <c r="A4" s="291" t="s">
        <v>15</v>
      </c>
      <c r="B4" s="292">
        <f>B5+B6</f>
        <v>4930.6185968059299</v>
      </c>
      <c r="C4" s="292">
        <f>C5+C6</f>
        <v>0</v>
      </c>
      <c r="D4" s="292">
        <f t="shared" ref="D4:N4" si="2">D5+D6</f>
        <v>0</v>
      </c>
      <c r="E4" s="292">
        <f t="shared" si="2"/>
        <v>0</v>
      </c>
      <c r="F4" s="292">
        <f t="shared" si="2"/>
        <v>0</v>
      </c>
      <c r="G4" s="292">
        <f t="shared" si="2"/>
        <v>0</v>
      </c>
      <c r="H4" s="292">
        <f t="shared" si="2"/>
        <v>0</v>
      </c>
      <c r="I4" s="292">
        <f t="shared" si="2"/>
        <v>0</v>
      </c>
      <c r="J4" s="292">
        <f t="shared" si="2"/>
        <v>0</v>
      </c>
      <c r="K4" s="292">
        <f t="shared" si="2"/>
        <v>0</v>
      </c>
      <c r="L4" s="292">
        <f t="shared" si="2"/>
        <v>0</v>
      </c>
      <c r="M4" s="292">
        <f t="shared" si="2"/>
        <v>0</v>
      </c>
      <c r="N4" s="292">
        <f t="shared" si="2"/>
        <v>0</v>
      </c>
      <c r="O4" s="292">
        <f t="shared" si="1"/>
        <v>0</v>
      </c>
    </row>
    <row r="5" spans="1:17" x14ac:dyDescent="0.15">
      <c r="A5" s="291" t="s">
        <v>17</v>
      </c>
      <c r="B5" s="292">
        <v>4930.6185968059299</v>
      </c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>
        <f t="shared" si="1"/>
        <v>0</v>
      </c>
    </row>
    <row r="6" spans="1:17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 t="shared" si="1"/>
        <v>0</v>
      </c>
    </row>
    <row r="7" spans="1:17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si="1"/>
        <v>0</v>
      </c>
    </row>
    <row r="8" spans="1:17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1"/>
        <v>0</v>
      </c>
    </row>
    <row r="9" spans="1:17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1"/>
        <v>0</v>
      </c>
    </row>
    <row r="10" spans="1:17" x14ac:dyDescent="0.15">
      <c r="A10" s="291" t="s">
        <v>22</v>
      </c>
      <c r="B10" s="292">
        <f>B11+B21+B23+B25+B29</f>
        <v>3777.5312999999996</v>
      </c>
      <c r="C10" s="292">
        <f t="shared" ref="C10:N10" si="3">C11+C21+C23+C25+C29</f>
        <v>0</v>
      </c>
      <c r="D10" s="292">
        <f t="shared" si="3"/>
        <v>0</v>
      </c>
      <c r="E10" s="292">
        <f t="shared" si="3"/>
        <v>0</v>
      </c>
      <c r="F10" s="292">
        <f t="shared" si="3"/>
        <v>0</v>
      </c>
      <c r="G10" s="292">
        <f t="shared" si="3"/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1"/>
        <v>0</v>
      </c>
      <c r="Q10" s="311"/>
    </row>
    <row r="11" spans="1:17" x14ac:dyDescent="0.15">
      <c r="A11" s="291" t="s">
        <v>23</v>
      </c>
      <c r="B11" s="292">
        <f>B12+B13</f>
        <v>1866.846</v>
      </c>
      <c r="C11" s="292">
        <f>C12+C13</f>
        <v>0</v>
      </c>
      <c r="D11" s="292">
        <f t="shared" ref="D11:N11" si="4">D12+D13</f>
        <v>0</v>
      </c>
      <c r="E11" s="292">
        <f t="shared" si="4"/>
        <v>0</v>
      </c>
      <c r="F11" s="292">
        <f t="shared" si="4"/>
        <v>0</v>
      </c>
      <c r="G11" s="292">
        <f t="shared" si="4"/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292">
        <f t="shared" si="1"/>
        <v>0</v>
      </c>
    </row>
    <row r="12" spans="1:17" x14ac:dyDescent="0.15">
      <c r="A12" s="291" t="s">
        <v>144</v>
      </c>
      <c r="B12" s="293">
        <v>1866.846</v>
      </c>
      <c r="C12" s="293">
        <f>C73</f>
        <v>0</v>
      </c>
      <c r="D12" s="293">
        <f t="shared" ref="D12:N12" si="5">D73</f>
        <v>0</v>
      </c>
      <c r="E12" s="293">
        <f t="shared" si="5"/>
        <v>0</v>
      </c>
      <c r="F12" s="293">
        <f t="shared" si="5"/>
        <v>0</v>
      </c>
      <c r="G12" s="293">
        <f t="shared" si="5"/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2">
        <f t="shared" si="1"/>
        <v>0</v>
      </c>
    </row>
    <row r="13" spans="1:17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1"/>
        <v>0</v>
      </c>
    </row>
    <row r="14" spans="1:17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1"/>
        <v>0</v>
      </c>
    </row>
    <row r="15" spans="1:17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1"/>
        <v>0</v>
      </c>
    </row>
    <row r="16" spans="1:17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1"/>
        <v>0</v>
      </c>
    </row>
    <row r="17" spans="1:17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1"/>
        <v>0</v>
      </c>
    </row>
    <row r="18" spans="1:17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1"/>
        <v>0</v>
      </c>
    </row>
    <row r="19" spans="1:17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1"/>
        <v>0</v>
      </c>
    </row>
    <row r="20" spans="1:17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1"/>
        <v>0</v>
      </c>
    </row>
    <row r="21" spans="1:17" x14ac:dyDescent="0.15">
      <c r="A21" s="291" t="s">
        <v>33</v>
      </c>
      <c r="B21" s="292">
        <v>16.37</v>
      </c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>
        <f t="shared" si="1"/>
        <v>0</v>
      </c>
    </row>
    <row r="22" spans="1:17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1"/>
        <v>0</v>
      </c>
    </row>
    <row r="23" spans="1:17" x14ac:dyDescent="0.15">
      <c r="A23" s="291" t="s">
        <v>35</v>
      </c>
      <c r="B23" s="292">
        <v>508.44529999999997</v>
      </c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>
        <f t="shared" si="1"/>
        <v>0</v>
      </c>
      <c r="Q23" s="46"/>
    </row>
    <row r="24" spans="1:17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ref="O24:O68" si="6">SUM(C24:N24)</f>
        <v>0</v>
      </c>
    </row>
    <row r="25" spans="1:17" x14ac:dyDescent="0.15">
      <c r="A25" s="291" t="s">
        <v>37</v>
      </c>
      <c r="B25" s="292">
        <v>1385.87</v>
      </c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>
        <f t="shared" si="6"/>
        <v>0</v>
      </c>
    </row>
    <row r="26" spans="1:17" hidden="1" x14ac:dyDescent="0.15">
      <c r="A26" s="291" t="s">
        <v>38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>
        <f t="shared" si="6"/>
        <v>0</v>
      </c>
    </row>
    <row r="27" spans="1:17" hidden="1" x14ac:dyDescent="0.15">
      <c r="A27" s="291" t="s">
        <v>39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>
        <f t="shared" si="6"/>
        <v>0</v>
      </c>
    </row>
    <row r="28" spans="1:17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6"/>
        <v>0</v>
      </c>
    </row>
    <row r="29" spans="1:17" x14ac:dyDescent="0.15">
      <c r="A29" s="291" t="s">
        <v>41</v>
      </c>
      <c r="B29" s="292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6"/>
        <v>0</v>
      </c>
    </row>
    <row r="30" spans="1:17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6"/>
        <v>0</v>
      </c>
    </row>
    <row r="31" spans="1:17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6"/>
        <v>0</v>
      </c>
    </row>
    <row r="32" spans="1:17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6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6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6"/>
        <v>0</v>
      </c>
    </row>
    <row r="35" spans="1:15" hidden="1" x14ac:dyDescent="0.15">
      <c r="A35" s="291" t="s">
        <v>47</v>
      </c>
      <c r="B35" s="295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6"/>
        <v>0</v>
      </c>
    </row>
    <row r="36" spans="1:15" x14ac:dyDescent="0.15">
      <c r="A36" s="291" t="s">
        <v>48</v>
      </c>
      <c r="B36" s="295">
        <f>B3-B10+B35</f>
        <v>1153.0872968059302</v>
      </c>
      <c r="C36" s="295">
        <f t="shared" ref="C36:N36" si="7">C3-C10+C35</f>
        <v>0</v>
      </c>
      <c r="D36" s="295">
        <f t="shared" si="7"/>
        <v>0</v>
      </c>
      <c r="E36" s="295">
        <f t="shared" si="7"/>
        <v>0</v>
      </c>
      <c r="F36" s="295">
        <f t="shared" si="7"/>
        <v>0</v>
      </c>
      <c r="G36" s="295">
        <f t="shared" si="7"/>
        <v>0</v>
      </c>
      <c r="H36" s="295">
        <f t="shared" si="7"/>
        <v>0</v>
      </c>
      <c r="I36" s="295">
        <f t="shared" si="7"/>
        <v>0</v>
      </c>
      <c r="J36" s="295">
        <f t="shared" si="7"/>
        <v>0</v>
      </c>
      <c r="K36" s="295">
        <f t="shared" si="7"/>
        <v>0</v>
      </c>
      <c r="L36" s="295">
        <f t="shared" si="7"/>
        <v>0</v>
      </c>
      <c r="M36" s="295">
        <f t="shared" si="7"/>
        <v>0</v>
      </c>
      <c r="N36" s="295">
        <f t="shared" si="7"/>
        <v>0</v>
      </c>
      <c r="O36" s="292">
        <f t="shared" si="6"/>
        <v>0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6"/>
        <v>0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6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6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6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6"/>
        <v>0</v>
      </c>
    </row>
    <row r="42" spans="1:15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6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6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2">
        <f t="shared" si="6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si="6"/>
        <v>0</v>
      </c>
    </row>
    <row r="46" spans="1:15" x14ac:dyDescent="0.15">
      <c r="A46" s="291" t="s">
        <v>58</v>
      </c>
      <c r="B46" s="296">
        <f>B36+B37-B42</f>
        <v>1153.0872968059302</v>
      </c>
      <c r="C46" s="296">
        <f>C36+C37-C42</f>
        <v>0</v>
      </c>
      <c r="D46" s="296">
        <f t="shared" ref="D46:N46" si="8">D36+D37-D42</f>
        <v>0</v>
      </c>
      <c r="E46" s="296">
        <f t="shared" si="8"/>
        <v>0</v>
      </c>
      <c r="F46" s="296">
        <f t="shared" si="8"/>
        <v>0</v>
      </c>
      <c r="G46" s="296">
        <f t="shared" si="8"/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6"/>
        <v>0</v>
      </c>
    </row>
    <row r="47" spans="1:15" x14ac:dyDescent="0.15">
      <c r="A47" s="291" t="s">
        <v>59</v>
      </c>
      <c r="B47" s="297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6"/>
        <v>0</v>
      </c>
    </row>
    <row r="48" spans="1:15" x14ac:dyDescent="0.15">
      <c r="A48" s="291" t="s">
        <v>60</v>
      </c>
      <c r="B48" s="297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>
        <f t="shared" si="6"/>
        <v>0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6"/>
        <v>0</v>
      </c>
    </row>
    <row r="50" spans="1:15" ht="24" hidden="1" x14ac:dyDescent="0.15">
      <c r="A50" s="291" t="s">
        <v>62</v>
      </c>
      <c r="B50" s="298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>
        <f t="shared" si="6"/>
        <v>0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6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6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6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6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6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6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6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6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6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6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6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6"/>
        <v>0</v>
      </c>
    </row>
    <row r="63" spans="1:15" ht="24" hidden="1" x14ac:dyDescent="0.15">
      <c r="A63" s="291" t="s">
        <v>75</v>
      </c>
      <c r="B63" s="298"/>
      <c r="C63" s="292">
        <v>318.901185</v>
      </c>
      <c r="D63" s="292">
        <v>376.998966</v>
      </c>
      <c r="E63" s="292">
        <v>633.58573199999898</v>
      </c>
      <c r="F63" s="292">
        <v>704.08892699999899</v>
      </c>
      <c r="G63" s="292">
        <v>332.81011100000001</v>
      </c>
      <c r="H63" s="292">
        <v>137.35348099999999</v>
      </c>
      <c r="I63" s="292">
        <v>58.0051079999999</v>
      </c>
      <c r="J63" s="292">
        <v>78.671357999999998</v>
      </c>
      <c r="K63" s="292">
        <v>37.623970999999997</v>
      </c>
      <c r="L63" s="292">
        <v>52.969182000000004</v>
      </c>
      <c r="M63" s="292">
        <v>-202.901804</v>
      </c>
      <c r="N63" s="292">
        <v>20.503291999999998</v>
      </c>
      <c r="O63" s="292">
        <f t="shared" si="6"/>
        <v>2548.6095089999976</v>
      </c>
    </row>
    <row r="64" spans="1:15" hidden="1" x14ac:dyDescent="0.15">
      <c r="A64" s="291" t="s">
        <v>76</v>
      </c>
      <c r="B64" s="298"/>
      <c r="C64" s="292">
        <v>318.901185</v>
      </c>
      <c r="D64" s="292">
        <v>376.998966</v>
      </c>
      <c r="E64" s="292">
        <v>633.58573199999898</v>
      </c>
      <c r="F64" s="292">
        <v>704.08892699999899</v>
      </c>
      <c r="G64" s="292">
        <v>332.81011100000001</v>
      </c>
      <c r="H64" s="292">
        <v>137.35348099999999</v>
      </c>
      <c r="I64" s="292">
        <v>58.0051079999999</v>
      </c>
      <c r="J64" s="292">
        <v>78.671357999999998</v>
      </c>
      <c r="K64" s="292">
        <v>37.623970999999997</v>
      </c>
      <c r="L64" s="292">
        <v>52.969182000000004</v>
      </c>
      <c r="M64" s="292">
        <v>-202.901804</v>
      </c>
      <c r="N64" s="292">
        <v>20.503291999999998</v>
      </c>
      <c r="O64" s="292">
        <f t="shared" si="6"/>
        <v>2548.6095089999976</v>
      </c>
    </row>
    <row r="65" spans="1:17" hidden="1" x14ac:dyDescent="0.15">
      <c r="A65" s="291" t="s">
        <v>77</v>
      </c>
      <c r="B65" s="298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>
        <f t="shared" si="6"/>
        <v>0</v>
      </c>
    </row>
    <row r="66" spans="1:17" ht="24" hidden="1" x14ac:dyDescent="0.15">
      <c r="A66" s="291" t="s">
        <v>78</v>
      </c>
      <c r="B66" s="298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>
        <f t="shared" si="6"/>
        <v>0</v>
      </c>
    </row>
    <row r="67" spans="1:17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6"/>
        <v>0</v>
      </c>
    </row>
    <row r="68" spans="1:17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6"/>
        <v>0</v>
      </c>
    </row>
    <row r="69" spans="1:17" hidden="1" x14ac:dyDescent="0.15">
      <c r="A69" s="291" t="s">
        <v>81</v>
      </c>
      <c r="B69" s="299"/>
    </row>
    <row r="70" spans="1:17" hidden="1" x14ac:dyDescent="0.15">
      <c r="A70" s="291" t="s">
        <v>82</v>
      </c>
      <c r="B70" s="299"/>
    </row>
    <row r="71" spans="1:17" x14ac:dyDescent="0.15">
      <c r="B71" s="299"/>
    </row>
    <row r="72" spans="1:1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7" x14ac:dyDescent="0.15">
      <c r="A73" s="303" t="s">
        <v>146</v>
      </c>
      <c r="B73" s="304">
        <f t="shared" ref="B73:O73" si="9">SUM(B74:B78)</f>
        <v>0</v>
      </c>
      <c r="C73" s="304">
        <f t="shared" si="9"/>
        <v>0</v>
      </c>
      <c r="D73" s="304">
        <f t="shared" si="9"/>
        <v>0</v>
      </c>
      <c r="E73" s="304">
        <f t="shared" si="9"/>
        <v>0</v>
      </c>
      <c r="F73" s="304">
        <f t="shared" si="9"/>
        <v>0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0</v>
      </c>
      <c r="Q73" s="46"/>
    </row>
    <row r="74" spans="1:17" x14ac:dyDescent="0.15">
      <c r="A74" s="305" t="s">
        <v>97</v>
      </c>
      <c r="B74" s="30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310">
        <f>SUM(C74:N74)</f>
        <v>0</v>
      </c>
    </row>
    <row r="75" spans="1:17" x14ac:dyDescent="0.15">
      <c r="A75" s="305" t="s">
        <v>98</v>
      </c>
      <c r="B75" s="306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310">
        <f t="shared" ref="O75:O82" si="10">SUM(C75:N75)</f>
        <v>0</v>
      </c>
    </row>
    <row r="76" spans="1:17" x14ac:dyDescent="0.15">
      <c r="A76" s="305" t="s">
        <v>99</v>
      </c>
      <c r="B76" s="306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310">
        <f t="shared" si="10"/>
        <v>0</v>
      </c>
    </row>
    <row r="77" spans="1:17" x14ac:dyDescent="0.15">
      <c r="A77" s="305" t="s">
        <v>100</v>
      </c>
      <c r="B77" s="306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310">
        <f t="shared" si="10"/>
        <v>0</v>
      </c>
      <c r="P77" s="46"/>
    </row>
    <row r="78" spans="1:17" x14ac:dyDescent="0.15">
      <c r="A78" s="307" t="s">
        <v>101</v>
      </c>
      <c r="B78" s="308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310">
        <f t="shared" si="10"/>
        <v>0</v>
      </c>
    </row>
    <row r="79" spans="1:17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0</v>
      </c>
    </row>
    <row r="80" spans="1:17" x14ac:dyDescent="0.15">
      <c r="A80" s="309" t="s">
        <v>103</v>
      </c>
      <c r="B80" s="310">
        <f t="shared" ref="B80:N80" si="12">B21</f>
        <v>16.37</v>
      </c>
      <c r="C80" s="310">
        <f t="shared" si="12"/>
        <v>0</v>
      </c>
      <c r="D80" s="310">
        <f t="shared" si="12"/>
        <v>0</v>
      </c>
      <c r="E80" s="310">
        <f t="shared" si="12"/>
        <v>0</v>
      </c>
      <c r="F80" s="310">
        <f t="shared" si="12"/>
        <v>0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0</v>
      </c>
    </row>
    <row r="81" spans="1:15" x14ac:dyDescent="0.15">
      <c r="A81" s="309" t="s">
        <v>104</v>
      </c>
      <c r="B81" s="310">
        <f t="shared" ref="B81:N81" si="13">B23</f>
        <v>508.44529999999997</v>
      </c>
      <c r="C81" s="310">
        <f t="shared" si="13"/>
        <v>0</v>
      </c>
      <c r="D81" s="310">
        <f t="shared" si="13"/>
        <v>0</v>
      </c>
      <c r="E81" s="310">
        <f t="shared" si="13"/>
        <v>0</v>
      </c>
      <c r="F81" s="310">
        <f t="shared" si="13"/>
        <v>0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0</v>
      </c>
    </row>
    <row r="82" spans="1:15" x14ac:dyDescent="0.15">
      <c r="A82" s="309" t="s">
        <v>105</v>
      </c>
      <c r="B82" s="310">
        <f t="shared" ref="B82:N82" si="14">B25</f>
        <v>1385.87</v>
      </c>
      <c r="C82" s="310">
        <f t="shared" si="14"/>
        <v>0</v>
      </c>
      <c r="D82" s="310">
        <f t="shared" si="14"/>
        <v>0</v>
      </c>
      <c r="E82" s="310">
        <f t="shared" si="14"/>
        <v>0</v>
      </c>
      <c r="F82" s="310">
        <f t="shared" si="14"/>
        <v>0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0</v>
      </c>
    </row>
    <row r="83" spans="1:15" x14ac:dyDescent="0.15">
      <c r="A83" s="309" t="s">
        <v>47</v>
      </c>
      <c r="B83" s="310">
        <f>B34</f>
        <v>0</v>
      </c>
      <c r="C83" s="310">
        <f t="shared" ref="C83:N83" si="15">C34</f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>O29</f>
        <v>0</v>
      </c>
    </row>
    <row r="84" spans="1:15" x14ac:dyDescent="0.15">
      <c r="A84" s="309" t="s">
        <v>107</v>
      </c>
      <c r="B84" s="310">
        <f t="shared" ref="B84:N84" si="16">B36</f>
        <v>1153.0872968059302</v>
      </c>
      <c r="C84" s="310">
        <f t="shared" si="16"/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>O29</f>
        <v>0</v>
      </c>
    </row>
    <row r="85" spans="1:15" x14ac:dyDescent="0.15">
      <c r="A85" s="309" t="s">
        <v>108</v>
      </c>
      <c r="B85" s="310">
        <f>B39</f>
        <v>0</v>
      </c>
      <c r="C85" s="310">
        <f>C39</f>
        <v>0</v>
      </c>
      <c r="D85" s="310">
        <f t="shared" ref="D85:N85" si="17">D39</f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</sheetData>
  <phoneticPr fontId="30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86"/>
  <sheetViews>
    <sheetView workbookViewId="0">
      <selection activeCell="E42" sqref="E42"/>
    </sheetView>
  </sheetViews>
  <sheetFormatPr defaultColWidth="9" defaultRowHeight="13.5" x14ac:dyDescent="0.15"/>
  <cols>
    <col min="1" max="1" width="23.625" customWidth="1"/>
    <col min="2" max="2" width="9.125" customWidth="1"/>
    <col min="3" max="15" width="8.87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0</v>
      </c>
      <c r="C3" s="292"/>
      <c r="D3" s="292"/>
      <c r="E3" s="292"/>
      <c r="F3" s="292">
        <f t="shared" ref="F3:N3" si="0">F4</f>
        <v>0</v>
      </c>
      <c r="G3" s="292">
        <f t="shared" si="0"/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 t="shared" ref="O3:O23" si="1">SUM(C3:N3)</f>
        <v>0</v>
      </c>
    </row>
    <row r="4" spans="1:15" x14ac:dyDescent="0.15">
      <c r="A4" s="291" t="s">
        <v>15</v>
      </c>
      <c r="B4" s="292">
        <f>B5+B6</f>
        <v>0</v>
      </c>
      <c r="C4" s="292"/>
      <c r="D4" s="292"/>
      <c r="E4" s="292"/>
      <c r="F4" s="292">
        <f t="shared" ref="F4:N4" si="2">F5+F6</f>
        <v>0</v>
      </c>
      <c r="G4" s="292">
        <f t="shared" si="2"/>
        <v>0</v>
      </c>
      <c r="H4" s="292">
        <f t="shared" si="2"/>
        <v>0</v>
      </c>
      <c r="I4" s="292">
        <f t="shared" si="2"/>
        <v>0</v>
      </c>
      <c r="J4" s="292">
        <f t="shared" si="2"/>
        <v>0</v>
      </c>
      <c r="K4" s="292">
        <f t="shared" si="2"/>
        <v>0</v>
      </c>
      <c r="L4" s="292">
        <f t="shared" si="2"/>
        <v>0</v>
      </c>
      <c r="M4" s="292">
        <f t="shared" si="2"/>
        <v>0</v>
      </c>
      <c r="N4" s="292">
        <f t="shared" si="2"/>
        <v>0</v>
      </c>
      <c r="O4" s="292">
        <f t="shared" si="1"/>
        <v>0</v>
      </c>
    </row>
    <row r="5" spans="1:15" x14ac:dyDescent="0.15">
      <c r="A5" s="291" t="s">
        <v>17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>
        <f t="shared" si="1"/>
        <v>0</v>
      </c>
    </row>
    <row r="6" spans="1:15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 t="shared" si="1"/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si="1"/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1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1"/>
        <v>0</v>
      </c>
    </row>
    <row r="10" spans="1:15" x14ac:dyDescent="0.15">
      <c r="A10" s="291" t="s">
        <v>22</v>
      </c>
      <c r="B10" s="292">
        <f>B11+B21+B23+B25+B29</f>
        <v>433</v>
      </c>
      <c r="C10" s="292">
        <v>-32.942281000000001</v>
      </c>
      <c r="D10" s="292">
        <v>-26.454219999999999</v>
      </c>
      <c r="E10" s="292">
        <v>-16.899849</v>
      </c>
      <c r="F10" s="292">
        <f t="shared" ref="F10:N10" si="3">F11+F21+F23+F25+F29</f>
        <v>0</v>
      </c>
      <c r="G10" s="292">
        <f t="shared" si="3"/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1"/>
        <v>-76.296350000000004</v>
      </c>
    </row>
    <row r="11" spans="1:15" x14ac:dyDescent="0.15">
      <c r="A11" s="291" t="s">
        <v>23</v>
      </c>
      <c r="B11" s="292">
        <f>B12+B13</f>
        <v>0</v>
      </c>
      <c r="C11" s="292"/>
      <c r="D11" s="292"/>
      <c r="E11" s="292"/>
      <c r="F11" s="292">
        <f t="shared" ref="F11:N11" si="4">F12+F13</f>
        <v>0</v>
      </c>
      <c r="G11" s="292">
        <f t="shared" si="4"/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292">
        <f t="shared" si="1"/>
        <v>0</v>
      </c>
    </row>
    <row r="12" spans="1:15" x14ac:dyDescent="0.15">
      <c r="A12" s="291" t="s">
        <v>144</v>
      </c>
      <c r="B12" s="293"/>
      <c r="C12" s="292"/>
      <c r="D12" s="293"/>
      <c r="E12" s="293"/>
      <c r="F12" s="293">
        <f t="shared" ref="F12:N12" si="5">F73</f>
        <v>0</v>
      </c>
      <c r="G12" s="293">
        <f t="shared" si="5"/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2">
        <f t="shared" si="1"/>
        <v>0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1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1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1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1"/>
        <v>0</v>
      </c>
    </row>
    <row r="17" spans="1:17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1"/>
        <v>0</v>
      </c>
    </row>
    <row r="18" spans="1:17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1"/>
        <v>0</v>
      </c>
    </row>
    <row r="19" spans="1:17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1"/>
        <v>0</v>
      </c>
    </row>
    <row r="20" spans="1:17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1"/>
        <v>0</v>
      </c>
    </row>
    <row r="21" spans="1:17" x14ac:dyDescent="0.15">
      <c r="A21" s="291" t="s">
        <v>33</v>
      </c>
      <c r="B21" s="292">
        <v>5</v>
      </c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>
        <f t="shared" si="1"/>
        <v>0</v>
      </c>
    </row>
    <row r="22" spans="1:17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1"/>
        <v>0</v>
      </c>
    </row>
    <row r="23" spans="1:17" x14ac:dyDescent="0.15">
      <c r="A23" s="291" t="s">
        <v>35</v>
      </c>
      <c r="B23" s="292">
        <v>159.5</v>
      </c>
      <c r="C23" s="292">
        <v>1.3754999999999999</v>
      </c>
      <c r="D23" s="292">
        <v>2.38314</v>
      </c>
      <c r="E23" s="292">
        <v>16.643217</v>
      </c>
      <c r="F23" s="292"/>
      <c r="G23" s="292"/>
      <c r="H23" s="292"/>
      <c r="I23" s="292"/>
      <c r="J23" s="292"/>
      <c r="K23" s="292"/>
      <c r="L23" s="292"/>
      <c r="M23" s="292"/>
      <c r="N23" s="292"/>
      <c r="O23" s="292">
        <f t="shared" si="1"/>
        <v>20.401857</v>
      </c>
      <c r="Q23" s="46"/>
    </row>
    <row r="24" spans="1:17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ref="O24:O68" si="6">SUM(C24:N24)</f>
        <v>0</v>
      </c>
    </row>
    <row r="25" spans="1:17" x14ac:dyDescent="0.15">
      <c r="A25" s="291" t="s">
        <v>37</v>
      </c>
      <c r="B25" s="292">
        <v>268.5</v>
      </c>
      <c r="C25" s="292">
        <v>-34.317780999999997</v>
      </c>
      <c r="D25" s="292">
        <v>-28.83736</v>
      </c>
      <c r="E25" s="292">
        <v>-33.543065999999897</v>
      </c>
      <c r="F25" s="292"/>
      <c r="G25" s="292"/>
      <c r="H25" s="292"/>
      <c r="I25" s="292"/>
      <c r="J25" s="292"/>
      <c r="K25" s="292"/>
      <c r="L25" s="292"/>
      <c r="M25" s="292"/>
      <c r="N25" s="292"/>
      <c r="O25" s="292">
        <f t="shared" si="6"/>
        <v>-96.698206999999897</v>
      </c>
    </row>
    <row r="26" spans="1:17" hidden="1" x14ac:dyDescent="0.15">
      <c r="A26" s="291" t="s">
        <v>38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>
        <f t="shared" si="6"/>
        <v>0</v>
      </c>
    </row>
    <row r="27" spans="1:17" hidden="1" x14ac:dyDescent="0.15">
      <c r="A27" s="291" t="s">
        <v>39</v>
      </c>
      <c r="B27" s="292"/>
      <c r="C27" s="292">
        <v>34.389916999999997</v>
      </c>
      <c r="D27" s="292">
        <v>28.89386</v>
      </c>
      <c r="E27" s="292">
        <v>33.548065999999999</v>
      </c>
      <c r="F27" s="292"/>
      <c r="G27" s="292"/>
      <c r="H27" s="292"/>
      <c r="I27" s="292"/>
      <c r="J27" s="292"/>
      <c r="K27" s="292"/>
      <c r="L27" s="292"/>
      <c r="M27" s="292"/>
      <c r="N27" s="292"/>
      <c r="O27" s="292">
        <f t="shared" si="6"/>
        <v>96.831842999999992</v>
      </c>
    </row>
    <row r="28" spans="1:17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6"/>
        <v>0</v>
      </c>
    </row>
    <row r="29" spans="1:17" x14ac:dyDescent="0.15">
      <c r="A29" s="291" t="s">
        <v>41</v>
      </c>
      <c r="B29" s="292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6"/>
        <v>0</v>
      </c>
    </row>
    <row r="30" spans="1:17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6"/>
        <v>0</v>
      </c>
    </row>
    <row r="31" spans="1:17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6"/>
        <v>0</v>
      </c>
    </row>
    <row r="32" spans="1:17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6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6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6"/>
        <v>0</v>
      </c>
    </row>
    <row r="35" spans="1:15" x14ac:dyDescent="0.15">
      <c r="A35" s="291" t="s">
        <v>47</v>
      </c>
      <c r="B35" s="295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6"/>
        <v>0</v>
      </c>
    </row>
    <row r="36" spans="1:15" x14ac:dyDescent="0.15">
      <c r="A36" s="291" t="s">
        <v>48</v>
      </c>
      <c r="B36" s="295">
        <f>B3-B10+B35</f>
        <v>-433</v>
      </c>
      <c r="C36" s="292">
        <v>32.942281000000001</v>
      </c>
      <c r="D36" s="295">
        <v>26.454219999999999</v>
      </c>
      <c r="E36" s="295">
        <v>16.899849</v>
      </c>
      <c r="F36" s="295">
        <f t="shared" ref="F36:N36" si="7">F3-F10+F35</f>
        <v>0</v>
      </c>
      <c r="G36" s="295">
        <f t="shared" si="7"/>
        <v>0</v>
      </c>
      <c r="H36" s="295">
        <f t="shared" si="7"/>
        <v>0</v>
      </c>
      <c r="I36" s="295">
        <f t="shared" si="7"/>
        <v>0</v>
      </c>
      <c r="J36" s="295">
        <f t="shared" si="7"/>
        <v>0</v>
      </c>
      <c r="K36" s="295">
        <f t="shared" si="7"/>
        <v>0</v>
      </c>
      <c r="L36" s="295">
        <f t="shared" si="7"/>
        <v>0</v>
      </c>
      <c r="M36" s="295">
        <f t="shared" si="7"/>
        <v>0</v>
      </c>
      <c r="N36" s="295">
        <f t="shared" si="7"/>
        <v>0</v>
      </c>
      <c r="O36" s="292">
        <f t="shared" si="6"/>
        <v>76.296350000000004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6"/>
        <v>0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6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6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6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6"/>
        <v>0</v>
      </c>
    </row>
    <row r="42" spans="1:15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6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6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2">
        <f t="shared" si="6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si="6"/>
        <v>0</v>
      </c>
    </row>
    <row r="46" spans="1:15" x14ac:dyDescent="0.15">
      <c r="A46" s="291" t="s">
        <v>58</v>
      </c>
      <c r="B46" s="296">
        <f>B36+B37-B42</f>
        <v>-433</v>
      </c>
      <c r="C46" s="292">
        <v>32.942281000000001</v>
      </c>
      <c r="D46" s="296">
        <v>26.454219999999999</v>
      </c>
      <c r="E46" s="296">
        <v>16.899849</v>
      </c>
      <c r="F46" s="296">
        <f t="shared" ref="F46:N46" si="8">F36+F37-F42</f>
        <v>0</v>
      </c>
      <c r="G46" s="296">
        <f t="shared" si="8"/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6"/>
        <v>76.296350000000004</v>
      </c>
    </row>
    <row r="47" spans="1:15" x14ac:dyDescent="0.15">
      <c r="A47" s="291" t="s">
        <v>59</v>
      </c>
      <c r="B47" s="297"/>
      <c r="C47" s="292"/>
      <c r="D47" s="292"/>
      <c r="E47" s="292">
        <v>19.074088</v>
      </c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6"/>
        <v>19.074088</v>
      </c>
    </row>
    <row r="48" spans="1:15" x14ac:dyDescent="0.15">
      <c r="A48" s="291" t="s">
        <v>60</v>
      </c>
      <c r="B48" s="297"/>
      <c r="C48" s="292">
        <v>32.942281000000001</v>
      </c>
      <c r="D48" s="292">
        <v>26.454219999999999</v>
      </c>
      <c r="E48" s="292">
        <v>-2.174239</v>
      </c>
      <c r="F48" s="292"/>
      <c r="G48" s="292"/>
      <c r="H48" s="292"/>
      <c r="I48" s="292"/>
      <c r="J48" s="292"/>
      <c r="K48" s="292"/>
      <c r="L48" s="292"/>
      <c r="M48" s="292"/>
      <c r="N48" s="292"/>
      <c r="O48" s="292">
        <f t="shared" si="6"/>
        <v>57.222262000000001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6"/>
        <v>0</v>
      </c>
    </row>
    <row r="50" spans="1:15" ht="24" hidden="1" x14ac:dyDescent="0.15">
      <c r="A50" s="291" t="s">
        <v>62</v>
      </c>
      <c r="B50" s="298"/>
      <c r="C50" s="292">
        <v>32.942281000000001</v>
      </c>
      <c r="D50" s="292">
        <v>26.454219999999999</v>
      </c>
      <c r="E50" s="292">
        <v>-2.174239</v>
      </c>
      <c r="F50" s="292"/>
      <c r="G50" s="292"/>
      <c r="H50" s="292"/>
      <c r="I50" s="292"/>
      <c r="J50" s="292"/>
      <c r="K50" s="292"/>
      <c r="L50" s="292"/>
      <c r="M50" s="292"/>
      <c r="N50" s="292"/>
      <c r="O50" s="292">
        <f t="shared" si="6"/>
        <v>57.222262000000001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6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6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6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6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6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6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6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6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6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6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6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6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>
        <v>47.904408999999902</v>
      </c>
      <c r="G63" s="292">
        <v>29.630772</v>
      </c>
      <c r="H63" s="292">
        <v>-43.012369</v>
      </c>
      <c r="I63" s="292">
        <v>2.0415780000000199</v>
      </c>
      <c r="J63" s="292">
        <v>5.7144870000000099</v>
      </c>
      <c r="K63" s="292">
        <v>17.770914999999899</v>
      </c>
      <c r="L63" s="292">
        <v>31.401153999999998</v>
      </c>
      <c r="M63" s="292">
        <v>35.977516999999899</v>
      </c>
      <c r="N63" s="292">
        <v>-117.306487</v>
      </c>
      <c r="O63" s="292">
        <f t="shared" si="6"/>
        <v>10.121975999999734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>
        <v>47.904408999999902</v>
      </c>
      <c r="G64" s="292">
        <v>29.630772</v>
      </c>
      <c r="H64" s="292">
        <v>-43.012369</v>
      </c>
      <c r="I64" s="292">
        <v>2.0415780000000199</v>
      </c>
      <c r="J64" s="292">
        <v>5.7144870000000099</v>
      </c>
      <c r="K64" s="292">
        <v>17.770914999999899</v>
      </c>
      <c r="L64" s="292">
        <v>31.401153999999998</v>
      </c>
      <c r="M64" s="292">
        <v>35.977516999999899</v>
      </c>
      <c r="N64" s="292">
        <v>-117.306487</v>
      </c>
      <c r="O64" s="292">
        <f t="shared" si="6"/>
        <v>10.121975999999734</v>
      </c>
    </row>
    <row r="65" spans="1:17" hidden="1" x14ac:dyDescent="0.15">
      <c r="A65" s="291" t="s">
        <v>77</v>
      </c>
      <c r="B65" s="298"/>
      <c r="C65" s="292">
        <v>32.942281000000001</v>
      </c>
      <c r="D65" s="292">
        <v>26.454219999999999</v>
      </c>
      <c r="E65" s="292">
        <v>-2.174239</v>
      </c>
      <c r="F65" s="292"/>
      <c r="G65" s="292"/>
      <c r="H65" s="292"/>
      <c r="I65" s="292"/>
      <c r="J65" s="292"/>
      <c r="K65" s="292"/>
      <c r="L65" s="292"/>
      <c r="M65" s="292"/>
      <c r="N65" s="292"/>
      <c r="O65" s="292">
        <f t="shared" si="6"/>
        <v>57.222262000000001</v>
      </c>
    </row>
    <row r="66" spans="1:17" ht="24" hidden="1" x14ac:dyDescent="0.15">
      <c r="A66" s="291" t="s">
        <v>78</v>
      </c>
      <c r="B66" s="298"/>
      <c r="C66" s="292">
        <v>32.942281000000001</v>
      </c>
      <c r="D66" s="292">
        <v>26.454219999999999</v>
      </c>
      <c r="E66" s="292">
        <v>-2.174239</v>
      </c>
      <c r="F66" s="292"/>
      <c r="G66" s="292"/>
      <c r="H66" s="292"/>
      <c r="I66" s="292"/>
      <c r="J66" s="292"/>
      <c r="K66" s="292"/>
      <c r="L66" s="292"/>
      <c r="M66" s="292"/>
      <c r="N66" s="292"/>
      <c r="O66" s="292">
        <f t="shared" si="6"/>
        <v>57.222262000000001</v>
      </c>
    </row>
    <row r="67" spans="1:17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6"/>
        <v>0</v>
      </c>
    </row>
    <row r="68" spans="1:17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6"/>
        <v>0</v>
      </c>
    </row>
    <row r="69" spans="1:17" hidden="1" x14ac:dyDescent="0.15">
      <c r="A69" s="291" t="s">
        <v>81</v>
      </c>
      <c r="B69" s="299"/>
    </row>
    <row r="70" spans="1:17" hidden="1" x14ac:dyDescent="0.15">
      <c r="A70" s="291" t="s">
        <v>82</v>
      </c>
      <c r="B70" s="299"/>
    </row>
    <row r="71" spans="1:17" x14ac:dyDescent="0.15">
      <c r="B71" s="299"/>
    </row>
    <row r="72" spans="1:1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7" x14ac:dyDescent="0.15">
      <c r="A73" s="303" t="s">
        <v>146</v>
      </c>
      <c r="B73" s="304">
        <f t="shared" ref="B73:O73" si="9">SUM(B74:B78)</f>
        <v>0</v>
      </c>
      <c r="C73" s="304">
        <f t="shared" si="9"/>
        <v>69.878399999999999</v>
      </c>
      <c r="D73" s="304">
        <f t="shared" si="9"/>
        <v>0</v>
      </c>
      <c r="E73" s="304">
        <f t="shared" si="9"/>
        <v>0</v>
      </c>
      <c r="F73" s="304">
        <f t="shared" si="9"/>
        <v>0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69.878399999999999</v>
      </c>
      <c r="Q73" s="46"/>
    </row>
    <row r="74" spans="1:17" x14ac:dyDescent="0.15">
      <c r="A74" s="305" t="s">
        <v>97</v>
      </c>
      <c r="B74" s="306"/>
      <c r="C74" s="85">
        <v>2.1450999999999998</v>
      </c>
      <c r="D74" s="85"/>
      <c r="E74" s="85"/>
      <c r="F74" s="46"/>
      <c r="G74" s="85"/>
      <c r="H74" s="85"/>
      <c r="I74" s="85"/>
      <c r="J74" s="85"/>
      <c r="K74" s="85"/>
      <c r="L74" s="85"/>
      <c r="M74" s="85"/>
      <c r="N74" s="85"/>
      <c r="O74" s="310">
        <f>SUM(C74:N74)</f>
        <v>2.1450999999999998</v>
      </c>
    </row>
    <row r="75" spans="1:17" x14ac:dyDescent="0.15">
      <c r="A75" s="305" t="s">
        <v>98</v>
      </c>
      <c r="B75" s="306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310">
        <f t="shared" ref="O75:O82" si="10">SUM(C75:N75)</f>
        <v>0</v>
      </c>
    </row>
    <row r="76" spans="1:17" x14ac:dyDescent="0.15">
      <c r="A76" s="305" t="s">
        <v>99</v>
      </c>
      <c r="B76" s="306"/>
      <c r="C76" s="85">
        <v>56.688400000000001</v>
      </c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310">
        <f t="shared" si="10"/>
        <v>56.688400000000001</v>
      </c>
    </row>
    <row r="77" spans="1:17" x14ac:dyDescent="0.15">
      <c r="A77" s="305" t="s">
        <v>100</v>
      </c>
      <c r="B77" s="306"/>
      <c r="C77" s="85">
        <v>11.0449</v>
      </c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310">
        <f t="shared" si="10"/>
        <v>11.0449</v>
      </c>
      <c r="P77" s="46"/>
    </row>
    <row r="78" spans="1:17" x14ac:dyDescent="0.15">
      <c r="A78" s="307" t="s">
        <v>101</v>
      </c>
      <c r="B78" s="308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310">
        <f t="shared" si="10"/>
        <v>0</v>
      </c>
    </row>
    <row r="79" spans="1:17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0</v>
      </c>
    </row>
    <row r="80" spans="1:17" x14ac:dyDescent="0.15">
      <c r="A80" s="309" t="s">
        <v>103</v>
      </c>
      <c r="B80" s="310">
        <f t="shared" ref="B80:N80" si="12">B21</f>
        <v>5</v>
      </c>
      <c r="C80" s="310">
        <f t="shared" si="12"/>
        <v>0</v>
      </c>
      <c r="D80" s="310">
        <f t="shared" si="12"/>
        <v>0</v>
      </c>
      <c r="E80" s="310">
        <f t="shared" si="12"/>
        <v>0</v>
      </c>
      <c r="F80" s="310">
        <f t="shared" si="12"/>
        <v>0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0</v>
      </c>
    </row>
    <row r="81" spans="1:15" x14ac:dyDescent="0.15">
      <c r="A81" s="309" t="s">
        <v>104</v>
      </c>
      <c r="B81" s="310">
        <f t="shared" ref="B81:N81" si="13">B23</f>
        <v>159.5</v>
      </c>
      <c r="C81" s="310">
        <f t="shared" si="13"/>
        <v>1.3754999999999999</v>
      </c>
      <c r="D81" s="310">
        <f t="shared" si="13"/>
        <v>2.38314</v>
      </c>
      <c r="E81" s="310">
        <f t="shared" si="13"/>
        <v>16.643217</v>
      </c>
      <c r="F81" s="310">
        <f t="shared" si="13"/>
        <v>0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20.401857</v>
      </c>
    </row>
    <row r="82" spans="1:15" x14ac:dyDescent="0.15">
      <c r="A82" s="309" t="s">
        <v>105</v>
      </c>
      <c r="B82" s="310">
        <f t="shared" ref="B82:N82" si="14">B25</f>
        <v>268.5</v>
      </c>
      <c r="C82" s="310">
        <f t="shared" si="14"/>
        <v>-34.317780999999997</v>
      </c>
      <c r="D82" s="310">
        <f t="shared" si="14"/>
        <v>-28.83736</v>
      </c>
      <c r="E82" s="310">
        <f t="shared" si="14"/>
        <v>-33.543065999999897</v>
      </c>
      <c r="F82" s="310">
        <f t="shared" si="14"/>
        <v>0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-96.698206999999897</v>
      </c>
    </row>
    <row r="83" spans="1:15" x14ac:dyDescent="0.15">
      <c r="A83" s="309" t="s">
        <v>106</v>
      </c>
      <c r="B83" s="310">
        <f t="shared" ref="B83:O84" si="15">B29</f>
        <v>0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</sheetData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3"/>
  <sheetViews>
    <sheetView workbookViewId="0">
      <pane xSplit="1" ySplit="2" topLeftCell="B3" activePane="bottomRight" state="frozenSplit"/>
      <selection pane="topRight"/>
      <selection pane="bottomLeft"/>
      <selection pane="bottomRight" activeCell="Q36" sqref="Q36"/>
    </sheetView>
  </sheetViews>
  <sheetFormatPr defaultColWidth="9" defaultRowHeight="13.5" x14ac:dyDescent="0.15"/>
  <cols>
    <col min="1" max="1" width="23.75" customWidth="1"/>
    <col min="2" max="2" width="8.625" customWidth="1"/>
    <col min="3" max="5" width="8.125" customWidth="1"/>
    <col min="6" max="6" width="10.25" customWidth="1"/>
    <col min="7" max="7" width="9" customWidth="1"/>
    <col min="8" max="8" width="9.625" customWidth="1"/>
    <col min="9" max="9" width="8.75" customWidth="1"/>
    <col min="10" max="10" width="8" customWidth="1"/>
    <col min="11" max="13" width="8.125" customWidth="1"/>
    <col min="14" max="14" width="8.125" style="78" customWidth="1"/>
    <col min="15" max="15" width="9.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347"/>
      <c r="B2" s="290" t="s">
        <v>0</v>
      </c>
      <c r="C2" s="348" t="s">
        <v>1</v>
      </c>
      <c r="D2" s="348" t="s">
        <v>2</v>
      </c>
      <c r="E2" s="348" t="s">
        <v>3</v>
      </c>
      <c r="F2" s="348" t="s">
        <v>4</v>
      </c>
      <c r="G2" s="348" t="s">
        <v>5</v>
      </c>
      <c r="H2" s="348" t="s">
        <v>6</v>
      </c>
      <c r="I2" s="348" t="s">
        <v>7</v>
      </c>
      <c r="J2" s="348" t="s">
        <v>8</v>
      </c>
      <c r="K2" s="348" t="s">
        <v>9</v>
      </c>
      <c r="L2" s="348" t="s">
        <v>10</v>
      </c>
      <c r="M2" s="348" t="s">
        <v>11</v>
      </c>
      <c r="N2" s="349" t="s">
        <v>12</v>
      </c>
      <c r="O2" s="350" t="s">
        <v>13</v>
      </c>
    </row>
    <row r="3" spans="1:15" x14ac:dyDescent="0.15">
      <c r="A3" s="291" t="s">
        <v>14</v>
      </c>
      <c r="B3" s="292">
        <f>B4</f>
        <v>5981.1398938461498</v>
      </c>
      <c r="C3" s="292">
        <v>574.29209300000002</v>
      </c>
      <c r="D3" s="292">
        <v>607.63820999999996</v>
      </c>
      <c r="E3" s="292">
        <v>713.48253299999999</v>
      </c>
      <c r="F3" s="292">
        <v>738.77523599999995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351">
        <f>SUM(C3:N3)</f>
        <v>2634.1880719999999</v>
      </c>
    </row>
    <row r="4" spans="1:15" x14ac:dyDescent="0.15">
      <c r="A4" s="291" t="s">
        <v>15</v>
      </c>
      <c r="B4" s="292">
        <f>B5+B6</f>
        <v>5981.1398938461498</v>
      </c>
      <c r="C4" s="292">
        <v>574.29209300000002</v>
      </c>
      <c r="D4" s="292">
        <v>607.63820999999996</v>
      </c>
      <c r="E4" s="292">
        <v>713.48253299999999</v>
      </c>
      <c r="F4" s="292">
        <v>738.77523599999995</v>
      </c>
      <c r="G4" s="292">
        <f t="shared" ref="G4:N4" si="1">G5+G6</f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351">
        <f t="shared" ref="O4:O67" si="2">SUM(C4:N4)</f>
        <v>2634.1880719999999</v>
      </c>
    </row>
    <row r="5" spans="1:15" x14ac:dyDescent="0.15">
      <c r="A5" s="291" t="s">
        <v>17</v>
      </c>
      <c r="B5" s="294">
        <v>5981.1398938461498</v>
      </c>
      <c r="C5" s="292">
        <v>574.29209300000002</v>
      </c>
      <c r="D5" s="292">
        <v>607.63820999999996</v>
      </c>
      <c r="E5" s="292">
        <v>713.48253299999999</v>
      </c>
      <c r="F5" s="292">
        <v>738.77523599999995</v>
      </c>
      <c r="G5" s="292"/>
      <c r="H5" s="292"/>
      <c r="I5" s="292"/>
      <c r="J5" s="292"/>
      <c r="K5" s="292"/>
      <c r="L5" s="292"/>
      <c r="M5" s="292"/>
      <c r="N5" s="292"/>
      <c r="O5" s="351">
        <f t="shared" si="2"/>
        <v>2634.1880719999999</v>
      </c>
    </row>
    <row r="6" spans="1:15" x14ac:dyDescent="0.15">
      <c r="A6" s="291" t="s">
        <v>18</v>
      </c>
      <c r="B6" s="297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351">
        <f t="shared" si="2"/>
        <v>0</v>
      </c>
    </row>
    <row r="7" spans="1:15" x14ac:dyDescent="0.15">
      <c r="A7" s="291" t="s">
        <v>19</v>
      </c>
      <c r="B7" s="297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351">
        <f t="shared" si="2"/>
        <v>0</v>
      </c>
    </row>
    <row r="8" spans="1:15" x14ac:dyDescent="0.15">
      <c r="A8" s="291" t="s">
        <v>20</v>
      </c>
      <c r="B8" s="297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351">
        <f t="shared" si="2"/>
        <v>0</v>
      </c>
    </row>
    <row r="9" spans="1:15" x14ac:dyDescent="0.15">
      <c r="A9" s="291" t="s">
        <v>21</v>
      </c>
      <c r="B9" s="297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351">
        <f t="shared" si="2"/>
        <v>0</v>
      </c>
    </row>
    <row r="10" spans="1:15" x14ac:dyDescent="0.15">
      <c r="A10" s="291" t="s">
        <v>22</v>
      </c>
      <c r="B10" s="292">
        <f>B11+B21+B23+B25+B29</f>
        <v>6687.0472</v>
      </c>
      <c r="C10" s="292">
        <v>520.26874299999997</v>
      </c>
      <c r="D10" s="292">
        <v>482.09062499999999</v>
      </c>
      <c r="E10" s="292">
        <v>549.202891999999</v>
      </c>
      <c r="F10" s="292">
        <v>522.985545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351">
        <f t="shared" si="2"/>
        <v>2074.5478049999988</v>
      </c>
    </row>
    <row r="11" spans="1:15" x14ac:dyDescent="0.15">
      <c r="A11" s="291" t="s">
        <v>23</v>
      </c>
      <c r="B11" s="292">
        <f>B12+B13</f>
        <v>4666.1611199999998</v>
      </c>
      <c r="C11" s="292">
        <v>345.64926700000001</v>
      </c>
      <c r="D11" s="292">
        <v>318.84195999999997</v>
      </c>
      <c r="E11" s="292">
        <v>376.54332900000003</v>
      </c>
      <c r="F11" s="292">
        <v>336.355787999999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352">
        <f t="shared" si="2"/>
        <v>1377.390343999999</v>
      </c>
    </row>
    <row r="12" spans="1:15" x14ac:dyDescent="0.15">
      <c r="A12" s="291" t="s">
        <v>144</v>
      </c>
      <c r="B12" s="293">
        <f>B73</f>
        <v>4666.1611199999998</v>
      </c>
      <c r="C12" s="293">
        <v>345.64926700000001</v>
      </c>
      <c r="D12" s="293">
        <v>318.84195999999997</v>
      </c>
      <c r="E12" s="293">
        <v>376.54332900000003</v>
      </c>
      <c r="F12" s="293">
        <v>336.355787999999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351">
        <f t="shared" si="2"/>
        <v>1377.390343999999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351">
        <f t="shared" si="2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351">
        <f t="shared" si="2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351">
        <f t="shared" si="2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351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351">
        <f t="shared" si="2"/>
        <v>0</v>
      </c>
    </row>
    <row r="18" spans="1:15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351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351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351">
        <f t="shared" si="2"/>
        <v>0</v>
      </c>
    </row>
    <row r="21" spans="1:15" ht="15" customHeight="1" x14ac:dyDescent="0.15">
      <c r="A21" s="291" t="s">
        <v>33</v>
      </c>
      <c r="B21" s="292">
        <v>100.27</v>
      </c>
      <c r="C21" s="292">
        <v>9.3085079999999998</v>
      </c>
      <c r="D21" s="292">
        <v>11.649424</v>
      </c>
      <c r="E21" s="292">
        <v>11.71555</v>
      </c>
      <c r="F21" s="292">
        <v>12.499052000000001</v>
      </c>
      <c r="G21" s="292"/>
      <c r="H21" s="292"/>
      <c r="I21" s="292"/>
      <c r="J21" s="292"/>
      <c r="K21" s="292"/>
      <c r="L21" s="292"/>
      <c r="M21" s="292"/>
      <c r="N21" s="292"/>
      <c r="O21" s="351">
        <f t="shared" si="2"/>
        <v>45.172533999999999</v>
      </c>
    </row>
    <row r="22" spans="1:15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351">
        <f t="shared" si="2"/>
        <v>0</v>
      </c>
    </row>
    <row r="23" spans="1:15" x14ac:dyDescent="0.15">
      <c r="A23" s="291" t="s">
        <v>35</v>
      </c>
      <c r="B23" s="292">
        <v>403.55808000000002</v>
      </c>
      <c r="C23" s="292">
        <v>30.869541999999999</v>
      </c>
      <c r="D23" s="292">
        <v>21.840025000000001</v>
      </c>
      <c r="E23" s="292">
        <v>26.773982999999902</v>
      </c>
      <c r="F23" s="292">
        <v>40.684998999999998</v>
      </c>
      <c r="G23" s="292"/>
      <c r="H23" s="292"/>
      <c r="I23" s="292"/>
      <c r="J23" s="292"/>
      <c r="K23" s="292"/>
      <c r="L23" s="292"/>
      <c r="M23" s="292"/>
      <c r="N23" s="292"/>
      <c r="O23" s="351">
        <f t="shared" si="2"/>
        <v>120.1685489999999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351">
        <f t="shared" si="2"/>
        <v>0</v>
      </c>
    </row>
    <row r="25" spans="1:15" ht="14.25" customHeight="1" x14ac:dyDescent="0.15">
      <c r="A25" s="291" t="s">
        <v>37</v>
      </c>
      <c r="B25" s="292">
        <v>1478.058</v>
      </c>
      <c r="C25" s="292">
        <v>134.44142600000001</v>
      </c>
      <c r="D25" s="292">
        <v>129.75921599999899</v>
      </c>
      <c r="E25" s="292">
        <v>134.17003</v>
      </c>
      <c r="F25" s="292">
        <v>133.445706</v>
      </c>
      <c r="G25" s="292"/>
      <c r="H25" s="292"/>
      <c r="I25" s="292"/>
      <c r="J25" s="292"/>
      <c r="K25" s="292"/>
      <c r="L25" s="292"/>
      <c r="M25" s="292"/>
      <c r="N25" s="292"/>
      <c r="O25" s="351">
        <f t="shared" si="2"/>
        <v>531.81637799999896</v>
      </c>
    </row>
    <row r="26" spans="1:15" hidden="1" x14ac:dyDescent="0.15">
      <c r="A26" s="291" t="s">
        <v>38</v>
      </c>
      <c r="B26" s="292"/>
      <c r="C26" s="292">
        <v>134.89683299999999</v>
      </c>
      <c r="D26" s="292">
        <v>129.84622399999901</v>
      </c>
      <c r="E26" s="292">
        <v>134.43059700000001</v>
      </c>
      <c r="F26" s="292">
        <v>133.553662</v>
      </c>
      <c r="G26" s="292"/>
      <c r="H26" s="292"/>
      <c r="I26" s="292"/>
      <c r="J26" s="292"/>
      <c r="K26" s="292"/>
      <c r="L26" s="292"/>
      <c r="M26" s="292"/>
      <c r="N26" s="292"/>
      <c r="O26" s="351">
        <f t="shared" si="2"/>
        <v>532.72731599999906</v>
      </c>
    </row>
    <row r="27" spans="1:15" hidden="1" x14ac:dyDescent="0.15">
      <c r="A27" s="291" t="s">
        <v>39</v>
      </c>
      <c r="B27" s="292"/>
      <c r="C27" s="292">
        <v>0.468887</v>
      </c>
      <c r="D27" s="292">
        <v>0.107427999999999</v>
      </c>
      <c r="E27" s="292">
        <v>0.29856700000000003</v>
      </c>
      <c r="F27" s="292">
        <v>0.120736</v>
      </c>
      <c r="G27" s="292"/>
      <c r="H27" s="292"/>
      <c r="I27" s="292"/>
      <c r="J27" s="292"/>
      <c r="K27" s="292"/>
      <c r="L27" s="292"/>
      <c r="M27" s="292"/>
      <c r="N27" s="292"/>
      <c r="O27" s="351">
        <f t="shared" si="2"/>
        <v>0.995617999999999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351">
        <f t="shared" si="2"/>
        <v>0</v>
      </c>
    </row>
    <row r="29" spans="1:15" x14ac:dyDescent="0.15">
      <c r="A29" s="291" t="s">
        <v>41</v>
      </c>
      <c r="B29" s="292">
        <v>39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351">
        <f t="shared" si="2"/>
        <v>0</v>
      </c>
    </row>
    <row r="30" spans="1:15" hidden="1" x14ac:dyDescent="0.15">
      <c r="A30" s="291" t="s">
        <v>42</v>
      </c>
      <c r="B30" s="297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351">
        <f t="shared" si="2"/>
        <v>0</v>
      </c>
    </row>
    <row r="31" spans="1:15" ht="24" hidden="1" x14ac:dyDescent="0.15">
      <c r="A31" s="291" t="s">
        <v>43</v>
      </c>
      <c r="B31" s="297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351">
        <f t="shared" si="2"/>
        <v>0</v>
      </c>
    </row>
    <row r="32" spans="1:15" ht="24" hidden="1" x14ac:dyDescent="0.15">
      <c r="A32" s="291" t="s">
        <v>44</v>
      </c>
      <c r="B32" s="297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351">
        <f t="shared" si="2"/>
        <v>0</v>
      </c>
    </row>
    <row r="33" spans="1:15" ht="24" hidden="1" x14ac:dyDescent="0.15">
      <c r="A33" s="291" t="s">
        <v>45</v>
      </c>
      <c r="B33" s="297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351">
        <f t="shared" si="2"/>
        <v>0</v>
      </c>
    </row>
    <row r="34" spans="1:15" ht="24" hidden="1" x14ac:dyDescent="0.15">
      <c r="A34" s="291" t="s">
        <v>46</v>
      </c>
      <c r="B34" s="297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351">
        <f t="shared" si="2"/>
        <v>0</v>
      </c>
    </row>
    <row r="35" spans="1:15" x14ac:dyDescent="0.15">
      <c r="A35" s="291" t="s">
        <v>47</v>
      </c>
      <c r="B35" s="292">
        <v>465.9</v>
      </c>
      <c r="C35" s="292"/>
      <c r="D35" s="295"/>
      <c r="E35" s="295">
        <v>46.857067999999998</v>
      </c>
      <c r="F35" s="295">
        <v>50.582591999999998</v>
      </c>
      <c r="G35" s="295"/>
      <c r="H35" s="295"/>
      <c r="I35" s="295"/>
      <c r="J35" s="295"/>
      <c r="K35" s="295"/>
      <c r="L35" s="295"/>
      <c r="M35" s="295"/>
      <c r="N35" s="295"/>
      <c r="O35" s="351">
        <f t="shared" si="2"/>
        <v>97.439660000000003</v>
      </c>
    </row>
    <row r="36" spans="1:15" x14ac:dyDescent="0.15">
      <c r="A36" s="291" t="s">
        <v>48</v>
      </c>
      <c r="B36" s="295">
        <f>B3-B10+B35</f>
        <v>-240.00730615385021</v>
      </c>
      <c r="C36" s="292">
        <v>54.023350000000001</v>
      </c>
      <c r="D36" s="295">
        <v>125.547585</v>
      </c>
      <c r="E36" s="295">
        <v>211.136709</v>
      </c>
      <c r="F36" s="295">
        <v>266.37228299999998</v>
      </c>
      <c r="G36" s="295">
        <f t="shared" ref="G36:N36" si="6">G3-G10+G35</f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 t="shared" si="6"/>
        <v>0</v>
      </c>
      <c r="O36" s="353">
        <f t="shared" si="2"/>
        <v>657.079927</v>
      </c>
    </row>
    <row r="37" spans="1:15" x14ac:dyDescent="0.15">
      <c r="A37" s="291" t="s">
        <v>49</v>
      </c>
      <c r="B37" s="292"/>
      <c r="C37" s="292"/>
      <c r="D37" s="292"/>
      <c r="E37" s="292"/>
      <c r="F37" s="292">
        <v>0.31452999999999998</v>
      </c>
      <c r="G37" s="292"/>
      <c r="H37" s="292"/>
      <c r="I37" s="292"/>
      <c r="J37" s="292"/>
      <c r="K37" s="292"/>
      <c r="L37" s="292"/>
      <c r="M37" s="292"/>
      <c r="N37" s="292"/>
      <c r="O37" s="353">
        <f t="shared" si="2"/>
        <v>0.31452999999999998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353">
        <f t="shared" si="2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353">
        <f t="shared" si="2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353">
        <f t="shared" si="2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353">
        <f t="shared" si="2"/>
        <v>0</v>
      </c>
    </row>
    <row r="42" spans="1:15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353">
        <f t="shared" si="2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353">
        <f t="shared" si="2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54">
        <f t="shared" si="2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353">
        <f t="shared" si="2"/>
        <v>0</v>
      </c>
    </row>
    <row r="46" spans="1:15" x14ac:dyDescent="0.15">
      <c r="A46" s="291" t="s">
        <v>58</v>
      </c>
      <c r="B46" s="296">
        <f>B36+B37-B42</f>
        <v>-240.00730615385021</v>
      </c>
      <c r="C46" s="292">
        <v>54.023350000000001</v>
      </c>
      <c r="D46" s="296">
        <v>125.547585</v>
      </c>
      <c r="E46" s="296">
        <v>211.136709</v>
      </c>
      <c r="F46" s="296">
        <v>266.68681299999997</v>
      </c>
      <c r="G46" s="296">
        <f t="shared" ref="G46:N46" si="7">G36+G37-G42</f>
        <v>0</v>
      </c>
      <c r="H46" s="296">
        <f t="shared" si="7"/>
        <v>0</v>
      </c>
      <c r="I46" s="296">
        <f t="shared" si="7"/>
        <v>0</v>
      </c>
      <c r="J46" s="296">
        <f t="shared" si="7"/>
        <v>0</v>
      </c>
      <c r="K46" s="296">
        <f t="shared" si="7"/>
        <v>0</v>
      </c>
      <c r="L46" s="296">
        <f t="shared" si="7"/>
        <v>0</v>
      </c>
      <c r="M46" s="296">
        <f t="shared" si="7"/>
        <v>0</v>
      </c>
      <c r="N46" s="296">
        <f t="shared" si="7"/>
        <v>0</v>
      </c>
      <c r="O46" s="353">
        <f t="shared" si="2"/>
        <v>657.39445699999987</v>
      </c>
    </row>
    <row r="47" spans="1:15" x14ac:dyDescent="0.15">
      <c r="A47" s="291" t="s">
        <v>59</v>
      </c>
      <c r="B47" s="297"/>
      <c r="C47" s="292"/>
      <c r="D47" s="292"/>
      <c r="E47" s="292">
        <v>58.606147</v>
      </c>
      <c r="F47" s="292">
        <v>0</v>
      </c>
      <c r="G47" s="292"/>
      <c r="H47" s="292"/>
      <c r="I47" s="292"/>
      <c r="J47" s="292"/>
      <c r="K47" s="292"/>
      <c r="L47" s="292"/>
      <c r="M47" s="292"/>
      <c r="N47" s="292"/>
      <c r="O47" s="353">
        <f t="shared" si="2"/>
        <v>58.606147</v>
      </c>
    </row>
    <row r="48" spans="1:15" x14ac:dyDescent="0.15">
      <c r="A48" s="291" t="s">
        <v>60</v>
      </c>
      <c r="B48" s="297"/>
      <c r="C48" s="292">
        <v>54.023350000000001</v>
      </c>
      <c r="D48" s="292">
        <v>125.547585</v>
      </c>
      <c r="E48" s="292">
        <v>152.530562</v>
      </c>
      <c r="F48" s="292">
        <v>266.68681299999901</v>
      </c>
      <c r="G48" s="292"/>
      <c r="H48" s="292"/>
      <c r="I48" s="292"/>
      <c r="J48" s="292"/>
      <c r="K48" s="292"/>
      <c r="L48" s="292"/>
      <c r="M48" s="292"/>
      <c r="N48" s="292"/>
      <c r="O48" s="353">
        <f t="shared" si="2"/>
        <v>598.788309999999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355"/>
      <c r="O49" s="353">
        <f t="shared" si="2"/>
        <v>0</v>
      </c>
    </row>
    <row r="50" spans="1:15" ht="15.75" hidden="1" customHeight="1" x14ac:dyDescent="0.15">
      <c r="A50" s="291" t="s">
        <v>62</v>
      </c>
      <c r="B50" s="298"/>
      <c r="C50" s="292">
        <v>54.023350000000001</v>
      </c>
      <c r="D50" s="292">
        <v>125.547585</v>
      </c>
      <c r="E50" s="292">
        <v>152.530562</v>
      </c>
      <c r="F50" s="292">
        <v>266.68681299999997</v>
      </c>
      <c r="G50" s="292"/>
      <c r="H50" s="292"/>
      <c r="I50" s="292"/>
      <c r="J50" s="292"/>
      <c r="K50" s="292"/>
      <c r="L50" s="292"/>
      <c r="M50" s="292"/>
      <c r="N50" s="355"/>
      <c r="O50" s="353">
        <f t="shared" si="2"/>
        <v>598.78830999999991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355"/>
      <c r="O51" s="356">
        <f t="shared" si="2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355"/>
      <c r="O52" s="356">
        <f t="shared" si="2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355"/>
      <c r="O53" s="356">
        <f t="shared" si="2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355"/>
      <c r="O54" s="356">
        <f t="shared" si="2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355"/>
      <c r="O55" s="356">
        <f t="shared" si="2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355"/>
      <c r="O56" s="356">
        <f t="shared" si="2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355"/>
      <c r="O57" s="356">
        <f t="shared" si="2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355"/>
      <c r="O58" s="356">
        <f t="shared" si="2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355"/>
      <c r="O59" s="356">
        <f t="shared" si="2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355"/>
      <c r="O60" s="356">
        <f t="shared" si="2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355"/>
      <c r="O61" s="356">
        <f t="shared" si="2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355"/>
      <c r="O62" s="356">
        <f t="shared" si="2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-59.493489999999902</v>
      </c>
      <c r="H63" s="292">
        <v>-158.430171</v>
      </c>
      <c r="I63" s="292">
        <v>-106.927328</v>
      </c>
      <c r="J63" s="292">
        <v>-141.19605200000001</v>
      </c>
      <c r="K63" s="292">
        <v>-47.451335000000903</v>
      </c>
      <c r="L63" s="292">
        <v>-42.940033999999898</v>
      </c>
      <c r="M63" s="292">
        <v>-114.219346999999</v>
      </c>
      <c r="N63" s="355">
        <v>-66.427722000002007</v>
      </c>
      <c r="O63" s="356">
        <f t="shared" si="2"/>
        <v>-737.08547900000167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/>
      <c r="G64" s="292">
        <v>-59.493489999999497</v>
      </c>
      <c r="H64" s="292">
        <v>-158.430171</v>
      </c>
      <c r="I64" s="292">
        <v>-106.927328</v>
      </c>
      <c r="J64" s="292">
        <v>-141.19605200000001</v>
      </c>
      <c r="K64" s="292">
        <v>-47.451334999999901</v>
      </c>
      <c r="L64" s="292">
        <v>-42.940033999999898</v>
      </c>
      <c r="M64" s="292">
        <v>-114.219346999999</v>
      </c>
      <c r="N64" s="355">
        <v>-66.427722000002007</v>
      </c>
      <c r="O64" s="356">
        <f t="shared" si="2"/>
        <v>-737.0854790000003</v>
      </c>
    </row>
    <row r="65" spans="1:15" hidden="1" x14ac:dyDescent="0.15">
      <c r="A65" s="291" t="s">
        <v>77</v>
      </c>
      <c r="B65" s="298"/>
      <c r="C65" s="292">
        <v>54.023350000000001</v>
      </c>
      <c r="D65" s="292"/>
      <c r="E65" s="292">
        <v>152.530562</v>
      </c>
      <c r="F65" s="292">
        <v>266.68681299999901</v>
      </c>
      <c r="G65" s="292"/>
      <c r="H65" s="292"/>
      <c r="I65" s="292"/>
      <c r="J65" s="292"/>
      <c r="K65" s="292"/>
      <c r="L65" s="292"/>
      <c r="M65" s="292"/>
      <c r="N65" s="355"/>
      <c r="O65" s="356">
        <f t="shared" si="2"/>
        <v>473.24072499999897</v>
      </c>
    </row>
    <row r="66" spans="1:15" ht="24" hidden="1" x14ac:dyDescent="0.15">
      <c r="A66" s="291" t="s">
        <v>78</v>
      </c>
      <c r="B66" s="298"/>
      <c r="C66" s="292">
        <v>54.023350000000001</v>
      </c>
      <c r="D66" s="292">
        <v>125.547585</v>
      </c>
      <c r="E66" s="292">
        <v>152.530562</v>
      </c>
      <c r="F66" s="292">
        <v>266.68681299999901</v>
      </c>
      <c r="G66" s="292"/>
      <c r="H66" s="292"/>
      <c r="I66" s="292"/>
      <c r="J66" s="292"/>
      <c r="K66" s="292"/>
      <c r="L66" s="292"/>
      <c r="M66" s="292"/>
      <c r="N66" s="355"/>
      <c r="O66" s="356">
        <f t="shared" si="2"/>
        <v>598.788309999999</v>
      </c>
    </row>
    <row r="67" spans="1:15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355"/>
      <c r="O67" s="356">
        <f t="shared" si="2"/>
        <v>0</v>
      </c>
    </row>
    <row r="68" spans="1:15" hidden="1" x14ac:dyDescent="0.15">
      <c r="A68" s="291" t="s">
        <v>80</v>
      </c>
      <c r="B68" s="298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47"/>
      <c r="O68" s="356">
        <f>SUM(C68:N68)</f>
        <v>0</v>
      </c>
    </row>
    <row r="69" spans="1:15" hidden="1" x14ac:dyDescent="0.15">
      <c r="A69" s="291" t="s">
        <v>81</v>
      </c>
      <c r="B69" s="299"/>
    </row>
    <row r="70" spans="1:15" hidden="1" x14ac:dyDescent="0.15">
      <c r="A70" s="291" t="s">
        <v>82</v>
      </c>
      <c r="B70" s="299"/>
    </row>
    <row r="71" spans="1:15" x14ac:dyDescent="0.15">
      <c r="B71" s="299"/>
    </row>
    <row r="72" spans="1:15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59" t="s">
        <v>94</v>
      </c>
      <c r="O72" s="360" t="s">
        <v>95</v>
      </c>
    </row>
    <row r="73" spans="1:15" x14ac:dyDescent="0.15">
      <c r="A73" s="338" t="s">
        <v>145</v>
      </c>
      <c r="B73" s="304">
        <f t="shared" ref="B73:O73" si="8">SUM(B74:B78)</f>
        <v>4666.1611199999998</v>
      </c>
      <c r="C73" s="304">
        <f t="shared" si="8"/>
        <v>345.64926700000001</v>
      </c>
      <c r="D73" s="331">
        <f t="shared" si="8"/>
        <v>318.84195999999997</v>
      </c>
      <c r="E73" s="304">
        <f t="shared" si="8"/>
        <v>377.24603000000002</v>
      </c>
      <c r="F73" s="315">
        <f t="shared" si="8"/>
        <v>336.35578800000002</v>
      </c>
      <c r="G73" s="304">
        <f t="shared" si="8"/>
        <v>0</v>
      </c>
      <c r="H73" s="304">
        <f t="shared" si="8"/>
        <v>0</v>
      </c>
      <c r="I73" s="304">
        <f t="shared" si="8"/>
        <v>0</v>
      </c>
      <c r="J73" s="304">
        <f t="shared" si="8"/>
        <v>0</v>
      </c>
      <c r="K73" s="304">
        <f t="shared" si="8"/>
        <v>0</v>
      </c>
      <c r="L73" s="304">
        <f t="shared" si="8"/>
        <v>0</v>
      </c>
      <c r="M73" s="304">
        <f t="shared" si="8"/>
        <v>0</v>
      </c>
      <c r="N73" s="361">
        <f t="shared" si="8"/>
        <v>0</v>
      </c>
      <c r="O73" s="362">
        <f t="shared" si="8"/>
        <v>1378.0930449999998</v>
      </c>
    </row>
    <row r="74" spans="1:15" x14ac:dyDescent="0.15">
      <c r="A74" s="305" t="s">
        <v>97</v>
      </c>
      <c r="B74" s="345">
        <v>49.2</v>
      </c>
      <c r="C74" s="85">
        <v>4.1835050000000003</v>
      </c>
      <c r="D74" s="85">
        <v>6.1835870000000002</v>
      </c>
      <c r="E74" s="85">
        <v>3.3834719999999998</v>
      </c>
      <c r="F74" s="85"/>
      <c r="G74" s="85"/>
      <c r="H74" s="85"/>
      <c r="I74" s="85"/>
      <c r="J74" s="85"/>
      <c r="K74" s="85"/>
      <c r="L74" s="85"/>
      <c r="M74" s="85"/>
      <c r="N74" s="132"/>
      <c r="O74" s="321">
        <f>SUM(C74:N74)</f>
        <v>13.750563999999999</v>
      </c>
    </row>
    <row r="75" spans="1:15" x14ac:dyDescent="0.15">
      <c r="A75" s="305" t="s">
        <v>98</v>
      </c>
      <c r="B75" s="345">
        <v>508.15</v>
      </c>
      <c r="C75" s="85">
        <v>5.700177</v>
      </c>
      <c r="D75" s="85">
        <v>-3.6410260000000001</v>
      </c>
      <c r="E75" s="85">
        <v>9.5470629999999996</v>
      </c>
      <c r="F75" s="318">
        <v>-2.4629050000000001</v>
      </c>
      <c r="G75" s="85"/>
      <c r="H75" s="85"/>
      <c r="I75" s="320"/>
      <c r="J75" s="85"/>
      <c r="K75" s="85"/>
      <c r="L75" s="85"/>
      <c r="M75" s="85"/>
      <c r="N75" s="132"/>
      <c r="O75" s="310">
        <f t="shared" ref="O75:O82" si="9">SUM(C75:N75)</f>
        <v>9.1433089999999986</v>
      </c>
    </row>
    <row r="76" spans="1:15" x14ac:dyDescent="0.15">
      <c r="A76" s="305" t="s">
        <v>99</v>
      </c>
      <c r="B76" s="345">
        <v>3461.288</v>
      </c>
      <c r="C76" s="85">
        <v>287.83990599999998</v>
      </c>
      <c r="D76" s="85">
        <v>287.83998000000003</v>
      </c>
      <c r="E76" s="85">
        <v>288.36798800000003</v>
      </c>
      <c r="F76" s="85">
        <v>288.01602300000002</v>
      </c>
      <c r="G76" s="85"/>
      <c r="H76" s="85"/>
      <c r="I76" s="85"/>
      <c r="J76" s="85"/>
      <c r="K76" s="85"/>
      <c r="L76" s="85"/>
      <c r="M76" s="85"/>
      <c r="N76" s="132"/>
      <c r="O76" s="310">
        <f t="shared" si="9"/>
        <v>1152.063897</v>
      </c>
    </row>
    <row r="77" spans="1:15" x14ac:dyDescent="0.15">
      <c r="A77" s="305" t="s">
        <v>100</v>
      </c>
      <c r="B77" s="345">
        <v>432.57312000000002</v>
      </c>
      <c r="C77" s="85">
        <v>47.222976000000003</v>
      </c>
      <c r="D77" s="85">
        <v>24.085448</v>
      </c>
      <c r="E77" s="330">
        <v>16.581441999999999</v>
      </c>
      <c r="F77" s="85">
        <v>49.713098000000002</v>
      </c>
      <c r="G77" s="85"/>
      <c r="H77" s="85"/>
      <c r="I77" s="85"/>
      <c r="J77" s="85"/>
      <c r="K77" s="85"/>
      <c r="L77" s="85"/>
      <c r="M77" s="85"/>
      <c r="N77" s="132"/>
      <c r="O77" s="310">
        <f t="shared" si="9"/>
        <v>137.60296399999999</v>
      </c>
    </row>
    <row r="78" spans="1:15" x14ac:dyDescent="0.15">
      <c r="A78" s="307" t="s">
        <v>101</v>
      </c>
      <c r="B78" s="346">
        <v>214.95</v>
      </c>
      <c r="C78" s="85">
        <v>0.70270299999999997</v>
      </c>
      <c r="D78" s="85">
        <v>4.3739710000000001</v>
      </c>
      <c r="E78" s="85">
        <v>59.366064999999999</v>
      </c>
      <c r="F78" s="85">
        <v>1.089572</v>
      </c>
      <c r="G78" s="85"/>
      <c r="H78" s="85"/>
      <c r="I78" s="85"/>
      <c r="J78" s="85"/>
      <c r="K78" s="85"/>
      <c r="L78" s="85"/>
      <c r="M78" s="85"/>
      <c r="N78" s="132"/>
      <c r="O78" s="310">
        <f t="shared" si="9"/>
        <v>65.532311000000007</v>
      </c>
    </row>
    <row r="79" spans="1:15" x14ac:dyDescent="0.15">
      <c r="A79" s="309" t="s">
        <v>102</v>
      </c>
      <c r="B79" s="310">
        <f t="shared" ref="B79:N79" si="10">B13</f>
        <v>0</v>
      </c>
      <c r="C79" s="310">
        <f t="shared" si="10"/>
        <v>0</v>
      </c>
      <c r="D79" s="310">
        <f t="shared" si="10"/>
        <v>0</v>
      </c>
      <c r="E79" s="310">
        <f t="shared" si="10"/>
        <v>0</v>
      </c>
      <c r="F79" s="310">
        <f t="shared" si="10"/>
        <v>0</v>
      </c>
      <c r="G79" s="310">
        <f t="shared" si="10"/>
        <v>0</v>
      </c>
      <c r="H79" s="310">
        <f t="shared" si="10"/>
        <v>0</v>
      </c>
      <c r="I79" s="310">
        <f t="shared" si="10"/>
        <v>0</v>
      </c>
      <c r="J79" s="310">
        <f t="shared" si="10"/>
        <v>0</v>
      </c>
      <c r="K79" s="310">
        <f t="shared" si="10"/>
        <v>0</v>
      </c>
      <c r="L79" s="310">
        <f t="shared" si="10"/>
        <v>0</v>
      </c>
      <c r="M79" s="310">
        <f t="shared" si="10"/>
        <v>0</v>
      </c>
      <c r="N79" s="310">
        <f t="shared" si="10"/>
        <v>0</v>
      </c>
      <c r="O79" s="310">
        <f t="shared" si="9"/>
        <v>0</v>
      </c>
    </row>
    <row r="80" spans="1:15" x14ac:dyDescent="0.15">
      <c r="A80" s="309" t="s">
        <v>103</v>
      </c>
      <c r="B80" s="310">
        <f t="shared" ref="B80:N80" si="11">B21</f>
        <v>100.27</v>
      </c>
      <c r="C80" s="310">
        <f t="shared" si="11"/>
        <v>9.3085079999999998</v>
      </c>
      <c r="D80" s="310">
        <f t="shared" si="11"/>
        <v>11.649424</v>
      </c>
      <c r="E80" s="310">
        <f t="shared" si="11"/>
        <v>11.71555</v>
      </c>
      <c r="F80" s="310">
        <f t="shared" si="11"/>
        <v>12.499052000000001</v>
      </c>
      <c r="G80" s="310">
        <f t="shared" si="11"/>
        <v>0</v>
      </c>
      <c r="H80" s="310">
        <f t="shared" si="11"/>
        <v>0</v>
      </c>
      <c r="I80" s="310">
        <f t="shared" si="11"/>
        <v>0</v>
      </c>
      <c r="J80" s="310">
        <f t="shared" si="11"/>
        <v>0</v>
      </c>
      <c r="K80" s="310">
        <f t="shared" si="11"/>
        <v>0</v>
      </c>
      <c r="L80" s="310">
        <f t="shared" si="11"/>
        <v>0</v>
      </c>
      <c r="M80" s="310">
        <f t="shared" si="11"/>
        <v>0</v>
      </c>
      <c r="N80" s="310">
        <f t="shared" si="11"/>
        <v>0</v>
      </c>
      <c r="O80" s="310">
        <f t="shared" si="9"/>
        <v>45.172533999999999</v>
      </c>
    </row>
    <row r="81" spans="1:15" x14ac:dyDescent="0.15">
      <c r="A81" s="309" t="s">
        <v>104</v>
      </c>
      <c r="B81" s="310">
        <f t="shared" ref="B81:N81" si="12">B23</f>
        <v>403.55808000000002</v>
      </c>
      <c r="C81" s="310">
        <f t="shared" si="12"/>
        <v>30.869541999999999</v>
      </c>
      <c r="D81" s="310">
        <f t="shared" si="12"/>
        <v>21.840025000000001</v>
      </c>
      <c r="E81" s="310">
        <f t="shared" si="12"/>
        <v>26.773982999999902</v>
      </c>
      <c r="F81" s="310">
        <f t="shared" si="12"/>
        <v>40.684998999999998</v>
      </c>
      <c r="G81" s="310">
        <f t="shared" si="12"/>
        <v>0</v>
      </c>
      <c r="H81" s="310">
        <f t="shared" si="12"/>
        <v>0</v>
      </c>
      <c r="I81" s="310">
        <f t="shared" si="12"/>
        <v>0</v>
      </c>
      <c r="J81" s="310">
        <f t="shared" si="12"/>
        <v>0</v>
      </c>
      <c r="K81" s="310">
        <f t="shared" si="12"/>
        <v>0</v>
      </c>
      <c r="L81" s="310">
        <f t="shared" si="12"/>
        <v>0</v>
      </c>
      <c r="M81" s="310">
        <f t="shared" si="12"/>
        <v>0</v>
      </c>
      <c r="N81" s="310">
        <f t="shared" si="12"/>
        <v>0</v>
      </c>
      <c r="O81" s="310">
        <f t="shared" si="9"/>
        <v>120.1685489999999</v>
      </c>
    </row>
    <row r="82" spans="1:15" x14ac:dyDescent="0.15">
      <c r="A82" s="309" t="s">
        <v>105</v>
      </c>
      <c r="B82" s="310">
        <f t="shared" ref="B82:N82" si="13">B25</f>
        <v>1478.058</v>
      </c>
      <c r="C82" s="310">
        <f t="shared" si="13"/>
        <v>134.44142600000001</v>
      </c>
      <c r="D82" s="310">
        <f t="shared" si="13"/>
        <v>129.75921599999899</v>
      </c>
      <c r="E82" s="310">
        <f t="shared" si="13"/>
        <v>134.17003</v>
      </c>
      <c r="F82" s="310">
        <f t="shared" si="13"/>
        <v>133.445706</v>
      </c>
      <c r="G82" s="310">
        <f t="shared" si="13"/>
        <v>0</v>
      </c>
      <c r="H82" s="310">
        <f t="shared" si="13"/>
        <v>0</v>
      </c>
      <c r="I82" s="310">
        <f t="shared" si="13"/>
        <v>0</v>
      </c>
      <c r="J82" s="310">
        <f t="shared" si="13"/>
        <v>0</v>
      </c>
      <c r="K82" s="310">
        <f t="shared" si="13"/>
        <v>0</v>
      </c>
      <c r="L82" s="310">
        <f t="shared" si="13"/>
        <v>0</v>
      </c>
      <c r="M82" s="310">
        <f t="shared" si="13"/>
        <v>0</v>
      </c>
      <c r="N82" s="310">
        <f t="shared" si="13"/>
        <v>0</v>
      </c>
      <c r="O82" s="310">
        <f t="shared" si="9"/>
        <v>531.81637799999896</v>
      </c>
    </row>
    <row r="83" spans="1:15" x14ac:dyDescent="0.15">
      <c r="A83" s="309" t="s">
        <v>106</v>
      </c>
      <c r="B83" s="310">
        <f t="shared" ref="B83:O84" si="14">B29</f>
        <v>39</v>
      </c>
      <c r="C83" s="310">
        <f t="shared" si="14"/>
        <v>0</v>
      </c>
      <c r="D83" s="310">
        <f t="shared" si="14"/>
        <v>0</v>
      </c>
      <c r="E83" s="310">
        <f t="shared" si="14"/>
        <v>0</v>
      </c>
      <c r="F83" s="310">
        <f t="shared" si="14"/>
        <v>0</v>
      </c>
      <c r="G83" s="310">
        <f t="shared" si="14"/>
        <v>0</v>
      </c>
      <c r="H83" s="310">
        <f t="shared" si="14"/>
        <v>0</v>
      </c>
      <c r="I83" s="310">
        <f t="shared" si="14"/>
        <v>0</v>
      </c>
      <c r="J83" s="310">
        <f t="shared" si="14"/>
        <v>0</v>
      </c>
      <c r="K83" s="310">
        <f t="shared" si="14"/>
        <v>0</v>
      </c>
      <c r="L83" s="310">
        <f t="shared" si="14"/>
        <v>0</v>
      </c>
      <c r="M83" s="310">
        <f t="shared" si="14"/>
        <v>0</v>
      </c>
      <c r="N83" s="310">
        <f t="shared" si="14"/>
        <v>0</v>
      </c>
      <c r="O83" s="310">
        <f t="shared" si="14"/>
        <v>0</v>
      </c>
    </row>
    <row r="84" spans="1:15" x14ac:dyDescent="0.15">
      <c r="A84" s="309" t="s">
        <v>47</v>
      </c>
      <c r="B84" s="310">
        <f>B35</f>
        <v>465.9</v>
      </c>
      <c r="C84" s="310">
        <f t="shared" ref="C84:N84" si="15">C35</f>
        <v>0</v>
      </c>
      <c r="D84" s="310">
        <f t="shared" si="15"/>
        <v>0</v>
      </c>
      <c r="E84" s="310">
        <f t="shared" si="15"/>
        <v>46.857067999999998</v>
      </c>
      <c r="F84" s="310">
        <f t="shared" si="15"/>
        <v>50.582591999999998</v>
      </c>
      <c r="G84" s="310">
        <f t="shared" si="15"/>
        <v>0</v>
      </c>
      <c r="H84" s="310">
        <f t="shared" si="15"/>
        <v>0</v>
      </c>
      <c r="I84" s="310">
        <f t="shared" si="15"/>
        <v>0</v>
      </c>
      <c r="J84" s="310">
        <f t="shared" si="15"/>
        <v>0</v>
      </c>
      <c r="K84" s="310">
        <f t="shared" si="15"/>
        <v>0</v>
      </c>
      <c r="L84" s="310">
        <f t="shared" si="15"/>
        <v>0</v>
      </c>
      <c r="M84" s="310">
        <f t="shared" si="15"/>
        <v>0</v>
      </c>
      <c r="N84" s="310">
        <f t="shared" si="15"/>
        <v>0</v>
      </c>
      <c r="O84" s="310">
        <f t="shared" si="14"/>
        <v>0</v>
      </c>
    </row>
    <row r="85" spans="1:15" x14ac:dyDescent="0.15">
      <c r="A85" s="309" t="s">
        <v>107</v>
      </c>
      <c r="B85" s="310">
        <f t="shared" ref="B85:N85" si="16">B37</f>
        <v>0</v>
      </c>
      <c r="C85" s="310">
        <f t="shared" si="16"/>
        <v>0</v>
      </c>
      <c r="D85" s="310">
        <f t="shared" si="16"/>
        <v>0</v>
      </c>
      <c r="E85" s="310">
        <f t="shared" si="16"/>
        <v>0</v>
      </c>
      <c r="F85" s="310">
        <f t="shared" si="16"/>
        <v>0.31452999999999998</v>
      </c>
      <c r="G85" s="310">
        <f t="shared" si="16"/>
        <v>0</v>
      </c>
      <c r="H85" s="310">
        <f t="shared" si="16"/>
        <v>0</v>
      </c>
      <c r="I85" s="310">
        <f t="shared" si="16"/>
        <v>0</v>
      </c>
      <c r="J85" s="310">
        <f t="shared" si="16"/>
        <v>0</v>
      </c>
      <c r="K85" s="310">
        <f t="shared" si="16"/>
        <v>0</v>
      </c>
      <c r="L85" s="310">
        <f t="shared" si="16"/>
        <v>0</v>
      </c>
      <c r="M85" s="310">
        <f t="shared" si="16"/>
        <v>0</v>
      </c>
      <c r="N85" s="310">
        <f t="shared" si="16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7">D40</f>
        <v>0</v>
      </c>
      <c r="E86" s="310">
        <f t="shared" si="17"/>
        <v>0</v>
      </c>
      <c r="F86" s="310">
        <f t="shared" si="17"/>
        <v>0</v>
      </c>
      <c r="G86" s="310">
        <f t="shared" si="17"/>
        <v>0</v>
      </c>
      <c r="H86" s="310">
        <f t="shared" si="17"/>
        <v>0</v>
      </c>
      <c r="I86" s="310">
        <f t="shared" si="17"/>
        <v>0</v>
      </c>
      <c r="J86" s="310">
        <f t="shared" si="17"/>
        <v>0</v>
      </c>
      <c r="K86" s="310">
        <f t="shared" si="17"/>
        <v>0</v>
      </c>
      <c r="L86" s="310">
        <f t="shared" si="17"/>
        <v>0</v>
      </c>
      <c r="M86" s="310">
        <f t="shared" si="17"/>
        <v>0</v>
      </c>
      <c r="N86" s="310">
        <f t="shared" si="17"/>
        <v>0</v>
      </c>
      <c r="O86" s="310">
        <f>O31</f>
        <v>0</v>
      </c>
    </row>
    <row r="89" spans="1:15" x14ac:dyDescent="0.15">
      <c r="M89">
        <v>954610.5</v>
      </c>
    </row>
    <row r="90" spans="1:15" x14ac:dyDescent="0.15">
      <c r="M90">
        <v>372069.97</v>
      </c>
    </row>
    <row r="91" spans="1:15" x14ac:dyDescent="0.15">
      <c r="M91">
        <f>M89-M90</f>
        <v>582540.53</v>
      </c>
    </row>
    <row r="93" spans="1:15" x14ac:dyDescent="0.15">
      <c r="G93" s="358"/>
    </row>
  </sheetData>
  <phoneticPr fontId="3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86"/>
  <sheetViews>
    <sheetView topLeftCell="A77" workbookViewId="0">
      <selection activeCell="A84" sqref="A84:XFD86"/>
    </sheetView>
  </sheetViews>
  <sheetFormatPr defaultColWidth="9" defaultRowHeight="13.5" x14ac:dyDescent="0.15"/>
  <cols>
    <col min="1" max="1" width="23.625" customWidth="1"/>
    <col min="2" max="2" width="9.125" customWidth="1"/>
    <col min="3" max="15" width="8.87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97282.654350183293</v>
      </c>
      <c r="C3" s="292">
        <v>8688.0236389999991</v>
      </c>
      <c r="D3" s="292">
        <v>6589.2287219999998</v>
      </c>
      <c r="E3" s="292">
        <v>9141.0411699999895</v>
      </c>
      <c r="F3" s="292">
        <f t="shared" ref="F3:N3" si="0">F4</f>
        <v>0</v>
      </c>
      <c r="G3" s="292">
        <f t="shared" si="0"/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 t="shared" ref="O3:O23" si="1">SUM(C3:N3)</f>
        <v>24418.293530999988</v>
      </c>
    </row>
    <row r="4" spans="1:15" x14ac:dyDescent="0.15">
      <c r="A4" s="291" t="s">
        <v>15</v>
      </c>
      <c r="B4" s="292">
        <f>B5+B6</f>
        <v>97282.654350183293</v>
      </c>
      <c r="C4" s="292">
        <v>8688.0236389999991</v>
      </c>
      <c r="D4" s="292">
        <v>6589.2287219999998</v>
      </c>
      <c r="E4" s="292">
        <v>9141.0411699999895</v>
      </c>
      <c r="F4" s="292">
        <f t="shared" ref="F4:N4" si="2">F5+F6</f>
        <v>0</v>
      </c>
      <c r="G4" s="292">
        <f t="shared" si="2"/>
        <v>0</v>
      </c>
      <c r="H4" s="292">
        <f t="shared" si="2"/>
        <v>0</v>
      </c>
      <c r="I4" s="292">
        <f t="shared" si="2"/>
        <v>0</v>
      </c>
      <c r="J4" s="292">
        <f t="shared" si="2"/>
        <v>0</v>
      </c>
      <c r="K4" s="292">
        <f t="shared" si="2"/>
        <v>0</v>
      </c>
      <c r="L4" s="292">
        <f t="shared" si="2"/>
        <v>0</v>
      </c>
      <c r="M4" s="292">
        <f t="shared" si="2"/>
        <v>0</v>
      </c>
      <c r="N4" s="292">
        <f t="shared" si="2"/>
        <v>0</v>
      </c>
      <c r="O4" s="292">
        <f t="shared" si="1"/>
        <v>24418.293530999988</v>
      </c>
    </row>
    <row r="5" spans="1:15" x14ac:dyDescent="0.15">
      <c r="A5" s="291" t="s">
        <v>17</v>
      </c>
      <c r="B5" s="292">
        <v>96775.8447501833</v>
      </c>
      <c r="C5" s="292">
        <v>8688.0236389999991</v>
      </c>
      <c r="D5" s="292">
        <v>6589.2287219999998</v>
      </c>
      <c r="E5" s="292">
        <v>9071.2005750000008</v>
      </c>
      <c r="F5" s="292"/>
      <c r="G5" s="292"/>
      <c r="H5" s="292"/>
      <c r="I5" s="292"/>
      <c r="J5" s="292"/>
      <c r="K5" s="292"/>
      <c r="L5" s="292"/>
      <c r="M5" s="292"/>
      <c r="N5" s="292"/>
      <c r="O5" s="292">
        <f t="shared" si="1"/>
        <v>24348.452936000002</v>
      </c>
    </row>
    <row r="6" spans="1:15" x14ac:dyDescent="0.15">
      <c r="A6" s="291" t="s">
        <v>18</v>
      </c>
      <c r="B6" s="292">
        <v>506.80959999999999</v>
      </c>
      <c r="C6" s="292"/>
      <c r="D6" s="292"/>
      <c r="E6" s="292">
        <v>69.840594999999993</v>
      </c>
      <c r="F6" s="292"/>
      <c r="G6" s="292"/>
      <c r="H6" s="292"/>
      <c r="I6" s="292"/>
      <c r="J6" s="292"/>
      <c r="K6" s="292"/>
      <c r="L6" s="292"/>
      <c r="M6" s="292"/>
      <c r="N6" s="292"/>
      <c r="O6" s="292">
        <f t="shared" si="1"/>
        <v>69.840594999999993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si="1"/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1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1"/>
        <v>0</v>
      </c>
    </row>
    <row r="10" spans="1:15" x14ac:dyDescent="0.15">
      <c r="A10" s="291" t="s">
        <v>22</v>
      </c>
      <c r="B10" s="292">
        <f>B11+B21+B23+B25+B29</f>
        <v>87461.953417662502</v>
      </c>
      <c r="C10" s="292">
        <v>6262.0776969999997</v>
      </c>
      <c r="D10" s="292">
        <v>5652.19943099999</v>
      </c>
      <c r="E10" s="292">
        <v>6221.4954159999998</v>
      </c>
      <c r="F10" s="292">
        <f>F11+F21+F23+F25+F29</f>
        <v>0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1"/>
        <v>18135.772543999992</v>
      </c>
    </row>
    <row r="11" spans="1:15" x14ac:dyDescent="0.15">
      <c r="A11" s="291" t="s">
        <v>23</v>
      </c>
      <c r="B11" s="292">
        <f>B12+B13</f>
        <v>53499.345310852499</v>
      </c>
      <c r="C11" s="292">
        <v>3937.3877659999998</v>
      </c>
      <c r="D11" s="292">
        <v>3594.3207600000001</v>
      </c>
      <c r="E11" s="292">
        <v>3726.28279599999</v>
      </c>
      <c r="F11" s="292">
        <f t="shared" ref="F11:N11" si="4">F12+F13</f>
        <v>0</v>
      </c>
      <c r="G11" s="292">
        <f t="shared" si="4"/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292">
        <f t="shared" si="1"/>
        <v>11257.991321999991</v>
      </c>
    </row>
    <row r="12" spans="1:15" x14ac:dyDescent="0.15">
      <c r="A12" s="291" t="s">
        <v>144</v>
      </c>
      <c r="B12" s="293">
        <v>52885.345310852499</v>
      </c>
      <c r="C12" s="292">
        <v>3934.453066</v>
      </c>
      <c r="D12" s="293">
        <v>3591.3860599999998</v>
      </c>
      <c r="E12" s="293">
        <v>3580.0260349999899</v>
      </c>
      <c r="F12" s="293">
        <f t="shared" ref="F12:N12" si="5">F73</f>
        <v>0</v>
      </c>
      <c r="G12" s="293">
        <f t="shared" si="5"/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2">
        <f t="shared" si="1"/>
        <v>11105.865160999991</v>
      </c>
    </row>
    <row r="13" spans="1:15" x14ac:dyDescent="0.15">
      <c r="A13" s="291" t="s">
        <v>25</v>
      </c>
      <c r="B13" s="294">
        <v>614</v>
      </c>
      <c r="C13" s="292">
        <v>2.9346999999999999</v>
      </c>
      <c r="D13" s="292">
        <v>2.9346999999999999</v>
      </c>
      <c r="E13" s="292">
        <v>146.25676100000001</v>
      </c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1"/>
        <v>152.12616100000002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1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1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1"/>
        <v>0</v>
      </c>
    </row>
    <row r="17" spans="1:17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1"/>
        <v>0</v>
      </c>
    </row>
    <row r="18" spans="1:17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1"/>
        <v>0</v>
      </c>
    </row>
    <row r="19" spans="1:17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1"/>
        <v>0</v>
      </c>
    </row>
    <row r="20" spans="1:17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1"/>
        <v>0</v>
      </c>
    </row>
    <row r="21" spans="1:17" x14ac:dyDescent="0.15">
      <c r="A21" s="291" t="s">
        <v>33</v>
      </c>
      <c r="B21" s="294">
        <v>1018.62</v>
      </c>
      <c r="C21" s="292">
        <v>12.748972</v>
      </c>
      <c r="D21" s="292">
        <v>15.113663999999901</v>
      </c>
      <c r="E21" s="292">
        <v>80.494710999999995</v>
      </c>
      <c r="F21" s="292"/>
      <c r="G21" s="292"/>
      <c r="H21" s="292"/>
      <c r="I21" s="292"/>
      <c r="J21" s="292"/>
      <c r="K21" s="292"/>
      <c r="L21" s="292"/>
      <c r="M21" s="292"/>
      <c r="N21" s="292"/>
      <c r="O21" s="292">
        <f t="shared" si="1"/>
        <v>108.35734699999989</v>
      </c>
    </row>
    <row r="22" spans="1:17" hidden="1" x14ac:dyDescent="0.15">
      <c r="A22" s="291" t="s">
        <v>34</v>
      </c>
      <c r="B22" s="292"/>
      <c r="C22" s="292"/>
      <c r="D22" s="292"/>
      <c r="E22" s="292">
        <v>5.8745120000000002</v>
      </c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1"/>
        <v>5.8745120000000002</v>
      </c>
    </row>
    <row r="23" spans="1:17" x14ac:dyDescent="0.15">
      <c r="A23" s="291" t="s">
        <v>35</v>
      </c>
      <c r="B23" s="294">
        <v>7206.7152467100004</v>
      </c>
      <c r="C23" s="292">
        <v>413.06481200000002</v>
      </c>
      <c r="D23" s="292">
        <v>273.36889399999899</v>
      </c>
      <c r="E23" s="292">
        <v>461.430297</v>
      </c>
      <c r="F23" s="292"/>
      <c r="G23" s="292"/>
      <c r="H23" s="292"/>
      <c r="I23" s="292"/>
      <c r="J23" s="292"/>
      <c r="K23" s="292"/>
      <c r="L23" s="292"/>
      <c r="M23" s="292"/>
      <c r="N23" s="292"/>
      <c r="O23" s="292">
        <f t="shared" si="1"/>
        <v>1147.864002999999</v>
      </c>
      <c r="Q23" s="46"/>
    </row>
    <row r="24" spans="1:17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ref="O24:O68" si="6">SUM(C24:N24)</f>
        <v>0</v>
      </c>
    </row>
    <row r="25" spans="1:17" x14ac:dyDescent="0.15">
      <c r="A25" s="291" t="s">
        <v>37</v>
      </c>
      <c r="B25" s="294">
        <v>24697.722860099999</v>
      </c>
      <c r="C25" s="292">
        <v>1898.8761469999999</v>
      </c>
      <c r="D25" s="292">
        <v>1769.396113</v>
      </c>
      <c r="E25" s="292">
        <v>1947.41309999999</v>
      </c>
      <c r="F25" s="292"/>
      <c r="G25" s="292"/>
      <c r="H25" s="292"/>
      <c r="I25" s="292"/>
      <c r="J25" s="292"/>
      <c r="K25" s="292"/>
      <c r="L25" s="292"/>
      <c r="M25" s="292"/>
      <c r="N25" s="292"/>
      <c r="O25" s="292">
        <f t="shared" si="6"/>
        <v>5615.6853599999895</v>
      </c>
    </row>
    <row r="26" spans="1:17" hidden="1" x14ac:dyDescent="0.15">
      <c r="A26" s="291" t="s">
        <v>38</v>
      </c>
      <c r="B26" s="292"/>
      <c r="C26" s="292">
        <v>1938.9869879999901</v>
      </c>
      <c r="D26" s="292">
        <v>1803.833905</v>
      </c>
      <c r="E26" s="292">
        <v>1989.5427009999901</v>
      </c>
      <c r="F26" s="292"/>
      <c r="G26" s="292"/>
      <c r="H26" s="292"/>
      <c r="I26" s="292"/>
      <c r="J26" s="292"/>
      <c r="K26" s="292"/>
      <c r="L26" s="292"/>
      <c r="M26" s="292"/>
      <c r="N26" s="292"/>
      <c r="O26" s="292">
        <f t="shared" si="6"/>
        <v>5732.3635939999804</v>
      </c>
    </row>
    <row r="27" spans="1:17" hidden="1" x14ac:dyDescent="0.15">
      <c r="A27" s="291" t="s">
        <v>39</v>
      </c>
      <c r="B27" s="292"/>
      <c r="C27" s="292">
        <v>40.771048999999998</v>
      </c>
      <c r="D27" s="292">
        <v>35.084352000000003</v>
      </c>
      <c r="E27" s="292">
        <v>42.707483000000003</v>
      </c>
      <c r="F27" s="292"/>
      <c r="G27" s="292"/>
      <c r="H27" s="292"/>
      <c r="I27" s="292"/>
      <c r="J27" s="292"/>
      <c r="K27" s="292"/>
      <c r="L27" s="292"/>
      <c r="M27" s="292"/>
      <c r="N27" s="292"/>
      <c r="O27" s="292">
        <f t="shared" si="6"/>
        <v>118.562884</v>
      </c>
    </row>
    <row r="28" spans="1:17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6"/>
        <v>0</v>
      </c>
    </row>
    <row r="29" spans="1:17" x14ac:dyDescent="0.15">
      <c r="A29" s="291" t="s">
        <v>41</v>
      </c>
      <c r="B29" s="294">
        <v>1039.55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6"/>
        <v>0</v>
      </c>
    </row>
    <row r="30" spans="1:17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6"/>
        <v>0</v>
      </c>
    </row>
    <row r="31" spans="1:17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6"/>
        <v>0</v>
      </c>
    </row>
    <row r="32" spans="1:17" ht="24" hidden="1" x14ac:dyDescent="0.15">
      <c r="A32" s="291" t="s">
        <v>44</v>
      </c>
      <c r="B32" s="292"/>
      <c r="C32" s="292">
        <v>87.439647999999906</v>
      </c>
      <c r="D32" s="292">
        <v>-87.439647999999906</v>
      </c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6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6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6"/>
        <v>0</v>
      </c>
    </row>
    <row r="35" spans="1:15" x14ac:dyDescent="0.15">
      <c r="A35" s="291" t="s">
        <v>47</v>
      </c>
      <c r="B35" s="292">
        <f>SUM(白银!B35,酒一!B35,酒二!B35,青海!B35,哈密!B35,吐鲁番!B35,敦煌!B35,格尔木!B35,石嘴山!B35)</f>
        <v>775.9</v>
      </c>
      <c r="C35" s="292"/>
      <c r="D35" s="295"/>
      <c r="E35" s="295">
        <v>46.857067999999998</v>
      </c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6"/>
        <v>46.857067999999998</v>
      </c>
    </row>
    <row r="36" spans="1:15" x14ac:dyDescent="0.15">
      <c r="A36" s="291" t="s">
        <v>48</v>
      </c>
      <c r="B36" s="295">
        <f>B3-B10+B35</f>
        <v>10596.600932520791</v>
      </c>
      <c r="C36" s="292">
        <v>2425.9459419999998</v>
      </c>
      <c r="D36" s="295">
        <v>937.02929099999994</v>
      </c>
      <c r="E36" s="295">
        <v>2966.402822</v>
      </c>
      <c r="F36" s="295">
        <f>F3-F10+F35</f>
        <v>0</v>
      </c>
      <c r="G36" s="295">
        <f t="shared" ref="G36:N36" si="7">G3-G10+G35</f>
        <v>0</v>
      </c>
      <c r="H36" s="295">
        <f t="shared" si="7"/>
        <v>0</v>
      </c>
      <c r="I36" s="295">
        <f t="shared" si="7"/>
        <v>0</v>
      </c>
      <c r="J36" s="295">
        <f t="shared" si="7"/>
        <v>0</v>
      </c>
      <c r="K36" s="295">
        <f t="shared" si="7"/>
        <v>0</v>
      </c>
      <c r="L36" s="295">
        <f t="shared" si="7"/>
        <v>0</v>
      </c>
      <c r="M36" s="295">
        <f t="shared" si="7"/>
        <v>0</v>
      </c>
      <c r="N36" s="295">
        <f t="shared" si="7"/>
        <v>0</v>
      </c>
      <c r="O36" s="292">
        <f t="shared" si="6"/>
        <v>6329.3780549999992</v>
      </c>
    </row>
    <row r="37" spans="1:15" x14ac:dyDescent="0.15">
      <c r="A37" s="291" t="s">
        <v>49</v>
      </c>
      <c r="B37" s="294">
        <v>3.7999999999990401</v>
      </c>
      <c r="C37" s="292"/>
      <c r="D37" s="292">
        <v>6.6910259999999999</v>
      </c>
      <c r="E37" s="292">
        <v>0</v>
      </c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6"/>
        <v>6.6910259999999999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6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6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6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6"/>
        <v>0</v>
      </c>
    </row>
    <row r="42" spans="1:15" x14ac:dyDescent="0.15">
      <c r="A42" s="291" t="s">
        <v>54</v>
      </c>
      <c r="B42" s="294">
        <v>92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6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6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2">
        <f t="shared" si="6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si="6"/>
        <v>0</v>
      </c>
    </row>
    <row r="46" spans="1:15" x14ac:dyDescent="0.15">
      <c r="A46" s="291" t="s">
        <v>58</v>
      </c>
      <c r="B46" s="296">
        <f>B36+B37-B42</f>
        <v>10508.40093252079</v>
      </c>
      <c r="C46" s="292">
        <v>2425.9459419999998</v>
      </c>
      <c r="D46" s="296">
        <v>943.72031700000002</v>
      </c>
      <c r="E46" s="296">
        <v>2966.40282199999</v>
      </c>
      <c r="F46" s="296">
        <f t="shared" ref="F46:N46" si="8">F36+F37-F42</f>
        <v>0</v>
      </c>
      <c r="G46" s="296">
        <f t="shared" si="8"/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6"/>
        <v>6336.0690809999896</v>
      </c>
    </row>
    <row r="47" spans="1:15" x14ac:dyDescent="0.15">
      <c r="A47" s="291" t="s">
        <v>59</v>
      </c>
      <c r="B47" s="297"/>
      <c r="C47" s="292"/>
      <c r="D47" s="292"/>
      <c r="E47" s="292">
        <v>343.10728699999999</v>
      </c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6"/>
        <v>343.10728699999999</v>
      </c>
    </row>
    <row r="48" spans="1:15" x14ac:dyDescent="0.15">
      <c r="A48" s="291" t="s">
        <v>60</v>
      </c>
      <c r="B48" s="297"/>
      <c r="C48" s="292">
        <v>2425.9459419999998</v>
      </c>
      <c r="D48" s="292">
        <v>943.72031700000002</v>
      </c>
      <c r="E48" s="292">
        <v>2623.2955350000002</v>
      </c>
      <c r="F48" s="292"/>
      <c r="G48" s="292"/>
      <c r="H48" s="292"/>
      <c r="I48" s="292"/>
      <c r="J48" s="292"/>
      <c r="K48" s="292"/>
      <c r="L48" s="292"/>
      <c r="M48" s="292"/>
      <c r="N48" s="292"/>
      <c r="O48" s="292">
        <f t="shared" si="6"/>
        <v>5992.9617939999998</v>
      </c>
    </row>
    <row r="49" spans="1:15" hidden="1" x14ac:dyDescent="0.15">
      <c r="A49" s="291" t="s">
        <v>61</v>
      </c>
      <c r="B49" s="298"/>
      <c r="C49" s="292">
        <v>182.662047977893</v>
      </c>
      <c r="D49" s="292">
        <v>123.33884711055001</v>
      </c>
      <c r="E49" s="292">
        <v>114.027435237148</v>
      </c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6"/>
        <v>420.02833032559101</v>
      </c>
    </row>
    <row r="50" spans="1:15" ht="24" hidden="1" x14ac:dyDescent="0.15">
      <c r="A50" s="291" t="s">
        <v>62</v>
      </c>
      <c r="B50" s="298"/>
      <c r="C50" s="292">
        <v>2243.28389402211</v>
      </c>
      <c r="D50" s="292">
        <v>820.38146988944902</v>
      </c>
      <c r="E50" s="292">
        <v>2509.2680997628499</v>
      </c>
      <c r="F50" s="292"/>
      <c r="G50" s="292"/>
      <c r="H50" s="292"/>
      <c r="I50" s="292"/>
      <c r="J50" s="292"/>
      <c r="K50" s="292"/>
      <c r="L50" s="292"/>
      <c r="M50" s="292"/>
      <c r="N50" s="292"/>
      <c r="O50" s="292">
        <f t="shared" si="6"/>
        <v>5572.9334636744088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6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6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6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6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6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6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6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6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6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6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6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6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>
        <v>47.904408999999902</v>
      </c>
      <c r="G63" s="292">
        <v>29.630772</v>
      </c>
      <c r="H63" s="292">
        <v>-43.012369</v>
      </c>
      <c r="I63" s="292">
        <v>2.0415780000000199</v>
      </c>
      <c r="J63" s="292">
        <v>5.7144870000000099</v>
      </c>
      <c r="K63" s="292">
        <v>17.770914999999899</v>
      </c>
      <c r="L63" s="292">
        <v>31.401153999999998</v>
      </c>
      <c r="M63" s="292">
        <v>35.977516999999899</v>
      </c>
      <c r="N63" s="292">
        <v>-117.306487</v>
      </c>
      <c r="O63" s="292">
        <f t="shared" si="6"/>
        <v>10.121975999999734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>
        <v>47.904408999999902</v>
      </c>
      <c r="G64" s="292">
        <v>29.630772</v>
      </c>
      <c r="H64" s="292">
        <v>-43.012369</v>
      </c>
      <c r="I64" s="292">
        <v>2.0415780000000199</v>
      </c>
      <c r="J64" s="292">
        <v>5.7144870000000099</v>
      </c>
      <c r="K64" s="292">
        <v>17.770914999999899</v>
      </c>
      <c r="L64" s="292">
        <v>31.401153999999998</v>
      </c>
      <c r="M64" s="292">
        <v>35.977516999999899</v>
      </c>
      <c r="N64" s="292">
        <v>-117.306487</v>
      </c>
      <c r="O64" s="292">
        <f t="shared" si="6"/>
        <v>10.121975999999734</v>
      </c>
    </row>
    <row r="65" spans="1:17" hidden="1" x14ac:dyDescent="0.15">
      <c r="A65" s="291" t="s">
        <v>77</v>
      </c>
      <c r="B65" s="298"/>
      <c r="C65" s="292">
        <v>2425.9459419999998</v>
      </c>
      <c r="D65" s="292">
        <v>943.72031700000002</v>
      </c>
      <c r="E65" s="292">
        <v>2623.2955350000002</v>
      </c>
      <c r="F65" s="292"/>
      <c r="G65" s="292"/>
      <c r="H65" s="292"/>
      <c r="I65" s="292"/>
      <c r="J65" s="292"/>
      <c r="K65" s="292"/>
      <c r="L65" s="292"/>
      <c r="M65" s="292"/>
      <c r="N65" s="292"/>
      <c r="O65" s="292">
        <f t="shared" si="6"/>
        <v>5992.9617939999998</v>
      </c>
    </row>
    <row r="66" spans="1:17" ht="24" hidden="1" x14ac:dyDescent="0.15">
      <c r="A66" s="291" t="s">
        <v>78</v>
      </c>
      <c r="B66" s="298"/>
      <c r="C66" s="292">
        <v>2243.28389402211</v>
      </c>
      <c r="D66" s="292">
        <v>820.38146988944004</v>
      </c>
      <c r="E66" s="292">
        <v>2509.2680997628499</v>
      </c>
      <c r="F66" s="292"/>
      <c r="G66" s="292"/>
      <c r="H66" s="292"/>
      <c r="I66" s="292"/>
      <c r="J66" s="292"/>
      <c r="K66" s="292"/>
      <c r="L66" s="292"/>
      <c r="M66" s="292"/>
      <c r="N66" s="292"/>
      <c r="O66" s="292">
        <f t="shared" si="6"/>
        <v>5572.9334636744006</v>
      </c>
    </row>
    <row r="67" spans="1:17" ht="24" hidden="1" x14ac:dyDescent="0.15">
      <c r="A67" s="291" t="s">
        <v>79</v>
      </c>
      <c r="B67" s="298"/>
      <c r="C67" s="292">
        <v>182.662047977893</v>
      </c>
      <c r="D67" s="292">
        <v>123.33884711055001</v>
      </c>
      <c r="E67" s="292">
        <v>114.027435237148</v>
      </c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6"/>
        <v>420.02833032559101</v>
      </c>
    </row>
    <row r="68" spans="1:17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6"/>
        <v>0</v>
      </c>
    </row>
    <row r="69" spans="1:17" hidden="1" x14ac:dyDescent="0.15">
      <c r="A69" s="291" t="s">
        <v>81</v>
      </c>
      <c r="B69" s="299"/>
    </row>
    <row r="70" spans="1:17" hidden="1" x14ac:dyDescent="0.15">
      <c r="A70" s="291" t="s">
        <v>82</v>
      </c>
      <c r="B70" s="299"/>
    </row>
    <row r="71" spans="1:17" x14ac:dyDescent="0.15">
      <c r="B71" s="299"/>
    </row>
    <row r="72" spans="1:1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7" x14ac:dyDescent="0.15">
      <c r="A73" s="303" t="s">
        <v>146</v>
      </c>
      <c r="B73" s="304">
        <f t="shared" ref="B73:O73" si="9">SUM(B74:B78)</f>
        <v>0</v>
      </c>
      <c r="C73" s="304">
        <f t="shared" si="9"/>
        <v>69.878399999999999</v>
      </c>
      <c r="D73" s="304">
        <f t="shared" si="9"/>
        <v>0</v>
      </c>
      <c r="E73" s="304">
        <f t="shared" si="9"/>
        <v>0</v>
      </c>
      <c r="F73" s="304">
        <f t="shared" si="9"/>
        <v>0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69.878399999999999</v>
      </c>
      <c r="Q73" s="46"/>
    </row>
    <row r="74" spans="1:17" x14ac:dyDescent="0.15">
      <c r="A74" s="305" t="s">
        <v>97</v>
      </c>
      <c r="B74" s="306"/>
      <c r="C74" s="85">
        <v>2.1450999999999998</v>
      </c>
      <c r="D74" s="85"/>
      <c r="E74" s="85"/>
      <c r="F74" s="46"/>
      <c r="G74" s="85"/>
      <c r="H74" s="85"/>
      <c r="I74" s="85"/>
      <c r="J74" s="85"/>
      <c r="K74" s="85"/>
      <c r="L74" s="85"/>
      <c r="M74" s="85"/>
      <c r="N74" s="85"/>
      <c r="O74" s="310">
        <f>SUM(C74:N74)</f>
        <v>2.1450999999999998</v>
      </c>
    </row>
    <row r="75" spans="1:17" x14ac:dyDescent="0.15">
      <c r="A75" s="305" t="s">
        <v>98</v>
      </c>
      <c r="B75" s="306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310">
        <f t="shared" ref="O75:O82" si="10">SUM(C75:N75)</f>
        <v>0</v>
      </c>
    </row>
    <row r="76" spans="1:17" x14ac:dyDescent="0.15">
      <c r="A76" s="305" t="s">
        <v>99</v>
      </c>
      <c r="B76" s="306"/>
      <c r="C76" s="85">
        <v>56.688400000000001</v>
      </c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310">
        <f t="shared" si="10"/>
        <v>56.688400000000001</v>
      </c>
    </row>
    <row r="77" spans="1:17" x14ac:dyDescent="0.15">
      <c r="A77" s="305" t="s">
        <v>100</v>
      </c>
      <c r="B77" s="306"/>
      <c r="C77" s="85">
        <v>11.0449</v>
      </c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310">
        <f t="shared" si="10"/>
        <v>11.0449</v>
      </c>
      <c r="P77" s="46"/>
    </row>
    <row r="78" spans="1:17" x14ac:dyDescent="0.15">
      <c r="A78" s="307" t="s">
        <v>101</v>
      </c>
      <c r="B78" s="308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310">
        <f t="shared" si="10"/>
        <v>0</v>
      </c>
    </row>
    <row r="79" spans="1:17" x14ac:dyDescent="0.15">
      <c r="A79" s="309" t="s">
        <v>102</v>
      </c>
      <c r="B79" s="310">
        <f t="shared" ref="B79:N79" si="11">B13</f>
        <v>614</v>
      </c>
      <c r="C79" s="310">
        <f t="shared" si="11"/>
        <v>2.9346999999999999</v>
      </c>
      <c r="D79" s="310">
        <f t="shared" si="11"/>
        <v>2.9346999999999999</v>
      </c>
      <c r="E79" s="310">
        <f t="shared" si="11"/>
        <v>146.25676100000001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152.12616100000002</v>
      </c>
    </row>
    <row r="80" spans="1:17" x14ac:dyDescent="0.15">
      <c r="A80" s="309" t="s">
        <v>103</v>
      </c>
      <c r="B80" s="310">
        <f t="shared" ref="B80:N80" si="12">B21</f>
        <v>1018.62</v>
      </c>
      <c r="C80" s="310">
        <f t="shared" si="12"/>
        <v>12.748972</v>
      </c>
      <c r="D80" s="310">
        <f t="shared" si="12"/>
        <v>15.113663999999901</v>
      </c>
      <c r="E80" s="310">
        <f t="shared" si="12"/>
        <v>80.494710999999995</v>
      </c>
      <c r="F80" s="310">
        <f t="shared" si="12"/>
        <v>0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108.35734699999989</v>
      </c>
    </row>
    <row r="81" spans="1:15" x14ac:dyDescent="0.15">
      <c r="A81" s="309" t="s">
        <v>104</v>
      </c>
      <c r="B81" s="310">
        <f t="shared" ref="B81:N81" si="13">B23</f>
        <v>7206.7152467100004</v>
      </c>
      <c r="C81" s="310">
        <f t="shared" si="13"/>
        <v>413.06481200000002</v>
      </c>
      <c r="D81" s="310">
        <f t="shared" si="13"/>
        <v>273.36889399999899</v>
      </c>
      <c r="E81" s="310">
        <f t="shared" si="13"/>
        <v>461.430297</v>
      </c>
      <c r="F81" s="310">
        <f t="shared" si="13"/>
        <v>0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1147.864002999999</v>
      </c>
    </row>
    <row r="82" spans="1:15" x14ac:dyDescent="0.15">
      <c r="A82" s="309" t="s">
        <v>105</v>
      </c>
      <c r="B82" s="310">
        <f t="shared" ref="B82:N82" si="14">B25</f>
        <v>24697.722860099999</v>
      </c>
      <c r="C82" s="310">
        <f t="shared" si="14"/>
        <v>1898.8761469999999</v>
      </c>
      <c r="D82" s="310">
        <f t="shared" si="14"/>
        <v>1769.396113</v>
      </c>
      <c r="E82" s="310">
        <f t="shared" si="14"/>
        <v>1947.41309999999</v>
      </c>
      <c r="F82" s="310">
        <f t="shared" si="14"/>
        <v>0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5615.6853599999895</v>
      </c>
    </row>
    <row r="83" spans="1:15" x14ac:dyDescent="0.15">
      <c r="A83" s="309" t="s">
        <v>106</v>
      </c>
      <c r="B83" s="310">
        <f t="shared" ref="B83:O84" si="15">B29</f>
        <v>1039.55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775.9</v>
      </c>
      <c r="C84" s="310">
        <f t="shared" ref="C84:N84" si="16">C35</f>
        <v>0</v>
      </c>
      <c r="D84" s="310">
        <f t="shared" si="16"/>
        <v>0</v>
      </c>
      <c r="E84" s="310">
        <f t="shared" si="16"/>
        <v>46.857067999999998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3.7999999999990401</v>
      </c>
      <c r="C85" s="310">
        <f t="shared" si="17"/>
        <v>0</v>
      </c>
      <c r="D85" s="310">
        <f t="shared" si="17"/>
        <v>6.6910259999999999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</sheetData>
  <phoneticPr fontId="30" type="noConversion"/>
  <pageMargins left="0.69930555555555596" right="0.69930555555555596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115"/>
  <sheetViews>
    <sheetView topLeftCell="A37" workbookViewId="0">
      <pane xSplit="2" ySplit="4" topLeftCell="C41" activePane="bottomRight" state="frozenSplit"/>
      <selection pane="topRight"/>
      <selection pane="bottomLeft"/>
      <selection pane="bottomRight" activeCell="A63" sqref="A63:AO89"/>
    </sheetView>
  </sheetViews>
  <sheetFormatPr defaultColWidth="9" defaultRowHeight="12" x14ac:dyDescent="0.15"/>
  <cols>
    <col min="1" max="1" width="13.875" style="203" customWidth="1"/>
    <col min="2" max="2" width="9.875" style="241" customWidth="1"/>
    <col min="3" max="15" width="8.75" style="203" customWidth="1"/>
    <col min="16" max="16" width="9.25" style="203" customWidth="1"/>
    <col min="17" max="29" width="8" style="203" customWidth="1"/>
    <col min="30" max="16384" width="9" style="203"/>
  </cols>
  <sheetData>
    <row r="1" spans="1:15" x14ac:dyDescent="0.15">
      <c r="A1" s="164" t="s">
        <v>147</v>
      </c>
      <c r="B1" s="26" t="s">
        <v>0</v>
      </c>
      <c r="C1" s="167" t="s">
        <v>83</v>
      </c>
      <c r="D1" s="167" t="s">
        <v>84</v>
      </c>
      <c r="E1" s="167" t="s">
        <v>85</v>
      </c>
      <c r="F1" s="167" t="s">
        <v>86</v>
      </c>
      <c r="G1" s="167" t="s">
        <v>87</v>
      </c>
      <c r="H1" s="167" t="s">
        <v>88</v>
      </c>
      <c r="I1" s="167" t="s">
        <v>89</v>
      </c>
      <c r="J1" s="167" t="s">
        <v>90</v>
      </c>
      <c r="K1" s="167" t="s">
        <v>91</v>
      </c>
      <c r="L1" s="167" t="s">
        <v>92</v>
      </c>
      <c r="M1" s="167" t="s">
        <v>93</v>
      </c>
      <c r="N1" s="167" t="s">
        <v>94</v>
      </c>
      <c r="O1" s="44" t="s">
        <v>111</v>
      </c>
    </row>
    <row r="2" spans="1:15" x14ac:dyDescent="0.15">
      <c r="A2" s="36" t="s">
        <v>148</v>
      </c>
      <c r="B2" s="26"/>
      <c r="C2" s="242">
        <f>营业总收入!C2/结算电量表!Q18*1.17</f>
        <v>0.56092425711747707</v>
      </c>
      <c r="D2" s="242">
        <f>营业总收入!D2/结算电量表!R18*1.17</f>
        <v>0.5764690123044498</v>
      </c>
      <c r="E2" s="242">
        <f>营业总收入!E2/结算电量表!S18*1.17</f>
        <v>0.57648073984704673</v>
      </c>
      <c r="F2" s="242">
        <f>营业总收入!F2/结算电量表!T18*1.17</f>
        <v>0.57628867445206888</v>
      </c>
      <c r="G2" s="242">
        <f>营业总收入!G2/结算电量表!U18*1.17</f>
        <v>0.57574942162731879</v>
      </c>
      <c r="H2" s="242">
        <f>营业总收入!H2/结算电量表!V18*1.17</f>
        <v>0.57684256766465314</v>
      </c>
      <c r="I2" s="242">
        <f>营业总收入!I2/结算电量表!W18*1.17</f>
        <v>0.57715380075017797</v>
      </c>
      <c r="J2" s="242">
        <f>营业总收入!J2/结算电量表!X18*1.17</f>
        <v>0.48062873129235423</v>
      </c>
      <c r="K2" s="242">
        <f>营业总收入!K2/结算电量表!Y18*1.17</f>
        <v>0.55785400891227999</v>
      </c>
      <c r="L2" s="242">
        <f>营业总收入!L2/结算电量表!Z18*1.17</f>
        <v>0.51810236762562811</v>
      </c>
      <c r="M2" s="242">
        <f>营业总收入!M2/结算电量表!AA18*1.17</f>
        <v>0.52288329338691886</v>
      </c>
      <c r="N2" s="242">
        <f>营业总收入!N2/结算电量表!AB18*1.17</f>
        <v>0.56664948629460221</v>
      </c>
      <c r="O2" s="242">
        <f>营业总收入!O2/结算电量表!AC18*1.17</f>
        <v>0.55955363402673441</v>
      </c>
    </row>
    <row r="3" spans="1:15" x14ac:dyDescent="0.15">
      <c r="A3" s="36" t="s">
        <v>149</v>
      </c>
      <c r="B3" s="26"/>
      <c r="C3" s="242">
        <f>营业总收入!C3/结算电量表!Q19*1.17</f>
        <v>0.42334641659305178</v>
      </c>
      <c r="D3" s="242">
        <f>营业总收入!D3/结算电量表!R19*1.17</f>
        <v>0.55000091949620311</v>
      </c>
      <c r="E3" s="242">
        <f>营业总收入!E3/结算电量表!S19*1.17</f>
        <v>0.5500006842952081</v>
      </c>
      <c r="F3" s="242">
        <f>营业总收入!F3/结算电量表!T19*1.17</f>
        <v>0.54999979344748462</v>
      </c>
      <c r="G3" s="242">
        <f>营业总收入!G3/结算电量表!U19*1.17</f>
        <v>0.55000000148136596</v>
      </c>
      <c r="H3" s="242">
        <f>营业总收入!H3/结算电量表!V19*1.17</f>
        <v>0.55000057828000914</v>
      </c>
      <c r="I3" s="242">
        <f>营业总收入!I3/结算电量表!W19*1.17</f>
        <v>0.55000017665114087</v>
      </c>
      <c r="J3" s="242">
        <f>营业总收入!J3/结算电量表!X19*1.17</f>
        <v>0.49561945388556228</v>
      </c>
      <c r="K3" s="242">
        <f>营业总收入!K3/结算电量表!Y19*1.17</f>
        <v>0.51051221622569321</v>
      </c>
      <c r="L3" s="242">
        <f>营业总收入!L3/结算电量表!Z19*1.17</f>
        <v>0.51228161089457958</v>
      </c>
      <c r="M3" s="242">
        <f>营业总收入!M3/结算电量表!AA19*1.17</f>
        <v>0.4998650654372544</v>
      </c>
      <c r="N3" s="242">
        <f>营业总收入!N3/结算电量表!AB19*1.17</f>
        <v>0.46234186114079606</v>
      </c>
      <c r="O3" s="242">
        <f>营业总收入!O3/结算电量表!AC19*1.17</f>
        <v>0.52015378288843339</v>
      </c>
    </row>
    <row r="4" spans="1:15" x14ac:dyDescent="0.15">
      <c r="A4" s="36" t="s">
        <v>150</v>
      </c>
      <c r="B4" s="26"/>
      <c r="C4" s="242">
        <f>营业总收入!C4/结算电量表!Q20*1.17</f>
        <v>0.47556441308266806</v>
      </c>
      <c r="D4" s="242">
        <f>营业总收入!D4/结算电量表!R20*1.17</f>
        <v>0.52059999955574832</v>
      </c>
      <c r="E4" s="242">
        <f>营业总收入!E4/结算电量表!S20*1.17</f>
        <v>0.52060000080234858</v>
      </c>
      <c r="F4" s="242">
        <f>营业总收入!F4/结算电量表!T20*1.17</f>
        <v>0.52059999993844197</v>
      </c>
      <c r="G4" s="242">
        <f>营业总收入!G4/结算电量表!U20*1.17</f>
        <v>0.52059999996149875</v>
      </c>
      <c r="H4" s="242">
        <f>营业总收入!H4/结算电量表!V20*1.17</f>
        <v>0.52060000052992061</v>
      </c>
      <c r="I4" s="242">
        <f>营业总收入!I4/结算电量表!W20*1.17</f>
        <v>0.52059999924378009</v>
      </c>
      <c r="J4" s="242">
        <f>营业总收入!J4/结算电量表!X20*1.17</f>
        <v>0.48189121032449611</v>
      </c>
      <c r="K4" s="242">
        <f>营业总收入!K4/结算电量表!Y20*1.17</f>
        <v>0.47967423643089968</v>
      </c>
      <c r="L4" s="242">
        <f>营业总收入!L4/结算电量表!Z20*1.17</f>
        <v>0.47804546964621519</v>
      </c>
      <c r="M4" s="242">
        <f>营业总收入!M4/结算电量表!AA20*1.17</f>
        <v>0.4573547264741844</v>
      </c>
      <c r="N4" s="242">
        <f>营业总收入!N4/结算电量表!AB20*1.17</f>
        <v>0.45518333671999672</v>
      </c>
      <c r="O4" s="242">
        <f>营业总收入!O4/结算电量表!AC20*1.17</f>
        <v>0.49899048152626729</v>
      </c>
    </row>
    <row r="5" spans="1:15" x14ac:dyDescent="0.15">
      <c r="A5" s="36" t="s">
        <v>151</v>
      </c>
      <c r="B5" s="26"/>
      <c r="C5" s="242">
        <f>营业总收入!C5/结算电量表!Q21*1.17</f>
        <v>0.60056097717374468</v>
      </c>
      <c r="D5" s="242">
        <f>营业总收入!D5/结算电量表!R21*1.17</f>
        <v>0.60999977196264388</v>
      </c>
      <c r="E5" s="242">
        <f>营业总收入!E5/结算电量表!S21*1.17</f>
        <v>0.6099999992743238</v>
      </c>
      <c r="F5" s="242">
        <f>营业总收入!F5/结算电量表!T21*1.17</f>
        <v>0.61002848102385054</v>
      </c>
      <c r="G5" s="242">
        <f>营业总收入!G5/结算电量表!U21*1.17</f>
        <v>0.60376178498066235</v>
      </c>
      <c r="H5" s="242">
        <f>营业总收入!H5/结算电量表!V21*1.17</f>
        <v>0.65479335067640598</v>
      </c>
      <c r="I5" s="242">
        <f>营业总收入!I5/结算电量表!W21*1.17</f>
        <v>0.5764700061879745</v>
      </c>
      <c r="J5" s="242">
        <f>营业总收入!J5/结算电量表!X21*1.17</f>
        <v>0.61363514178850631</v>
      </c>
      <c r="K5" s="242">
        <f>营业总收入!K5/结算电量表!Y21*1.17</f>
        <v>0.6100000010067006</v>
      </c>
      <c r="L5" s="242">
        <f>营业总收入!L5/结算电量表!Z21*1.17</f>
        <v>0.61000000048995939</v>
      </c>
      <c r="M5" s="242">
        <f>营业总收入!M5/结算电量表!AA21*1.17</f>
        <v>0.60999591354186655</v>
      </c>
      <c r="N5" s="242">
        <f>营业总收入!N5/结算电量表!AB21*1.17</f>
        <v>0.68381141359670394</v>
      </c>
      <c r="O5" s="242">
        <f>营业总收入!O5/结算电量表!AC21*1.17</f>
        <v>0.61395484916347065</v>
      </c>
    </row>
    <row r="6" spans="1:15" x14ac:dyDescent="0.15">
      <c r="A6" s="36" t="s">
        <v>152</v>
      </c>
      <c r="B6" s="26"/>
      <c r="C6" s="242">
        <f>营业总收入!C6/结算电量表!Q22*1.17</f>
        <v>0.45914114644331194</v>
      </c>
      <c r="D6" s="242">
        <f>营业总收入!D6/结算电量表!R22*1.17</f>
        <v>0.59020049155821308</v>
      </c>
      <c r="E6" s="242">
        <f>营业总收入!E6/结算电量表!S22*1.17</f>
        <v>0.71845161103372424</v>
      </c>
      <c r="F6" s="242">
        <f>营业总收入!F6/结算电量表!T22*1.17</f>
        <v>0.48891368526374035</v>
      </c>
      <c r="G6" s="242">
        <f>营业总收入!G6/结算电量表!U22*1.17</f>
        <v>0.57999999979244365</v>
      </c>
      <c r="H6" s="242">
        <f>营业总收入!H6/结算电量表!V22*1.17</f>
        <v>0.69564836594813073</v>
      </c>
      <c r="I6" s="242">
        <f>营业总收入!I6/结算电量表!W22*1.17</f>
        <v>0.58000000069929858</v>
      </c>
      <c r="J6" s="242">
        <f>营业总收入!J6/结算电量表!X22*1.17</f>
        <v>0.57999999937264735</v>
      </c>
      <c r="K6" s="242">
        <f>营业总收入!K6/结算电量表!Y22*1.17</f>
        <v>0.57999999919549261</v>
      </c>
      <c r="L6" s="242">
        <f>营业总收入!L6/结算电量表!Z22*1.17</f>
        <v>0.57999999877149433</v>
      </c>
      <c r="M6" s="242">
        <f>营业总收入!M6/结算电量表!AA22*1.17</f>
        <v>0.58000000050645728</v>
      </c>
      <c r="N6" s="242">
        <f>营业总收入!N6/结算电量表!AB22*1.17</f>
        <v>0.57999999999999996</v>
      </c>
      <c r="O6" s="242">
        <f>营业总收入!O6/结算电量表!AC22*1.17</f>
        <v>0.57999999959293891</v>
      </c>
    </row>
    <row r="7" spans="1:15" x14ac:dyDescent="0.15">
      <c r="A7" s="36" t="s">
        <v>153</v>
      </c>
      <c r="B7" s="26"/>
      <c r="C7" s="242">
        <f>营业总收入!C7/结算电量表!Q23*1.17</f>
        <v>0.45914114644331194</v>
      </c>
      <c r="D7" s="242">
        <f>营业总收入!D7/结算电量表!R23*1.17</f>
        <v>0.59020049155821308</v>
      </c>
      <c r="E7" s="242">
        <f>营业总收入!E7/结算电量表!S23*1.17</f>
        <v>0.71845161103372424</v>
      </c>
      <c r="F7" s="242">
        <f>营业总收入!F7/结算电量表!T23*1.17</f>
        <v>0.48891368526374035</v>
      </c>
      <c r="G7" s="242">
        <f>营业总收入!G7/结算电量表!U23*1.17</f>
        <v>0.57999999979244365</v>
      </c>
      <c r="H7" s="242">
        <f>营业总收入!H7/结算电量表!V23*1.17</f>
        <v>0.69564836594813073</v>
      </c>
      <c r="I7" s="242">
        <f>营业总收入!I7/结算电量表!W23*1.17</f>
        <v>0.58000000069929858</v>
      </c>
      <c r="J7" s="242">
        <f>营业总收入!J7/结算电量表!X23*1.17</f>
        <v>0.57999999937264735</v>
      </c>
      <c r="K7" s="242">
        <f>营业总收入!K7/结算电量表!Y23*1.17</f>
        <v>0.57999999919549261</v>
      </c>
      <c r="L7" s="242">
        <f>营业总收入!L7/结算电量表!Z23*1.17</f>
        <v>0.57999999877149433</v>
      </c>
      <c r="M7" s="242">
        <f>营业总收入!M7/结算电量表!AA23*1.17</f>
        <v>0.58000000050645728</v>
      </c>
      <c r="N7" s="242">
        <f>营业总收入!N7/结算电量表!AB23*1.17</f>
        <v>0.57999999999999996</v>
      </c>
      <c r="O7" s="242">
        <f>营业总收入!O7/结算电量表!AC23*1.17</f>
        <v>0.57999999959293891</v>
      </c>
    </row>
    <row r="8" spans="1:15" x14ac:dyDescent="0.15">
      <c r="A8" s="36" t="s">
        <v>154</v>
      </c>
      <c r="B8" s="26"/>
      <c r="C8" s="242" t="e">
        <f>营业总收入!C8/结算电量表!Q24*1.17</f>
        <v>#DIV/0!</v>
      </c>
      <c r="D8" s="242" t="e">
        <f>营业总收入!D8/结算电量表!R24*1.17</f>
        <v>#DIV/0!</v>
      </c>
      <c r="E8" s="242" t="e">
        <f>营业总收入!E8/结算电量表!S24*1.17</f>
        <v>#DIV/0!</v>
      </c>
      <c r="F8" s="242" t="e">
        <f>营业总收入!F8/结算电量表!T24*1.17</f>
        <v>#DIV/0!</v>
      </c>
      <c r="G8" s="242" t="e">
        <f>营业总收入!G8/结算电量表!U24*1.17</f>
        <v>#DIV/0!</v>
      </c>
      <c r="H8" s="242" t="e">
        <f>营业总收入!H8/结算电量表!V24*1.17</f>
        <v>#DIV/0!</v>
      </c>
      <c r="I8" s="242" t="e">
        <f>营业总收入!I8/结算电量表!W24*1.17</f>
        <v>#DIV/0!</v>
      </c>
      <c r="J8" s="242" t="e">
        <f>营业总收入!J8/结算电量表!X24*1.17</f>
        <v>#DIV/0!</v>
      </c>
      <c r="K8" s="242" t="e">
        <f>营业总收入!K8/结算电量表!Y24*1.17</f>
        <v>#DIV/0!</v>
      </c>
      <c r="L8" s="242" t="e">
        <f>营业总收入!L8/结算电量表!Z24*1.17</f>
        <v>#DIV/0!</v>
      </c>
      <c r="M8" s="242" t="e">
        <f>营业总收入!M8/结算电量表!AA24*1.17</f>
        <v>#DIV/0!</v>
      </c>
      <c r="N8" s="242" t="e">
        <f>营业总收入!N8/结算电量表!AB24*1.17</f>
        <v>#DIV/0!</v>
      </c>
      <c r="O8" s="242" t="e">
        <f>营业总收入!O8/结算电量表!AC24*1.17</f>
        <v>#DIV/0!</v>
      </c>
    </row>
    <row r="9" spans="1:15" x14ac:dyDescent="0.15">
      <c r="A9" s="36" t="s">
        <v>155</v>
      </c>
      <c r="B9" s="26"/>
      <c r="C9" s="242" t="e">
        <f>营业总收入!C9/结算电量表!Q25*1.17</f>
        <v>#DIV/0!</v>
      </c>
      <c r="D9" s="242" t="e">
        <f>营业总收入!D9/结算电量表!R25*1.17</f>
        <v>#DIV/0!</v>
      </c>
      <c r="E9" s="242" t="e">
        <f>营业总收入!E9/结算电量表!S25*1.17</f>
        <v>#DIV/0!</v>
      </c>
      <c r="F9" s="242" t="e">
        <f>营业总收入!F9/结算电量表!T25*1.17</f>
        <v>#DIV/0!</v>
      </c>
      <c r="G9" s="242" t="e">
        <f>营业总收入!G9/结算电量表!U25*1.17</f>
        <v>#DIV/0!</v>
      </c>
      <c r="H9" s="242" t="e">
        <f>营业总收入!H9/结算电量表!V25*1.17</f>
        <v>#DIV/0!</v>
      </c>
      <c r="I9" s="242" t="e">
        <f>营业总收入!I9/结算电量表!W25*1.17</f>
        <v>#DIV/0!</v>
      </c>
      <c r="J9" s="242" t="e">
        <f>营业总收入!J9/结算电量表!X25*1.17</f>
        <v>#DIV/0!</v>
      </c>
      <c r="K9" s="242" t="e">
        <f>营业总收入!K9/结算电量表!Y25*1.17</f>
        <v>#DIV/0!</v>
      </c>
      <c r="L9" s="242" t="e">
        <f>营业总收入!L9/结算电量表!Z25*1.17</f>
        <v>#DIV/0!</v>
      </c>
      <c r="M9" s="242" t="e">
        <f>营业总收入!M9/结算电量表!AA25*1.17</f>
        <v>#DIV/0!</v>
      </c>
      <c r="N9" s="242" t="e">
        <f>营业总收入!N9/结算电量表!AB25*1.17</f>
        <v>#DIV/0!</v>
      </c>
      <c r="O9" s="242" t="e">
        <f>营业总收入!O9/结算电量表!AC25*1.17</f>
        <v>#DIV/0!</v>
      </c>
    </row>
    <row r="10" spans="1:15" x14ac:dyDescent="0.15">
      <c r="A10" s="36" t="s">
        <v>156</v>
      </c>
      <c r="B10" s="26"/>
      <c r="C10" s="242" t="e">
        <f>营业总收入!C10/结算电量表!Q26*1.17</f>
        <v>#DIV/0!</v>
      </c>
      <c r="D10" s="242" t="e">
        <f>营业总收入!D10/结算电量表!R26*1.17</f>
        <v>#DIV/0!</v>
      </c>
      <c r="E10" s="242" t="e">
        <f>营业总收入!E10/结算电量表!S26*1.17</f>
        <v>#DIV/0!</v>
      </c>
      <c r="F10" s="242" t="e">
        <f>营业总收入!F10/结算电量表!T26*1.17</f>
        <v>#DIV/0!</v>
      </c>
      <c r="G10" s="242" t="e">
        <f>营业总收入!G10/结算电量表!U26*1.17</f>
        <v>#DIV/0!</v>
      </c>
      <c r="H10" s="242" t="e">
        <f>营业总收入!H10/结算电量表!V26*1.17</f>
        <v>#DIV/0!</v>
      </c>
      <c r="I10" s="242" t="e">
        <f>营业总收入!I10/结算电量表!W26*1.17</f>
        <v>#DIV/0!</v>
      </c>
      <c r="J10" s="242" t="e">
        <f>营业总收入!J10/结算电量表!X26*1.17</f>
        <v>#DIV/0!</v>
      </c>
      <c r="K10" s="242" t="e">
        <f>营业总收入!K10/结算电量表!Y26*1.17</f>
        <v>#DIV/0!</v>
      </c>
      <c r="L10" s="242" t="e">
        <f>营业总收入!L10/结算电量表!Z26*1.17</f>
        <v>#DIV/0!</v>
      </c>
      <c r="M10" s="242" t="e">
        <f>营业总收入!M10/结算电量表!AA26*1.17</f>
        <v>#DIV/0!</v>
      </c>
      <c r="N10" s="242" t="e">
        <f>营业总收入!N10/结算电量表!AB26*1.17</f>
        <v>#DIV/0!</v>
      </c>
      <c r="O10" s="242" t="e">
        <f>营业总收入!O10/结算电量表!AC26*1.17</f>
        <v>#DIV/0!</v>
      </c>
    </row>
    <row r="11" spans="1:15" x14ac:dyDescent="0.15">
      <c r="A11" s="36" t="s">
        <v>157</v>
      </c>
      <c r="B11" s="26"/>
      <c r="C11" s="242">
        <f>营业总收入!C11/结算电量表!Q27*1.17</f>
        <v>0.57999999701816207</v>
      </c>
      <c r="D11" s="242">
        <f>营业总收入!D11/结算电量表!R27*1.17</f>
        <v>0.58000000463821877</v>
      </c>
      <c r="E11" s="242">
        <f>营业总收入!E11/结算电量表!S27*1.17</f>
        <v>0.58000000141442443</v>
      </c>
      <c r="F11" s="242">
        <f>营业总收入!F11/结算电量表!T27*1.17</f>
        <v>0.57999999780437705</v>
      </c>
      <c r="G11" s="242">
        <f>营业总收入!G11/结算电量表!U27*1.17</f>
        <v>0.57999999871774111</v>
      </c>
      <c r="H11" s="242">
        <f>营业总收入!H11/结算电量表!V27*1.17</f>
        <v>0.5800000019281244</v>
      </c>
      <c r="I11" s="242">
        <f>营业总收入!I11/结算电量表!W27*1.17</f>
        <v>0.58000000053554557</v>
      </c>
      <c r="J11" s="242">
        <f>营业总收入!J11/结算电量表!X27*1.17</f>
        <v>0.58000000046382183</v>
      </c>
      <c r="K11" s="242">
        <f>营业总收入!K11/结算电量表!Y27*1.17</f>
        <v>0.57999999931389357</v>
      </c>
      <c r="L11" s="242">
        <f>营业总收入!L11/结算电量表!Z27*1.17</f>
        <v>0.57999999983227091</v>
      </c>
      <c r="M11" s="242">
        <f>营业总收入!M11/结算电量表!AA27*1.17</f>
        <v>0.56664779350228078</v>
      </c>
      <c r="N11" s="242">
        <f>营业总收入!N11/结算电量表!AB27*1.17</f>
        <v>0.5568602913223174</v>
      </c>
      <c r="O11" s="242">
        <f>营业总收入!O11/结算电量表!AC27*1.17</f>
        <v>0.57865840525913859</v>
      </c>
    </row>
    <row r="12" spans="1:15" x14ac:dyDescent="0.15">
      <c r="A12" s="36" t="s">
        <v>158</v>
      </c>
      <c r="B12" s="26"/>
      <c r="C12" s="242">
        <f>营业总收入!C12/结算电量表!Q28*1.17</f>
        <v>0.99378881214971337</v>
      </c>
      <c r="D12" s="242">
        <f>营业总收入!D12/结算电量表!R28*1.17</f>
        <v>1.0814053634361966</v>
      </c>
      <c r="E12" s="242">
        <f>营业总收入!E12/结算电量表!S28*1.17</f>
        <v>1.0706146065363422</v>
      </c>
      <c r="F12" s="242">
        <f>营业总收入!F12/结算电量表!T28*1.17</f>
        <v>1.0910189631449592</v>
      </c>
      <c r="G12" s="242">
        <f>营业总收入!G12/结算电量表!U28*1.17</f>
        <v>1.080910899333464</v>
      </c>
      <c r="H12" s="242">
        <f>营业总收入!H12/结算电量表!V28*1.17</f>
        <v>1.0690431280915214</v>
      </c>
      <c r="I12" s="242">
        <f>营业总收入!I12/结算电量表!W28*1.17</f>
        <v>1.0700399221922587</v>
      </c>
      <c r="J12" s="242">
        <f>营业总收入!J12/结算电量表!X28*1.17</f>
        <v>1.0507019017026731</v>
      </c>
      <c r="K12" s="242">
        <f>营业总收入!K12/结算电量表!Y28*1.17</f>
        <v>1.0519782387887364</v>
      </c>
      <c r="L12" s="242">
        <f>营业总收入!L12/结算电量表!Z28*1.17</f>
        <v>1.0518431372811121</v>
      </c>
      <c r="M12" s="242">
        <f>营业总收入!M12/结算电量表!AA28*1.17</f>
        <v>0.94873715946107084</v>
      </c>
      <c r="N12" s="242">
        <f>营业总收入!N12/结算电量表!AB28*1.17</f>
        <v>1.1491924810851029</v>
      </c>
      <c r="O12" s="242">
        <f>营业总收入!O12/结算电量表!AC28*1.17</f>
        <v>1.0604930136968818</v>
      </c>
    </row>
    <row r="13" spans="1:15" x14ac:dyDescent="0.15">
      <c r="A13" s="36" t="s">
        <v>159</v>
      </c>
      <c r="B13" s="26"/>
      <c r="C13" s="242">
        <f>营业总收入!C13/结算电量表!Q29*1.17</f>
        <v>0.93619303510630969</v>
      </c>
      <c r="D13" s="242">
        <f>营业总收入!D13/结算电量表!R29*1.17</f>
        <v>1.1582425073035922</v>
      </c>
      <c r="E13" s="242">
        <f>营业总收入!E13/结算电量表!S29*1.17</f>
        <v>1.4637067443395682</v>
      </c>
      <c r="F13" s="242">
        <f>营业总收入!F13/结算电量表!T29*1.17</f>
        <v>1.1599938722939289</v>
      </c>
      <c r="G13" s="242">
        <f>营业总收入!G13/结算电量表!U29*1.17</f>
        <v>1.160004949946019</v>
      </c>
      <c r="H13" s="242">
        <f>营业总收入!H13/结算电量表!V29*1.17</f>
        <v>1.2361945076676963</v>
      </c>
      <c r="I13" s="242">
        <f>营业总收入!I13/结算电量表!W29*1.17</f>
        <v>1.0468699158699792</v>
      </c>
      <c r="J13" s="242">
        <f>营业总收入!J13/结算电量表!X29*1.17</f>
        <v>1.1599974344172739</v>
      </c>
      <c r="K13" s="242">
        <f>营业总收入!K13/结算电量表!Y29*1.17</f>
        <v>1.2253598305790971</v>
      </c>
      <c r="L13" s="242">
        <f>营业总收入!L13/结算电量表!Z29*1.17</f>
        <v>1.1600061556686838</v>
      </c>
      <c r="M13" s="242">
        <f>营业总收入!M13/结算电量表!AA29*1.17</f>
        <v>1.159999690316742</v>
      </c>
      <c r="N13" s="242">
        <f>营业总收入!N13/结算电量表!AB29*1.17</f>
        <v>0.99286478622964836</v>
      </c>
      <c r="O13" s="242">
        <f>营业总收入!O13/结算电量表!AC29*1.17</f>
        <v>1.1415194180786008</v>
      </c>
    </row>
    <row r="14" spans="1:15" x14ac:dyDescent="0.15">
      <c r="A14" s="36" t="s">
        <v>160</v>
      </c>
      <c r="B14" s="26"/>
      <c r="C14" s="242">
        <f>营业总收入!C14/结算电量表!Q30*1.17</f>
        <v>1.0586428197805511</v>
      </c>
      <c r="D14" s="242">
        <f>营业总收入!D14/结算电量表!R30*1.17</f>
        <v>1.0592703649509154</v>
      </c>
      <c r="E14" s="242">
        <f>营业总收入!E14/结算电量表!S30*1.17</f>
        <v>1.0600211980284078</v>
      </c>
      <c r="F14" s="242">
        <f>营业总收入!F14/结算电量表!T30*1.17</f>
        <v>1.0647713649861354</v>
      </c>
      <c r="G14" s="242">
        <f>营业总收入!G14/结算电量表!U30*1.17</f>
        <v>1.0581591537488473</v>
      </c>
      <c r="H14" s="242">
        <f>营业总收入!H14/结算电量表!V30*1.17</f>
        <v>1.060645321773396</v>
      </c>
      <c r="I14" s="242">
        <f>营业总收入!I14/结算电量表!W30*1.17</f>
        <v>1.0421558958012596</v>
      </c>
      <c r="J14" s="242">
        <f>营业总收入!J14/结算电量表!X30*1.17</f>
        <v>1.0687276566991584</v>
      </c>
      <c r="K14" s="242">
        <f>营业总收入!K14/结算电量表!Y30*1.17</f>
        <v>1.0616329498265895</v>
      </c>
      <c r="L14" s="242">
        <f>营业总收入!L14/结算电量表!Z30*1.17</f>
        <v>1.0630712482976441</v>
      </c>
      <c r="M14" s="242">
        <f>营业总收入!M14/结算电量表!AA30*1.17</f>
        <v>1.0974999218181729</v>
      </c>
      <c r="N14" s="242">
        <f>营业总收入!N14/结算电量表!AB30*1.17</f>
        <v>0.97936283502155552</v>
      </c>
      <c r="O14" s="242">
        <f>营业总收入!O14/结算电量表!AC30*1.17</f>
        <v>1.0583494064658652</v>
      </c>
    </row>
    <row r="15" spans="1:15" x14ac:dyDescent="0.15">
      <c r="A15" s="36" t="s">
        <v>95</v>
      </c>
      <c r="B15" s="26"/>
      <c r="C15" s="242">
        <f>营业总收入!C15/结算电量表!Q31*1.17</f>
        <v>0.5444782949049406</v>
      </c>
      <c r="D15" s="242">
        <f>营业总收入!D15/结算电量表!R31*1.17</f>
        <v>0.66297696823477203</v>
      </c>
      <c r="E15" s="242">
        <f>营业总收入!E15/结算电量表!S31*1.17</f>
        <v>0.68242127284529341</v>
      </c>
      <c r="F15" s="242">
        <f>营业总收入!F15/结算电量表!T31*1.17</f>
        <v>0.64778752791301653</v>
      </c>
      <c r="G15" s="242">
        <f>营业总收入!G15/结算电量表!U31*1.17</f>
        <v>0.66900035341203745</v>
      </c>
      <c r="H15" s="242">
        <f>营业总收入!H15/结算电量表!V31*1.17</f>
        <v>0.69357123705183832</v>
      </c>
      <c r="I15" s="242">
        <f>营业总收入!I15/结算电量表!W31*1.17</f>
        <v>0.66790783395481079</v>
      </c>
      <c r="J15" s="242">
        <f>营业总收入!J15/结算电量表!X31*1.17</f>
        <v>0.64526405776114037</v>
      </c>
      <c r="K15" s="242">
        <f>营业总收入!K15/结算电量表!Y31*1.17</f>
        <v>0.668329531600655</v>
      </c>
      <c r="L15" s="242">
        <f>营业总收入!L15/结算电量表!Z31*1.17</f>
        <v>0.66748079948381034</v>
      </c>
      <c r="M15" s="242">
        <f>营业总收入!M15/结算电量表!AA31*1.17</f>
        <v>0.63026670917348959</v>
      </c>
      <c r="N15" s="242">
        <f>营业总收入!N15/结算电量表!AB31*1.17</f>
        <v>0.66723412354272815</v>
      </c>
      <c r="O15" s="242">
        <f>营业总收入!O15/结算电量表!AC31*1.17</f>
        <v>0.65711823288340565</v>
      </c>
    </row>
    <row r="17" spans="1:18" ht="18.75" customHeight="1" x14ac:dyDescent="0.15">
      <c r="A17" s="164"/>
      <c r="B17" s="243"/>
      <c r="C17" s="380" t="s">
        <v>161</v>
      </c>
      <c r="D17" s="380"/>
      <c r="E17" s="380"/>
      <c r="F17" s="380"/>
      <c r="G17" s="380"/>
      <c r="H17" s="380"/>
      <c r="I17" s="380"/>
      <c r="J17" s="380"/>
      <c r="K17" s="380"/>
      <c r="L17" s="380"/>
      <c r="M17" s="380"/>
      <c r="N17" s="380"/>
      <c r="O17" s="26"/>
    </row>
    <row r="18" spans="1:18" ht="18.75" customHeight="1" x14ac:dyDescent="0.15">
      <c r="A18" s="164" t="s">
        <v>162</v>
      </c>
      <c r="B18" s="26" t="s">
        <v>0</v>
      </c>
      <c r="C18" s="167" t="s">
        <v>83</v>
      </c>
      <c r="D18" s="167" t="s">
        <v>84</v>
      </c>
      <c r="E18" s="167" t="s">
        <v>85</v>
      </c>
      <c r="F18" s="167" t="s">
        <v>86</v>
      </c>
      <c r="G18" s="167" t="s">
        <v>87</v>
      </c>
      <c r="H18" s="167" t="s">
        <v>88</v>
      </c>
      <c r="I18" s="167" t="s">
        <v>89</v>
      </c>
      <c r="J18" s="167" t="s">
        <v>90</v>
      </c>
      <c r="K18" s="167" t="s">
        <v>91</v>
      </c>
      <c r="L18" s="167" t="s">
        <v>92</v>
      </c>
      <c r="M18" s="167" t="s">
        <v>93</v>
      </c>
      <c r="N18" s="167" t="s">
        <v>94</v>
      </c>
      <c r="O18" s="44" t="s">
        <v>111</v>
      </c>
    </row>
    <row r="19" spans="1:18" ht="18.75" customHeight="1" x14ac:dyDescent="0.15">
      <c r="A19" s="36" t="s">
        <v>148</v>
      </c>
      <c r="B19" s="26"/>
      <c r="C19" s="242">
        <f>营业总收入!C21/结算电量表!Q37*1.17</f>
        <v>0.49218361613266376</v>
      </c>
      <c r="D19" s="242">
        <f>营业总收入!D21/结算电量表!R37*1.17</f>
        <v>0.57535063537207276</v>
      </c>
      <c r="E19" s="242">
        <f>营业总收入!E21/结算电量表!S37*1.17</f>
        <v>0.5720848775166264</v>
      </c>
      <c r="F19" s="242">
        <f>营业总收入!F21/结算电量表!T37*1.17</f>
        <v>0.56149829310312749</v>
      </c>
      <c r="G19" s="242">
        <f>营业总收入!G21/结算电量表!U37*1.17</f>
        <v>0.57660233551467177</v>
      </c>
      <c r="H19" s="242">
        <f>营业总收入!H21/结算电量表!V37*1.17</f>
        <v>0.55680289188955279</v>
      </c>
      <c r="I19" s="242">
        <f>营业总收入!I21/结算电量表!W37*1.17</f>
        <v>0.57314616575695065</v>
      </c>
      <c r="J19" s="242">
        <f>营业总收入!J21/结算电量表!X37*1.17</f>
        <v>0.3438884937722369</v>
      </c>
      <c r="K19" s="242">
        <f>营业总收入!K21/结算电量表!Y37*1.17</f>
        <v>0.41056117124254654</v>
      </c>
      <c r="L19" s="242">
        <f>营业总收入!L21/结算电量表!Z37*1.17</f>
        <v>0.42458765284174554</v>
      </c>
      <c r="M19" s="242">
        <f>营业总收入!M21/结算电量表!AA37*1.17</f>
        <v>0.33045469120552357</v>
      </c>
      <c r="N19" s="242">
        <f>营业总收入!N21/结算电量表!AB37*1.17</f>
        <v>0.30978000598946409</v>
      </c>
      <c r="O19" s="242">
        <f>营业总收入!O21/结算电量表!AC37*1.17</f>
        <v>0.46853859840333778</v>
      </c>
    </row>
    <row r="20" spans="1:18" ht="18.75" customHeight="1" x14ac:dyDescent="0.15">
      <c r="A20" s="36" t="s">
        <v>149</v>
      </c>
      <c r="B20" s="26"/>
      <c r="C20" s="242">
        <f>营业总收入!C22/结算电量表!Q38*1.17</f>
        <v>0.54654482476094357</v>
      </c>
      <c r="D20" s="242">
        <f>营业总收入!D22/结算电量表!R38*1.17</f>
        <v>0.55000310758801785</v>
      </c>
      <c r="E20" s="242">
        <f>营业总收入!E22/结算电量表!S38*1.17</f>
        <v>0.54450280651245342</v>
      </c>
      <c r="F20" s="242">
        <f>营业总收入!F22/结算电量表!T38*1.17</f>
        <v>0.52728244912049804</v>
      </c>
      <c r="G20" s="242">
        <f>营业总收入!G22/结算电量表!U38*1.17</f>
        <v>0.5497457192658104</v>
      </c>
      <c r="H20" s="242">
        <f>营业总收入!H22/结算电量表!V38*1.17</f>
        <v>0.52697020077965318</v>
      </c>
      <c r="I20" s="242">
        <f>营业总收入!I22/结算电量表!W38*1.17</f>
        <v>0.56175183503273585</v>
      </c>
      <c r="J20" s="242">
        <f>营业总收入!J22/结算电量表!X38*1.17</f>
        <v>0.31219377494797812</v>
      </c>
      <c r="K20" s="242">
        <f>营业总收入!K22/结算电量表!Y38*1.17</f>
        <v>0.34017658291518882</v>
      </c>
      <c r="L20" s="242">
        <f>营业总收入!L22/结算电量表!Z38*1.17</f>
        <v>0.32749557714405408</v>
      </c>
      <c r="M20" s="242">
        <f>营业总收入!M22/结算电量表!AA38*1.17</f>
        <v>0.32830537406782495</v>
      </c>
      <c r="N20" s="242">
        <f>营业总收入!N22/结算电量表!AB38*1.17</f>
        <v>-1.967574496215398E-2</v>
      </c>
      <c r="O20" s="242">
        <f>营业总收入!O22/结算电量表!AC38*1.17</f>
        <v>0.40966146030572947</v>
      </c>
    </row>
    <row r="21" spans="1:18" ht="18.75" customHeight="1" x14ac:dyDescent="0.15">
      <c r="A21" s="36" t="s">
        <v>150</v>
      </c>
      <c r="B21" s="26"/>
      <c r="C21" s="242">
        <f>营业总收入!C23/结算电量表!Q39*1.17</f>
        <v>0.51668029489591849</v>
      </c>
      <c r="D21" s="242">
        <f>营业总收入!D23/结算电量表!R39*1.17</f>
        <v>0.52793768224052784</v>
      </c>
      <c r="E21" s="242">
        <f>营业总收入!E23/结算电量表!S39*1.17</f>
        <v>0.51313981131706166</v>
      </c>
      <c r="F21" s="242">
        <f>营业总收入!F23/结算电量表!T39*1.17</f>
        <v>0.49985564266615662</v>
      </c>
      <c r="G21" s="242">
        <f>营业总收入!G23/结算电量表!U39*1.17</f>
        <v>0.52043799118518519</v>
      </c>
      <c r="H21" s="242">
        <f>营业总收入!H23/结算电量表!V39*1.17</f>
        <v>0.49598313478079081</v>
      </c>
      <c r="I21" s="242">
        <f>营业总收入!I23/结算电量表!W39*1.17</f>
        <v>0.52025486279973876</v>
      </c>
      <c r="J21" s="242">
        <f>营业总收入!J23/结算电量表!X39*1.17</f>
        <v>0.2848476573778006</v>
      </c>
      <c r="K21" s="242">
        <f>营业总收入!K23/结算电量表!Y39*1.17</f>
        <v>0.27986749036027386</v>
      </c>
      <c r="L21" s="242">
        <f>营业总收入!L23/结算电量表!Z39*1.17</f>
        <v>0.28263081324956435</v>
      </c>
      <c r="M21" s="242">
        <f>营业总收入!M23/结算电量表!AA39*1.17</f>
        <v>0.27545533858186466</v>
      </c>
      <c r="N21" s="242">
        <f>营业总收入!N23/结算电量表!AB39*1.17</f>
        <v>-0.70638118238014991</v>
      </c>
      <c r="O21" s="242">
        <f>营业总收入!O23/结算电量表!AC39*1.17</f>
        <v>0.38665449688612763</v>
      </c>
    </row>
    <row r="22" spans="1:18" ht="18.75" customHeight="1" x14ac:dyDescent="0.15">
      <c r="A22" s="36" t="s">
        <v>151</v>
      </c>
      <c r="B22" s="26"/>
      <c r="C22" s="242">
        <f>营业总收入!C24/结算电量表!Q40*1.17</f>
        <v>0.60999900265613294</v>
      </c>
      <c r="D22" s="242">
        <f>营业总收入!D24/结算电量表!R40*1.17</f>
        <v>0.61000509737878572</v>
      </c>
      <c r="E22" s="242">
        <f>营业总收入!E24/结算电量表!S40*1.17</f>
        <v>0.60330244613857031</v>
      </c>
      <c r="F22" s="242">
        <f>营业总收入!F24/结算电量表!T40*1.17</f>
        <v>0.58929345880135542</v>
      </c>
      <c r="G22" s="242">
        <f>营业总收入!G24/结算电量表!U40*1.17</f>
        <v>0.60999792475155545</v>
      </c>
      <c r="H22" s="242">
        <f>营业总收入!H24/结算电量表!V40*1.17</f>
        <v>0.58722184582117098</v>
      </c>
      <c r="I22" s="242">
        <f>营业总收入!I24/结算电量表!W40*1.17</f>
        <v>0.60028115657695991</v>
      </c>
      <c r="J22" s="242">
        <f>营业总收入!J24/结算电量表!X40*1.17</f>
        <v>0.58681106454794518</v>
      </c>
      <c r="K22" s="249">
        <f>营业总收入!K24/结算电量表!Y40*1.17</f>
        <v>1.1023575910953782</v>
      </c>
      <c r="L22" s="242">
        <f>营业总收入!L24/结算电量表!Z40*1.17</f>
        <v>0.5818728975796944</v>
      </c>
      <c r="M22" s="242">
        <f>营业总收入!M24/结算电量表!AA40*1.17</f>
        <v>0.6200000069772198</v>
      </c>
      <c r="N22" s="242">
        <f>营业总收入!N24/结算电量表!AB40*1.17</f>
        <v>0.45928222192943485</v>
      </c>
      <c r="O22" s="242">
        <f>营业总收入!O24/结算电量表!AC40*1.17</f>
        <v>0.61881302220191892</v>
      </c>
      <c r="R22" s="252"/>
    </row>
    <row r="23" spans="1:18" ht="18.75" customHeight="1" x14ac:dyDescent="0.15">
      <c r="A23" s="36" t="s">
        <v>152</v>
      </c>
      <c r="B23" s="26"/>
      <c r="C23" s="242">
        <f>营业总收入!C25/结算电量表!Q41*1.17</f>
        <v>0.57999999921519385</v>
      </c>
      <c r="D23" s="242">
        <f>营业总收入!D25/结算电量表!R41*1.17</f>
        <v>0.58002425181179296</v>
      </c>
      <c r="E23" s="242">
        <f>营业总收入!E25/结算电量表!S41*1.17</f>
        <v>0.55035576960362664</v>
      </c>
      <c r="F23" s="242">
        <f>营业总收入!F25/结算电量表!T41*1.17</f>
        <v>0.51070240252170807</v>
      </c>
      <c r="G23" s="242">
        <f>营业总收入!G25/结算电量表!U41*1.17</f>
        <v>0.53619303658156503</v>
      </c>
      <c r="H23" s="242">
        <f>营业总收入!H25/结算电量表!V41*1.17</f>
        <v>0.5362113282989196</v>
      </c>
      <c r="I23" s="242">
        <f>营业总收入!I25/结算电量表!W41*1.17</f>
        <v>0.53620000034193882</v>
      </c>
      <c r="J23" s="242">
        <f>营业总收入!J25/结算电量表!X41*1.17</f>
        <v>0.53620285885187746</v>
      </c>
      <c r="K23" s="242">
        <f>营业总收入!K25/结算电量表!Y41*1.17</f>
        <v>0.53620000047066885</v>
      </c>
      <c r="L23" s="242">
        <f>营业总收入!L25/结算电量表!Z41*1.17</f>
        <v>0.53620000012227731</v>
      </c>
      <c r="M23" s="242">
        <f>营业总收入!M25/结算电量表!AA41*1.17</f>
        <v>0.53620000079333596</v>
      </c>
      <c r="N23" s="242">
        <f>营业总收入!N25/结算电量表!AB41*1.17</f>
        <v>0.53618464965453838</v>
      </c>
      <c r="O23" s="242">
        <f>营业总收入!O25/结算电量表!AC41*1.17</f>
        <v>0.53646222152321954</v>
      </c>
    </row>
    <row r="24" spans="1:18" ht="18.75" customHeight="1" x14ac:dyDescent="0.15">
      <c r="A24" s="36" t="s">
        <v>153</v>
      </c>
      <c r="B24" s="26"/>
      <c r="C24" s="242">
        <f>营业总收入!C26/结算电量表!Q42*1.17</f>
        <v>0.5802011767061972</v>
      </c>
      <c r="D24" s="242">
        <f>营业总收入!D26/结算电量表!R42*1.17</f>
        <v>0.60330131845563661</v>
      </c>
      <c r="E24" s="242">
        <f>营业总收入!E26/结算电量表!S42*1.17</f>
        <v>0.53217989312300096</v>
      </c>
      <c r="F24" s="242">
        <f>营业总收入!F26/结算电量表!T42*1.17</f>
        <v>0.50040652053477819</v>
      </c>
      <c r="G24" s="242">
        <f>营业总收入!G26/结算电量表!U42*1.17</f>
        <v>0.53006769104494911</v>
      </c>
      <c r="H24" s="242">
        <f>营业总收入!H26/结算电量表!V42*1.17</f>
        <v>0.53084602016727067</v>
      </c>
      <c r="I24" s="242">
        <f>营业总收入!I26/结算电量表!W42*1.17</f>
        <v>0.53502998753117181</v>
      </c>
      <c r="J24" s="242">
        <f>营业总收入!J26/结算电量表!X42*1.17</f>
        <v>0.53400544855032994</v>
      </c>
      <c r="K24" s="242">
        <f>营业总收入!K26/结算电量表!Y42*1.17</f>
        <v>0.52680609588287863</v>
      </c>
      <c r="L24" s="242">
        <f>营业总收入!L26/结算电量表!Z42*1.17</f>
        <v>0.53333224665287093</v>
      </c>
      <c r="M24" s="242">
        <f>营业总收入!M26/结算电量表!AA42*1.17</f>
        <v>0.52735499303680766</v>
      </c>
      <c r="N24" s="242">
        <f>营业总收入!N26/结算电量表!AB42*1.17</f>
        <v>0.52729769429146256</v>
      </c>
      <c r="O24" s="242">
        <f>营业总收入!O26/结算电量表!AC42*1.17</f>
        <v>0.53088788795420727</v>
      </c>
    </row>
    <row r="25" spans="1:18" ht="18.75" customHeight="1" x14ac:dyDescent="0.15">
      <c r="A25" s="36" t="s">
        <v>154</v>
      </c>
      <c r="B25" s="26"/>
      <c r="C25" s="242">
        <f>营业总收入!C27/结算电量表!Q43*1.17</f>
        <v>0.57965220531966521</v>
      </c>
      <c r="D25" s="242">
        <f>营业总收入!D27/结算电量表!R43*1.17</f>
        <v>0.49030499309915565</v>
      </c>
      <c r="E25" s="242">
        <f>营业总收入!E27/结算电量表!S43*1.17</f>
        <v>0.58888031598650503</v>
      </c>
      <c r="F25" s="242">
        <f>营业总收入!F27/结算电量表!T43*1.17</f>
        <v>0.52886212382371411</v>
      </c>
      <c r="G25" s="242">
        <f>营业总收入!G27/结算电量表!U43*1.17</f>
        <v>0.54331267620168144</v>
      </c>
      <c r="H25" s="242">
        <f>营业总收入!H27/结算电量表!V43*1.17</f>
        <v>0.54463040726634671</v>
      </c>
      <c r="I25" s="242">
        <f>营业总收入!I27/结算电量表!W43*1.17</f>
        <v>0.5385792658329952</v>
      </c>
      <c r="J25" s="242">
        <f>营业总收入!J27/结算电量表!X43*1.17</f>
        <v>0.53993782383419686</v>
      </c>
      <c r="K25" s="242">
        <f>营业总收入!K27/结算电量表!Y43*1.17</f>
        <v>0.5509910843523651</v>
      </c>
      <c r="L25" s="242">
        <f>营业总收入!L27/结算电量表!Z43*1.17</f>
        <v>0.54085264348346107</v>
      </c>
      <c r="M25" s="242">
        <f>营业总收入!M27/结算电量表!AA43*1.17</f>
        <v>0.58236296851953795</v>
      </c>
      <c r="N25" s="242">
        <f>营业总收入!N27/结算电量表!AB43*1.17</f>
        <v>0.69789061419191967</v>
      </c>
      <c r="O25" s="242">
        <f>营业总收入!O27/结算电量表!AC43*1.17</f>
        <v>0.54734508498089152</v>
      </c>
    </row>
    <row r="26" spans="1:18" ht="18.75" hidden="1" customHeight="1" x14ac:dyDescent="0.15">
      <c r="A26" s="36" t="s">
        <v>155</v>
      </c>
      <c r="B26" s="26"/>
      <c r="C26" s="242" t="e">
        <f>营业总收入!C28/结算电量表!Q44*1.17</f>
        <v>#DIV/0!</v>
      </c>
      <c r="D26" s="242" t="e">
        <f>营业总收入!D28/结算电量表!R44*1.17</f>
        <v>#DIV/0!</v>
      </c>
      <c r="E26" s="242" t="e">
        <f>营业总收入!E28/结算电量表!S44*1.17</f>
        <v>#DIV/0!</v>
      </c>
      <c r="F26" s="242" t="e">
        <f>营业总收入!F28/结算电量表!T44*1.17</f>
        <v>#DIV/0!</v>
      </c>
      <c r="G26" s="242" t="e">
        <f>营业总收入!G28/结算电量表!U44*1.17</f>
        <v>#DIV/0!</v>
      </c>
      <c r="H26" s="242" t="e">
        <f>营业总收入!H28/结算电量表!V44*1.17</f>
        <v>#DIV/0!</v>
      </c>
      <c r="I26" s="242" t="e">
        <f>营业总收入!I28/结算电量表!W44*1.17</f>
        <v>#DIV/0!</v>
      </c>
      <c r="J26" s="242" t="e">
        <f>营业总收入!J28/结算电量表!X44*1.17</f>
        <v>#DIV/0!</v>
      </c>
      <c r="K26" s="242" t="e">
        <f>营业总收入!K28/结算电量表!Y44*1.17</f>
        <v>#DIV/0!</v>
      </c>
      <c r="L26" s="242" t="e">
        <f>营业总收入!L28/结算电量表!Z44*1.17</f>
        <v>#DIV/0!</v>
      </c>
      <c r="M26" s="242" t="e">
        <f>营业总收入!M28/结算电量表!AA44*1.17</f>
        <v>#DIV/0!</v>
      </c>
      <c r="N26" s="242" t="e">
        <f>营业总收入!N28/结算电量表!AB44*1.17</f>
        <v>#DIV/0!</v>
      </c>
      <c r="O26" s="242" t="e">
        <f>营业总收入!O28/结算电量表!AC44*1.17</f>
        <v>#DIV/0!</v>
      </c>
    </row>
    <row r="27" spans="1:18" ht="18.75" hidden="1" customHeight="1" x14ac:dyDescent="0.15">
      <c r="A27" s="36" t="s">
        <v>156</v>
      </c>
      <c r="B27" s="26"/>
      <c r="C27" s="242" t="e">
        <f>营业总收入!C29/结算电量表!Q45*1.17</f>
        <v>#DIV/0!</v>
      </c>
      <c r="D27" s="242" t="e">
        <f>营业总收入!D29/结算电量表!R45*1.17</f>
        <v>#DIV/0!</v>
      </c>
      <c r="E27" s="242" t="e">
        <f>营业总收入!E29/结算电量表!S45*1.17</f>
        <v>#DIV/0!</v>
      </c>
      <c r="F27" s="242" t="e">
        <f>营业总收入!F29/结算电量表!T45*1.17</f>
        <v>#DIV/0!</v>
      </c>
      <c r="G27" s="242" t="e">
        <f>营业总收入!G29/结算电量表!U45*1.17</f>
        <v>#DIV/0!</v>
      </c>
      <c r="H27" s="242" t="e">
        <f>营业总收入!H29/结算电量表!V45*1.17</f>
        <v>#DIV/0!</v>
      </c>
      <c r="I27" s="242" t="e">
        <f>营业总收入!I29/结算电量表!W45*1.17</f>
        <v>#DIV/0!</v>
      </c>
      <c r="J27" s="242" t="e">
        <f>营业总收入!J29/结算电量表!X45*1.17</f>
        <v>#DIV/0!</v>
      </c>
      <c r="K27" s="242" t="e">
        <f>营业总收入!K29/结算电量表!Y45*1.17</f>
        <v>#DIV/0!</v>
      </c>
      <c r="L27" s="242" t="e">
        <f>营业总收入!L29/结算电量表!Z45*1.17</f>
        <v>#DIV/0!</v>
      </c>
      <c r="M27" s="242" t="e">
        <f>营业总收入!M29/结算电量表!AA45*1.17</f>
        <v>#DIV/0!</v>
      </c>
      <c r="N27" s="242" t="e">
        <f>营业总收入!N29/结算电量表!AB45*1.17</f>
        <v>#DIV/0!</v>
      </c>
      <c r="O27" s="242" t="e">
        <f>营业总收入!O29/结算电量表!AC45*1.17</f>
        <v>#DIV/0!</v>
      </c>
    </row>
    <row r="28" spans="1:18" ht="18.75" customHeight="1" x14ac:dyDescent="0.15">
      <c r="A28" s="36" t="s">
        <v>157</v>
      </c>
      <c r="B28" s="26"/>
      <c r="C28" s="242">
        <f>营业总收入!C30/结算电量表!Q46*1.17</f>
        <v>0.58000000499999993</v>
      </c>
      <c r="D28" s="242">
        <f>营业总收入!D30/结算电量表!R46*1.17</f>
        <v>0.57999998940533037</v>
      </c>
      <c r="E28" s="242">
        <f>营业总收入!E30/结算电量表!S46*1.17</f>
        <v>0.57199211013986007</v>
      </c>
      <c r="F28" s="242">
        <f>营业总收入!F30/结算电量表!T46*1.17</f>
        <v>0.57193353125482327</v>
      </c>
      <c r="G28" s="242">
        <f>营业总收入!G30/结算电量表!U46*1.17</f>
        <v>0.44755932388371183</v>
      </c>
      <c r="H28" s="242">
        <f>营业总收入!H30/结算电量表!V46*1.17</f>
        <v>0.45986394235148892</v>
      </c>
      <c r="I28" s="242">
        <f>营业总收入!I30/结算电量表!W46*1.17</f>
        <v>0.49170835675908015</v>
      </c>
      <c r="J28" s="242">
        <f>营业总收入!J30/结算电量表!X46*1.17</f>
        <v>0.45047699659365475</v>
      </c>
      <c r="K28" s="242">
        <f>营业总收入!K30/结算电量表!Y46*1.17</f>
        <v>0.48078921952078929</v>
      </c>
      <c r="L28" s="242">
        <f>营业总收入!L30/结算电量表!Z46*1.17</f>
        <v>0.45381364778112604</v>
      </c>
      <c r="M28" s="242">
        <f>营业总收入!M30/结算电量表!AA46*1.17</f>
        <v>0.46249732858851711</v>
      </c>
      <c r="N28" s="242">
        <f>营业总收入!N30/结算电量表!AB46*1.17</f>
        <v>0.49504938298207163</v>
      </c>
      <c r="O28" s="242">
        <f>营业总收入!O30/结算电量表!AC46*1.17</f>
        <v>0.48910637127838602</v>
      </c>
    </row>
    <row r="29" spans="1:18" ht="18.75" customHeight="1" x14ac:dyDescent="0.15">
      <c r="A29" s="36" t="s">
        <v>158</v>
      </c>
      <c r="B29" s="26"/>
      <c r="C29" s="242">
        <f>营业总收入!C31/结算电量表!Q47*1.17</f>
        <v>1.0014205646559986</v>
      </c>
      <c r="D29" s="242">
        <f>营业总收入!D31/结算电量表!R47*1.17</f>
        <v>1.0879645140642151</v>
      </c>
      <c r="E29" s="242">
        <f>营业总收入!E31/结算电量表!S47*1.17</f>
        <v>0.92071955291044882</v>
      </c>
      <c r="F29" s="242">
        <f>营业总收入!F31/结算电量表!T47*1.17</f>
        <v>1.0466777787496044</v>
      </c>
      <c r="G29" s="242">
        <f>营业总收入!G31/结算电量表!U47*1.17</f>
        <v>1.037561074791495</v>
      </c>
      <c r="H29" s="242">
        <f>营业总收入!H31/结算电量表!V47*1.17</f>
        <v>1.0484491201999364</v>
      </c>
      <c r="I29" s="242">
        <f>营业总收入!I31/结算电量表!W47*1.17</f>
        <v>1.0420467188199416</v>
      </c>
      <c r="J29" s="242">
        <f>营业总收入!J31/结算电量表!X47*1.17</f>
        <v>0.92467237757825016</v>
      </c>
      <c r="K29" s="242">
        <f>营业总收入!K31/结算电量表!Y47*1.17</f>
        <v>0.92690287714979414</v>
      </c>
      <c r="L29" s="242">
        <f>营业总收入!L31/结算电量表!Z47*1.17</f>
        <v>0.97365611477464087</v>
      </c>
      <c r="M29" s="242">
        <f>营业总收入!M31/结算电量表!AA47*1.17</f>
        <v>0.97230631304347304</v>
      </c>
      <c r="N29" s="242">
        <f>营业总收入!N31/结算电量表!AB47*1.17</f>
        <v>0.8613445514838477</v>
      </c>
      <c r="O29" s="242">
        <f>营业总收入!O31/结算电量表!AC47*1.17</f>
        <v>0.99470933516980409</v>
      </c>
    </row>
    <row r="30" spans="1:18" ht="18.75" customHeight="1" x14ac:dyDescent="0.15">
      <c r="A30" s="36" t="s">
        <v>159</v>
      </c>
      <c r="B30" s="26"/>
      <c r="C30" s="242">
        <f>营业总收入!C32/结算电量表!Q48*1.17</f>
        <v>1.1599950348837187</v>
      </c>
      <c r="D30" s="242">
        <f>营业总收入!D32/结算电量表!R48*1.17</f>
        <v>1.1599945253878576</v>
      </c>
      <c r="E30" s="242">
        <f>营业总收入!E32/结算电量表!S48*1.17</f>
        <v>1.1600180925377155</v>
      </c>
      <c r="F30" s="242">
        <f>营业总收入!F32/结算电量表!T48*1.17</f>
        <v>1.1575395142074023</v>
      </c>
      <c r="G30" s="242">
        <f>营业总收入!G32/结算电量表!U48*1.17</f>
        <v>1.152880736006777</v>
      </c>
      <c r="H30" s="242">
        <f>营业总收入!H32/结算电量表!V48*1.17</f>
        <v>1.1458826574948042</v>
      </c>
      <c r="I30" s="242">
        <f>营业总收入!I32/结算电量表!W48*1.17</f>
        <v>1.1482819099668129</v>
      </c>
      <c r="J30" s="242">
        <f>营业总收入!J32/结算电量表!X48*1.17</f>
        <v>0.98290230236538623</v>
      </c>
      <c r="K30" s="242">
        <f>营业总收入!K32/结算电量表!Y48*1.17</f>
        <v>1.1448758063161337</v>
      </c>
      <c r="L30" s="242">
        <f>营业总收入!L32/结算电量表!Z48*1.17</f>
        <v>1.1377693081373388</v>
      </c>
      <c r="M30" s="242">
        <f>营业总收入!M32/结算电量表!AA48*1.17</f>
        <v>1.1422832364820874</v>
      </c>
      <c r="N30" s="242">
        <f>营业总收入!N32/结算电量表!AB48*1.17</f>
        <v>1.6723921482949542</v>
      </c>
      <c r="O30" s="242">
        <f>营业总收入!O32/结算电量表!AC48*1.17</f>
        <v>1.1600001881743127</v>
      </c>
    </row>
    <row r="31" spans="1:18" ht="18.75" customHeight="1" x14ac:dyDescent="0.15">
      <c r="A31" s="36" t="s">
        <v>160</v>
      </c>
      <c r="B31" s="26"/>
      <c r="C31" s="242">
        <f>营业总收入!C33/结算电量表!Q49*1.17</f>
        <v>1.0623897059558824</v>
      </c>
      <c r="D31" s="242">
        <f>营业总收入!D33/结算电量表!R49*1.17</f>
        <v>1.0919468582608696</v>
      </c>
      <c r="E31" s="242">
        <f>营业总收入!E33/结算电量表!S49*1.17</f>
        <v>1.1341498560538075</v>
      </c>
      <c r="F31" s="242">
        <f>营业总收入!F33/结算电量表!T49*1.17</f>
        <v>1.011980846736739</v>
      </c>
      <c r="G31" s="242">
        <f>营业总收入!G33/结算电量表!U49*1.17</f>
        <v>1.004887559906708</v>
      </c>
      <c r="H31" s="242">
        <f>营业总收入!H33/结算电量表!V49*1.17</f>
        <v>1.0065458760177617</v>
      </c>
      <c r="I31" s="242">
        <f>营业总收入!I33/结算电量表!W49*1.17</f>
        <v>1.0276471284595299</v>
      </c>
      <c r="J31" s="242">
        <f>营业总收入!J33/结算电量表!X49*1.17</f>
        <v>1.0257686086294369</v>
      </c>
      <c r="K31" s="242">
        <f>营业总收入!K33/结算电量表!Y49*1.17</f>
        <v>1.0379897972843852</v>
      </c>
      <c r="L31" s="242">
        <f>营业总收入!L33/结算电量表!Z49*1.17</f>
        <v>0.98692025384846638</v>
      </c>
      <c r="M31" s="242">
        <f>营业总收入!M33/结算电量表!AA49*1.17</f>
        <v>1.0597618899913719</v>
      </c>
      <c r="N31" s="242">
        <f>营业总收入!N33/结算电量表!AB49*1.17</f>
        <v>1.0311495718893966</v>
      </c>
      <c r="O31" s="242">
        <f>营业总收入!O33/结算电量表!AC49*1.17</f>
        <v>1.035324919489786</v>
      </c>
    </row>
    <row r="32" spans="1:18" ht="18.75" customHeight="1" x14ac:dyDescent="0.15">
      <c r="A32" s="36" t="s">
        <v>95</v>
      </c>
      <c r="B32" s="26"/>
      <c r="C32" s="244">
        <f>营业总收入!C34/结算电量表!Q50*1.17</f>
        <v>0.62349440736129191</v>
      </c>
      <c r="D32" s="244">
        <f>营业总收入!D34/结算电量表!R50*1.17</f>
        <v>0.67101233268353411</v>
      </c>
      <c r="E32" s="244">
        <f>营业总收入!E34/结算电量表!S50*1.17</f>
        <v>0.64951837488098596</v>
      </c>
      <c r="F32" s="244">
        <f>营业总收入!F34/结算电量表!T50*1.17</f>
        <v>0.64160552269406901</v>
      </c>
      <c r="G32" s="244">
        <f>营业总收入!G34/结算电量表!U50*1.17</f>
        <v>0.63698820197102679</v>
      </c>
      <c r="H32" s="244">
        <f>营业总收入!H34/结算电量表!V50*1.17</f>
        <v>0.62803847042631944</v>
      </c>
      <c r="I32" s="244">
        <f>营业总收入!I34/结算电量表!W50*1.17</f>
        <v>0.65136717639467445</v>
      </c>
      <c r="J32" s="244">
        <f>营业总收入!J34/结算电量表!X50*1.17</f>
        <v>0.50020989194370469</v>
      </c>
      <c r="K32" s="244">
        <f>营业总收入!K34/结算电量表!Y50*1.17</f>
        <v>0.58869101138607194</v>
      </c>
      <c r="L32" s="244">
        <f>营业总收入!L34/结算电量表!Z50*1.17</f>
        <v>0.51182017716876227</v>
      </c>
      <c r="M32" s="244">
        <f>营业总收入!M34/结算电量表!AA50*1.17</f>
        <v>0.49260518902441391</v>
      </c>
      <c r="N32" s="244">
        <f>营业总收入!N34/结算电量表!AB50*1.17</f>
        <v>0.34296402136250631</v>
      </c>
      <c r="O32" s="244">
        <f>营业总收入!O34/结算电量表!AC50*1.17</f>
        <v>0.5839840460674095</v>
      </c>
    </row>
    <row r="33" spans="1:41" x14ac:dyDescent="0.15"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</row>
    <row r="34" spans="1:41" x14ac:dyDescent="0.15">
      <c r="A34" s="36" t="s">
        <v>163</v>
      </c>
      <c r="B34" s="36"/>
      <c r="C34" s="242">
        <f>营业总收入!C36/结算电量表!Q51*1.17</f>
        <v>0.61630218668160996</v>
      </c>
      <c r="D34" s="242">
        <f>营业总收入!D36/结算电量表!R51*1.17</f>
        <v>0.52963300438898686</v>
      </c>
      <c r="E34" s="242">
        <f>营业总收入!E36/结算电量表!S51*1.17</f>
        <v>0.52102818815119822</v>
      </c>
      <c r="F34" s="242">
        <f>营业总收入!F36/结算电量表!T51*1.17</f>
        <v>0.59063489467849228</v>
      </c>
      <c r="G34" s="242">
        <f>营业总收入!G36/结算电量表!U51*1.17</f>
        <v>0.56395971711815385</v>
      </c>
      <c r="H34" s="242">
        <f>营业总收入!H36/结算电量表!V51*1.17</f>
        <v>0.61310704873314126</v>
      </c>
      <c r="I34" s="242">
        <f>营业总收入!I36/结算电量表!W51*1.17</f>
        <v>0.48190006175832351</v>
      </c>
      <c r="J34" s="242">
        <f>营业总收入!J36/结算电量表!X51*1.17</f>
        <v>0.4932652231414093</v>
      </c>
      <c r="K34" s="242">
        <f>营业总收入!K36/结算电量表!Y51*1.17</f>
        <v>0.43143678226121374</v>
      </c>
      <c r="L34" s="242">
        <f>营业总收入!L36/结算电量表!Z51*1.17</f>
        <v>0.56400332198583369</v>
      </c>
      <c r="M34" s="242">
        <f>营业总收入!M36/结算电量表!AA51*1.17</f>
        <v>-2.8494219998387586E-3</v>
      </c>
      <c r="N34" s="242">
        <f>营业总收入!N36/结算电量表!AB51*1.17</f>
        <v>0.49356999990490674</v>
      </c>
      <c r="O34" s="242">
        <f>营业总收入!O36/结算电量表!AC51*1.17</f>
        <v>0.49894315452325239</v>
      </c>
    </row>
    <row r="35" spans="1:41" x14ac:dyDescent="0.15">
      <c r="A35" s="36" t="s">
        <v>164</v>
      </c>
      <c r="B35" s="36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>
        <f>营业总收入!N37/结算电量表!AB52*1.17</f>
        <v>0</v>
      </c>
      <c r="O35" s="242">
        <f>营业总收入!O37/结算电量表!AC52*1.17</f>
        <v>0</v>
      </c>
    </row>
    <row r="36" spans="1:41" x14ac:dyDescent="0.15">
      <c r="A36" s="36" t="s">
        <v>165</v>
      </c>
      <c r="B36" s="36"/>
      <c r="C36" s="242">
        <f>营业总收入!C38/结算电量表!Q53*1.17</f>
        <v>0</v>
      </c>
      <c r="D36" s="242" t="e">
        <f>营业总收入!D38/结算电量表!R53*1.17</f>
        <v>#DIV/0!</v>
      </c>
      <c r="E36" s="242" t="e">
        <f>营业总收入!E38/结算电量表!S53*1.17</f>
        <v>#DIV/0!</v>
      </c>
      <c r="F36" s="242">
        <f>营业总收入!F38/结算电量表!T53*1.17</f>
        <v>0</v>
      </c>
      <c r="G36" s="242">
        <f>营业总收入!G38/结算电量表!U53*1.17</f>
        <v>0</v>
      </c>
      <c r="H36" s="242">
        <f>营业总收入!H38/结算电量表!V53*1.17</f>
        <v>0.95999999999999985</v>
      </c>
      <c r="I36" s="242">
        <f>营业总收入!I38/结算电量表!W53*1.17</f>
        <v>0.95950695108350725</v>
      </c>
      <c r="J36" s="242">
        <f>营业总收入!J38/结算电量表!X53*1.17</f>
        <v>0.96000000235677319</v>
      </c>
      <c r="K36" s="242">
        <f>营业总收入!K38/结算电量表!Y53*1.17</f>
        <v>0.84842853512416561</v>
      </c>
      <c r="L36" s="242">
        <f>营业总收入!L38/结算电量表!Z53*1.17</f>
        <v>0.87846203577201343</v>
      </c>
      <c r="M36" s="242">
        <f>营业总收入!M38/结算电量表!AA53*1.17</f>
        <v>0.18587856830521929</v>
      </c>
      <c r="N36" s="242">
        <f>营业总收入!N38/结算电量表!AB53*1.17</f>
        <v>0.83355867409029127</v>
      </c>
      <c r="O36" s="242">
        <f>营业总收入!O38/结算电量表!AC53*1.17</f>
        <v>0.653156792828685</v>
      </c>
    </row>
    <row r="38" spans="1:41" x14ac:dyDescent="0.15">
      <c r="A38" s="203" t="s">
        <v>166</v>
      </c>
    </row>
    <row r="39" spans="1:41" ht="18.75" customHeight="1" x14ac:dyDescent="0.15">
      <c r="A39" s="164"/>
      <c r="B39" s="243"/>
      <c r="C39" s="380" t="s">
        <v>161</v>
      </c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26"/>
      <c r="P39" s="243" t="s">
        <v>167</v>
      </c>
      <c r="Q39" s="380" t="s">
        <v>168</v>
      </c>
      <c r="R39" s="380"/>
      <c r="S39" s="380"/>
      <c r="T39" s="380"/>
      <c r="U39" s="380"/>
      <c r="V39" s="380"/>
      <c r="W39" s="380"/>
      <c r="X39" s="380"/>
      <c r="Y39" s="380"/>
      <c r="Z39" s="380"/>
      <c r="AA39" s="380"/>
      <c r="AB39" s="380"/>
      <c r="AC39" s="26"/>
      <c r="AD39" s="380" t="s">
        <v>169</v>
      </c>
      <c r="AE39" s="380"/>
      <c r="AF39" s="380"/>
      <c r="AG39" s="380"/>
      <c r="AH39" s="380"/>
      <c r="AI39" s="380"/>
      <c r="AJ39" s="380"/>
      <c r="AK39" s="380"/>
      <c r="AL39" s="380"/>
      <c r="AM39" s="380"/>
      <c r="AN39" s="380"/>
      <c r="AO39" s="380"/>
    </row>
    <row r="40" spans="1:41" ht="18.75" customHeight="1" x14ac:dyDescent="0.15">
      <c r="A40" s="164" t="s">
        <v>170</v>
      </c>
      <c r="B40" s="26" t="s">
        <v>0</v>
      </c>
      <c r="C40" s="167" t="s">
        <v>83</v>
      </c>
      <c r="D40" s="167" t="s">
        <v>84</v>
      </c>
      <c r="E40" s="167" t="s">
        <v>85</v>
      </c>
      <c r="F40" s="167" t="s">
        <v>86</v>
      </c>
      <c r="G40" s="167" t="s">
        <v>87</v>
      </c>
      <c r="H40" s="167" t="s">
        <v>88</v>
      </c>
      <c r="I40" s="167" t="s">
        <v>89</v>
      </c>
      <c r="J40" s="167" t="s">
        <v>90</v>
      </c>
      <c r="K40" s="167" t="s">
        <v>91</v>
      </c>
      <c r="L40" s="167" t="s">
        <v>92</v>
      </c>
      <c r="M40" s="167" t="s">
        <v>93</v>
      </c>
      <c r="N40" s="167" t="s">
        <v>94</v>
      </c>
      <c r="O40" s="44" t="s">
        <v>111</v>
      </c>
      <c r="P40" s="243"/>
      <c r="Q40" s="178" t="s">
        <v>83</v>
      </c>
      <c r="R40" s="178" t="s">
        <v>84</v>
      </c>
      <c r="S40" s="178" t="s">
        <v>85</v>
      </c>
      <c r="T40" s="178" t="s">
        <v>86</v>
      </c>
      <c r="U40" s="178" t="s">
        <v>87</v>
      </c>
      <c r="V40" s="178" t="s">
        <v>88</v>
      </c>
      <c r="W40" s="178" t="s">
        <v>89</v>
      </c>
      <c r="X40" s="178" t="s">
        <v>90</v>
      </c>
      <c r="Y40" s="178" t="s">
        <v>91</v>
      </c>
      <c r="Z40" s="167" t="s">
        <v>92</v>
      </c>
      <c r="AA40" s="167" t="s">
        <v>93</v>
      </c>
      <c r="AB40" s="167" t="s">
        <v>94</v>
      </c>
      <c r="AC40" s="44" t="s">
        <v>111</v>
      </c>
      <c r="AD40" s="178" t="s">
        <v>83</v>
      </c>
      <c r="AE40" s="178" t="s">
        <v>84</v>
      </c>
      <c r="AF40" s="178" t="s">
        <v>85</v>
      </c>
      <c r="AG40" s="178" t="s">
        <v>86</v>
      </c>
      <c r="AH40" s="178" t="s">
        <v>87</v>
      </c>
      <c r="AI40" s="178" t="s">
        <v>88</v>
      </c>
      <c r="AJ40" s="178" t="s">
        <v>89</v>
      </c>
      <c r="AK40" s="178" t="s">
        <v>90</v>
      </c>
      <c r="AL40" s="178" t="s">
        <v>91</v>
      </c>
      <c r="AM40" s="167" t="s">
        <v>92</v>
      </c>
      <c r="AN40" s="167" t="s">
        <v>93</v>
      </c>
      <c r="AO40" s="167" t="s">
        <v>94</v>
      </c>
    </row>
    <row r="41" spans="1:41" ht="18.75" customHeight="1" x14ac:dyDescent="0.15">
      <c r="A41" s="36" t="s">
        <v>148</v>
      </c>
      <c r="B41" s="26"/>
      <c r="C41" s="242">
        <v>0.52888407605313403</v>
      </c>
      <c r="D41" s="242">
        <v>0.55277196860405298</v>
      </c>
      <c r="E41" s="242">
        <v>0.51048742472808895</v>
      </c>
      <c r="F41" s="242">
        <v>0.52686294854973903</v>
      </c>
      <c r="G41" s="242">
        <v>0.51869574278488795</v>
      </c>
      <c r="H41" s="242">
        <v>0.38682317875310401</v>
      </c>
      <c r="I41" s="242">
        <v>0.40170665311651099</v>
      </c>
      <c r="J41" s="242">
        <v>0.39836259174104099</v>
      </c>
      <c r="K41" s="242">
        <v>0.543302389769732</v>
      </c>
      <c r="L41" s="242">
        <v>0.46811223885790598</v>
      </c>
      <c r="M41" s="242">
        <v>0.42378061536511202</v>
      </c>
      <c r="N41" s="242">
        <v>0.41895722965181098</v>
      </c>
      <c r="O41" s="242">
        <v>0.47121197749239002</v>
      </c>
      <c r="P41" s="250">
        <f>营业总收入!AD43/结算电量表!AD57*1.17</f>
        <v>0.52888083754520865</v>
      </c>
      <c r="Q41" s="242">
        <v>0.125</v>
      </c>
      <c r="R41" s="242">
        <v>0.14512051497797199</v>
      </c>
      <c r="S41" s="242">
        <v>0.134917542667781</v>
      </c>
      <c r="T41" s="242">
        <v>0.111740095486729</v>
      </c>
      <c r="U41" s="242">
        <v>0.115970117151797</v>
      </c>
      <c r="V41" s="242">
        <v>0.154050685264669</v>
      </c>
      <c r="W41" s="242">
        <v>0.152343898835998</v>
      </c>
      <c r="X41" s="242">
        <v>0.18749463509491501</v>
      </c>
      <c r="Y41" s="242">
        <v>0.181336699012935</v>
      </c>
      <c r="Z41" s="242">
        <v>0.212627600226486</v>
      </c>
      <c r="AA41" s="242">
        <v>0.21197190105650601</v>
      </c>
      <c r="AB41" s="242">
        <v>0.24287354063503999</v>
      </c>
      <c r="AC41" s="242">
        <v>0.16958999999999999</v>
      </c>
      <c r="AD41" s="242">
        <v>0.17199999999999999</v>
      </c>
      <c r="AE41" s="242">
        <v>0.18139</v>
      </c>
      <c r="AF41" s="242"/>
      <c r="AG41" s="242"/>
      <c r="AH41" s="242"/>
      <c r="AI41" s="242"/>
      <c r="AJ41" s="242"/>
      <c r="AK41" s="242"/>
      <c r="AL41" s="242"/>
      <c r="AM41" s="242"/>
      <c r="AN41" s="242"/>
      <c r="AO41" s="242"/>
    </row>
    <row r="42" spans="1:41" ht="18.75" customHeight="1" x14ac:dyDescent="0.15">
      <c r="A42" s="36" t="s">
        <v>149</v>
      </c>
      <c r="B42" s="26"/>
      <c r="C42" s="242">
        <v>0.44122600625381297</v>
      </c>
      <c r="D42" s="242">
        <v>0.52583917075471698</v>
      </c>
      <c r="E42" s="242">
        <v>0.50714710866665202</v>
      </c>
      <c r="F42" s="242">
        <v>0.48021963954213698</v>
      </c>
      <c r="G42" s="242">
        <v>0.52511941933551298</v>
      </c>
      <c r="H42" s="242">
        <v>0.40931862646171302</v>
      </c>
      <c r="I42" s="242">
        <v>0.44010861110859201</v>
      </c>
      <c r="J42" s="242">
        <v>0.44142225527662199</v>
      </c>
      <c r="K42" s="242">
        <v>0.516553289718373</v>
      </c>
      <c r="L42" s="242">
        <v>0.34357340482104298</v>
      </c>
      <c r="M42" s="242">
        <v>0.32921046836037798</v>
      </c>
      <c r="N42" s="242">
        <v>0.39776556853522299</v>
      </c>
      <c r="O42" s="242">
        <v>0.44505479419271599</v>
      </c>
      <c r="P42" s="250">
        <f>营业总收入!AD44/结算电量表!AD58*1.17</f>
        <v>0.49480773294332181</v>
      </c>
      <c r="Q42" s="242">
        <v>0.11600000000000001</v>
      </c>
      <c r="R42" s="242">
        <v>0.13033337011589899</v>
      </c>
      <c r="S42" s="242">
        <v>0.119883688690347</v>
      </c>
      <c r="T42" s="242">
        <v>0.111798626961124</v>
      </c>
      <c r="U42" s="242">
        <v>0.110939292587048</v>
      </c>
      <c r="V42" s="242">
        <v>0.15200532117840301</v>
      </c>
      <c r="W42" s="242">
        <v>0.14546649419798799</v>
      </c>
      <c r="X42" s="242">
        <v>0.17818808738643499</v>
      </c>
      <c r="Y42" s="242">
        <v>0.18549033861459999</v>
      </c>
      <c r="Z42" s="242">
        <v>0.216085743130629</v>
      </c>
      <c r="AA42" s="242">
        <v>0.207780196165544</v>
      </c>
      <c r="AB42" s="242">
        <v>0.24445254543959999</v>
      </c>
      <c r="AC42" s="242">
        <v>0.17399999999999999</v>
      </c>
      <c r="AD42" s="242">
        <v>0.17399999999999999</v>
      </c>
      <c r="AE42" s="242">
        <v>0.18134345326708201</v>
      </c>
      <c r="AF42" s="242"/>
      <c r="AG42" s="242"/>
      <c r="AH42" s="242"/>
      <c r="AI42" s="242"/>
      <c r="AJ42" s="242"/>
      <c r="AK42" s="242"/>
      <c r="AL42" s="242"/>
      <c r="AM42" s="242"/>
      <c r="AN42" s="242"/>
      <c r="AO42" s="242"/>
    </row>
    <row r="43" spans="1:41" ht="18.75" customHeight="1" x14ac:dyDescent="0.15">
      <c r="A43" s="36" t="s">
        <v>150</v>
      </c>
      <c r="B43" s="26"/>
      <c r="C43" s="242">
        <v>0.42258274924552702</v>
      </c>
      <c r="D43" s="242">
        <v>0.48211760841523299</v>
      </c>
      <c r="E43" s="242">
        <v>0.50790746650342</v>
      </c>
      <c r="F43" s="242">
        <v>0.45697824285078398</v>
      </c>
      <c r="G43" s="242">
        <v>0.48512132430956401</v>
      </c>
      <c r="H43" s="242">
        <v>0.41528020583865299</v>
      </c>
      <c r="I43" s="242">
        <v>0.39893293686868597</v>
      </c>
      <c r="J43" s="242">
        <v>0.44249286544257699</v>
      </c>
      <c r="K43" s="242">
        <v>0.46272534862415599</v>
      </c>
      <c r="L43" s="242">
        <v>0.34255594277189799</v>
      </c>
      <c r="M43" s="242">
        <v>0.29028432828985401</v>
      </c>
      <c r="N43" s="242">
        <v>0.38072272770871501</v>
      </c>
      <c r="O43" s="242">
        <v>0.425137923779355</v>
      </c>
      <c r="P43" s="250">
        <f>营业总收入!AD45/结算电量表!AD59*1.17</f>
        <v>0.47397243583295817</v>
      </c>
      <c r="Q43" s="242">
        <v>0.11799999999999999</v>
      </c>
      <c r="R43" s="242">
        <v>0.13526286065427401</v>
      </c>
      <c r="S43" s="242">
        <v>8.5492478543603104E-2</v>
      </c>
      <c r="T43" s="242">
        <v>0.111761867533215</v>
      </c>
      <c r="U43" s="242">
        <v>0.108337119014301</v>
      </c>
      <c r="V43" s="242">
        <v>0.14494555658469899</v>
      </c>
      <c r="W43" s="242">
        <v>0.145950716979317</v>
      </c>
      <c r="X43" s="242">
        <v>0.17312873021282901</v>
      </c>
      <c r="Y43" s="242">
        <v>0.18920408408628001</v>
      </c>
      <c r="Z43" s="242">
        <v>0.21288503273643899</v>
      </c>
      <c r="AA43" s="242">
        <v>0.208572378050499</v>
      </c>
      <c r="AB43" s="242">
        <v>0.24621065559989</v>
      </c>
      <c r="AC43" s="242">
        <v>0.17</v>
      </c>
      <c r="AD43" s="242">
        <v>0.18</v>
      </c>
      <c r="AE43" s="242">
        <v>0.185707069096229</v>
      </c>
      <c r="AF43" s="242"/>
      <c r="AG43" s="242"/>
      <c r="AH43" s="242"/>
      <c r="AI43" s="242"/>
      <c r="AJ43" s="242"/>
      <c r="AK43" s="242"/>
      <c r="AL43" s="242"/>
      <c r="AM43" s="242"/>
      <c r="AN43" s="242"/>
      <c r="AO43" s="242"/>
    </row>
    <row r="44" spans="1:41" ht="18.75" customHeight="1" x14ac:dyDescent="0.15">
      <c r="A44" s="36" t="s">
        <v>151</v>
      </c>
      <c r="B44" s="26"/>
      <c r="C44" s="242">
        <v>0.46629858447058797</v>
      </c>
      <c r="D44" s="242">
        <v>0.42542336159671501</v>
      </c>
      <c r="E44" s="242">
        <v>0.54022191324253799</v>
      </c>
      <c r="F44" s="242">
        <v>0.53939633005181398</v>
      </c>
      <c r="G44" s="242">
        <v>0.55766672851048105</v>
      </c>
      <c r="H44" s="242">
        <v>0.53794618307512398</v>
      </c>
      <c r="I44" s="242">
        <v>0.51815330476190502</v>
      </c>
      <c r="J44" s="242">
        <v>0.528384110781418</v>
      </c>
      <c r="K44" s="242">
        <v>0.48328162970380101</v>
      </c>
      <c r="L44" s="242">
        <v>0.51233260605430997</v>
      </c>
      <c r="M44" s="242">
        <v>0.57880605421308895</v>
      </c>
      <c r="N44" s="242">
        <v>0.52340215793478095</v>
      </c>
      <c r="O44" s="242">
        <f>营业总收入!O46/(结算电量表!AC60-结算电量表!AC81)*1.17</f>
        <v>0.52607731968351257</v>
      </c>
      <c r="P44" s="250">
        <f>营业总收入!AD46/结算电量表!AD60*1.17</f>
        <v>0.49558436473933648</v>
      </c>
      <c r="Q44" s="242">
        <v>8.4000000000000005E-2</v>
      </c>
      <c r="R44" s="242">
        <v>7.9777339268192193E-2</v>
      </c>
      <c r="S44" s="242">
        <v>6.1366236026356498E-2</v>
      </c>
      <c r="T44" s="242">
        <v>5.6155434263431399E-2</v>
      </c>
      <c r="U44" s="242">
        <v>5.5650463948585201E-2</v>
      </c>
      <c r="V44" s="242">
        <v>0.119999999595476</v>
      </c>
      <c r="W44" s="242">
        <v>0.104398748726725</v>
      </c>
      <c r="X44" s="242">
        <v>0.104829536027255</v>
      </c>
      <c r="Y44" s="242">
        <v>0.119922823506155</v>
      </c>
      <c r="Z44" s="242">
        <v>0.106977297042457</v>
      </c>
      <c r="AA44" s="242">
        <v>8.8664570617107405E-2</v>
      </c>
      <c r="AB44" s="242">
        <v>7.9505519763556395E-2</v>
      </c>
      <c r="AC44" s="242">
        <v>8.3000000000000004E-2</v>
      </c>
      <c r="AD44" s="242">
        <v>3.6400837696335099E-2</v>
      </c>
      <c r="AE44" s="242">
        <v>3.4164443130710702E-2</v>
      </c>
      <c r="AF44" s="242"/>
      <c r="AG44" s="242"/>
      <c r="AH44" s="242"/>
      <c r="AI44" s="242"/>
      <c r="AJ44" s="242"/>
      <c r="AK44" s="242"/>
      <c r="AL44" s="242"/>
      <c r="AM44" s="242"/>
      <c r="AN44" s="242"/>
      <c r="AO44" s="242"/>
    </row>
    <row r="45" spans="1:41" ht="18.75" hidden="1" customHeight="1" x14ac:dyDescent="0.15">
      <c r="A45" s="36" t="s">
        <v>152</v>
      </c>
      <c r="B45" s="26"/>
      <c r="C45" s="242">
        <v>0.53616201168969202</v>
      </c>
      <c r="D45" s="242">
        <v>0.53617556083865103</v>
      </c>
      <c r="E45" s="242">
        <v>0.53618740348837202</v>
      </c>
      <c r="F45" s="242">
        <v>0.53618682717253996</v>
      </c>
      <c r="G45" s="242">
        <v>0.28862621094570201</v>
      </c>
      <c r="H45" s="242">
        <v>0.29102417827350102</v>
      </c>
      <c r="I45" s="242">
        <v>0.38489286951087198</v>
      </c>
      <c r="J45" s="242">
        <v>0.42814519543417801</v>
      </c>
      <c r="K45" s="242">
        <v>0.45671802532962902</v>
      </c>
      <c r="L45" s="242">
        <v>0.46148366384074901</v>
      </c>
      <c r="M45" s="242">
        <v>0.58380081824465202</v>
      </c>
      <c r="N45" s="242">
        <v>0.52220764379098195</v>
      </c>
      <c r="O45" s="242">
        <v>0.41656594911379102</v>
      </c>
      <c r="P45" s="250">
        <f>营业总收入!AD47/结算电量表!AD61*1.17</f>
        <v>0.53618101449942457</v>
      </c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</row>
    <row r="46" spans="1:41" ht="18.75" customHeight="1" x14ac:dyDescent="0.15">
      <c r="A46" s="36" t="s">
        <v>153</v>
      </c>
      <c r="B46" s="26"/>
      <c r="C46" s="242">
        <v>0.53620000023892</v>
      </c>
      <c r="D46" s="242">
        <v>0.53619999888816205</v>
      </c>
      <c r="E46" s="242">
        <v>0.536199998310811</v>
      </c>
      <c r="F46" s="242">
        <v>0.53620000120646905</v>
      </c>
      <c r="G46" s="242">
        <v>0.53620000046382199</v>
      </c>
      <c r="H46" s="242">
        <v>0.53598363324186904</v>
      </c>
      <c r="I46" s="242">
        <v>0.53620000057968997</v>
      </c>
      <c r="J46" s="242">
        <v>0.53619999978699795</v>
      </c>
      <c r="K46" s="242">
        <v>0.53619999986078204</v>
      </c>
      <c r="L46" s="242">
        <v>0.51389665482223601</v>
      </c>
      <c r="M46" s="242">
        <v>0.56247735207706195</v>
      </c>
      <c r="N46" s="242">
        <v>0.54484838693967297</v>
      </c>
      <c r="O46" s="242">
        <v>0.53751064965699402</v>
      </c>
      <c r="P46" s="250">
        <f>营业总收入!AD48/结算电量表!AD62*1.17</f>
        <v>0.53619999989055889</v>
      </c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2"/>
      <c r="AH46" s="242"/>
      <c r="AI46" s="242"/>
      <c r="AJ46" s="242"/>
      <c r="AK46" s="242"/>
      <c r="AL46" s="242"/>
      <c r="AM46" s="242"/>
      <c r="AN46" s="242"/>
      <c r="AO46" s="242"/>
    </row>
    <row r="47" spans="1:41" ht="18.75" customHeight="1" x14ac:dyDescent="0.15">
      <c r="A47" s="36" t="s">
        <v>154</v>
      </c>
      <c r="B47" s="26"/>
      <c r="C47" s="242">
        <v>0.53619999486356396</v>
      </c>
      <c r="D47" s="242">
        <v>0.536200007017544</v>
      </c>
      <c r="E47" s="242">
        <v>0.53620000120618205</v>
      </c>
      <c r="F47" s="242">
        <v>0.53619468590569397</v>
      </c>
      <c r="G47" s="242">
        <v>0.53622434972072097</v>
      </c>
      <c r="H47" s="245">
        <v>0.53602466070542598</v>
      </c>
      <c r="I47" s="242">
        <v>0.53620000044125704</v>
      </c>
      <c r="J47" s="242">
        <v>0.53185979276810202</v>
      </c>
      <c r="K47" s="242">
        <v>0.53661939726241703</v>
      </c>
      <c r="L47" s="242">
        <v>0.49641346908023498</v>
      </c>
      <c r="M47" s="242">
        <v>0.62293824138655496</v>
      </c>
      <c r="N47" s="242">
        <v>0.53619998909774402</v>
      </c>
      <c r="O47" s="242">
        <v>0.53572369083466898</v>
      </c>
      <c r="P47" s="250">
        <f>营业总收入!AD49/结算电量表!AD63*1.17</f>
        <v>0.53619709244444924</v>
      </c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  <c r="AJ47" s="242"/>
      <c r="AK47" s="242"/>
      <c r="AL47" s="242"/>
      <c r="AM47" s="242"/>
      <c r="AN47" s="242"/>
      <c r="AO47" s="242"/>
    </row>
    <row r="48" spans="1:41" ht="18.75" customHeight="1" x14ac:dyDescent="0.15">
      <c r="A48" s="36" t="s">
        <v>155</v>
      </c>
      <c r="B48" s="26"/>
      <c r="C48" s="242" t="e">
        <v>#DIV/0!</v>
      </c>
      <c r="D48" s="242" t="e">
        <v>#DIV/0!</v>
      </c>
      <c r="E48" s="242" t="e">
        <v>#DIV/0!</v>
      </c>
      <c r="F48" s="242" t="e">
        <v>#DIV/0!</v>
      </c>
      <c r="G48" s="242">
        <v>0.25449392054465397</v>
      </c>
      <c r="H48" s="242">
        <v>0.19271824063000301</v>
      </c>
      <c r="I48" s="242">
        <v>0.31477090845666</v>
      </c>
      <c r="J48" s="242">
        <v>0.40677146108749701</v>
      </c>
      <c r="K48" s="242">
        <v>0.42810127552501598</v>
      </c>
      <c r="L48" s="242">
        <v>0.45628990007126202</v>
      </c>
      <c r="M48" s="242">
        <v>0.59159506550817298</v>
      </c>
      <c r="N48" s="242">
        <v>0.51656479871647898</v>
      </c>
      <c r="O48" s="242">
        <v>0.36839959415297902</v>
      </c>
      <c r="P48" s="250" t="e">
        <f>营业总收入!AD50/结算电量表!AD64*1.17</f>
        <v>#DIV/0!</v>
      </c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2"/>
      <c r="AI48" s="242"/>
      <c r="AJ48" s="242"/>
      <c r="AK48" s="242"/>
      <c r="AL48" s="242"/>
      <c r="AM48" s="242"/>
      <c r="AN48" s="242"/>
      <c r="AO48" s="242"/>
    </row>
    <row r="49" spans="1:41" ht="18.75" customHeight="1" x14ac:dyDescent="0.15">
      <c r="A49" s="36" t="s">
        <v>156</v>
      </c>
      <c r="B49" s="26"/>
      <c r="C49" s="242" t="e">
        <v>#DIV/0!</v>
      </c>
      <c r="D49" s="242" t="e">
        <v>#DIV/0!</v>
      </c>
      <c r="E49" s="242" t="e">
        <v>#DIV/0!</v>
      </c>
      <c r="F49" s="242" t="e">
        <v>#DIV/0!</v>
      </c>
      <c r="G49" s="242">
        <v>0.186349670524981</v>
      </c>
      <c r="H49" s="242">
        <v>0.21838631539297401</v>
      </c>
      <c r="I49" s="242">
        <v>0.32899390129560802</v>
      </c>
      <c r="J49" s="242">
        <v>0.37661967605492602</v>
      </c>
      <c r="K49" s="242">
        <v>0.39359336008321499</v>
      </c>
      <c r="L49" s="242">
        <v>0.44148041693472101</v>
      </c>
      <c r="M49" s="242">
        <v>0.58475989729856703</v>
      </c>
      <c r="N49" s="242">
        <v>0.51561101853745295</v>
      </c>
      <c r="O49" s="242">
        <v>0.34622509882841002</v>
      </c>
      <c r="P49" s="250" t="e">
        <f>营业总收入!AD51/结算电量表!AD65*1.17</f>
        <v>#DIV/0!</v>
      </c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242"/>
      <c r="AJ49" s="242"/>
      <c r="AK49" s="242"/>
      <c r="AL49" s="242"/>
      <c r="AM49" s="242"/>
      <c r="AN49" s="242"/>
      <c r="AO49" s="242"/>
    </row>
    <row r="50" spans="1:41" ht="18.75" customHeight="1" x14ac:dyDescent="0.15">
      <c r="A50" s="36" t="s">
        <v>157</v>
      </c>
      <c r="B50" s="26"/>
      <c r="C50" s="242">
        <v>0.48018867735849102</v>
      </c>
      <c r="D50" s="242">
        <v>0.45645414796650702</v>
      </c>
      <c r="E50" s="242">
        <v>0.456438208526461</v>
      </c>
      <c r="F50" s="242">
        <v>0.44653852774528302</v>
      </c>
      <c r="G50" s="242">
        <v>0.44155749898042401</v>
      </c>
      <c r="H50" s="242">
        <v>0.448829436117341</v>
      </c>
      <c r="I50" s="242">
        <v>0.47696437497786998</v>
      </c>
      <c r="J50" s="242">
        <v>0.45132879515541502</v>
      </c>
      <c r="K50" s="242">
        <v>0.416083831843575</v>
      </c>
      <c r="L50" s="242">
        <v>0.47345708252116597</v>
      </c>
      <c r="M50" s="242">
        <v>0.41213484094703001</v>
      </c>
      <c r="N50" s="242">
        <v>0.446944626610013</v>
      </c>
      <c r="O50" s="242">
        <v>0.45043254042706199</v>
      </c>
      <c r="P50" s="250">
        <f>营业总收入!AD52/结算电量表!AD66*1.17</f>
        <v>0.45336843430398754</v>
      </c>
      <c r="Q50" s="242">
        <v>0.23</v>
      </c>
      <c r="R50" s="242">
        <v>0.216604683677036</v>
      </c>
      <c r="S50" s="242">
        <v>0.20343401331910199</v>
      </c>
      <c r="T50" s="242">
        <v>0.21977830249008801</v>
      </c>
      <c r="U50" s="242">
        <v>0.22202612250905601</v>
      </c>
      <c r="V50" s="242">
        <v>0.228689404294867</v>
      </c>
      <c r="W50" s="242">
        <v>0.21766273487451401</v>
      </c>
      <c r="X50" s="242">
        <v>0.219249009422392</v>
      </c>
      <c r="Y50" s="242">
        <v>0.226860217453908</v>
      </c>
      <c r="Z50" s="242">
        <v>0.17879264043898699</v>
      </c>
      <c r="AA50" s="242">
        <v>0.232194090656859</v>
      </c>
      <c r="AB50" s="242">
        <v>0.15122804769197001</v>
      </c>
      <c r="AC50" s="242">
        <v>0.216</v>
      </c>
      <c r="AD50" s="242">
        <v>0.10448</v>
      </c>
      <c r="AE50" s="242">
        <v>0.16862779062484901</v>
      </c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</row>
    <row r="51" spans="1:41" ht="18.75" customHeight="1" x14ac:dyDescent="0.15">
      <c r="A51" s="36" t="s">
        <v>158</v>
      </c>
      <c r="B51" s="26"/>
      <c r="C51" s="242">
        <v>1.0156659487414199</v>
      </c>
      <c r="D51" s="242">
        <v>1.0671087628700799</v>
      </c>
      <c r="E51" s="242">
        <v>1.05590632592046</v>
      </c>
      <c r="F51" s="242">
        <v>1.05475382209762</v>
      </c>
      <c r="G51" s="242">
        <v>1.06065780553415</v>
      </c>
      <c r="H51" s="242">
        <v>0.97721985242328802</v>
      </c>
      <c r="I51" s="242">
        <v>1.0269375775751799</v>
      </c>
      <c r="J51" s="242">
        <v>0.95899114855427103</v>
      </c>
      <c r="K51" s="242">
        <v>1.0581803452624301</v>
      </c>
      <c r="L51" s="242">
        <v>1.00864607319328</v>
      </c>
      <c r="M51" s="242">
        <v>0.97256669913391502</v>
      </c>
      <c r="N51" s="242">
        <v>0.94156215121264997</v>
      </c>
      <c r="O51" s="242">
        <v>1.01736052170513</v>
      </c>
      <c r="P51" s="250">
        <f>营业总收入!AD53/结算电量表!AD67*1.17</f>
        <v>1.0482349945337484</v>
      </c>
      <c r="Q51" s="242">
        <v>0.125</v>
      </c>
      <c r="R51" s="242">
        <v>0.13870955348757799</v>
      </c>
      <c r="S51" s="242">
        <v>0.12843503126311301</v>
      </c>
      <c r="T51" s="242">
        <v>0.11078112708367201</v>
      </c>
      <c r="U51" s="242">
        <v>0.11582224566902199</v>
      </c>
      <c r="V51" s="242">
        <v>0.15407803833993799</v>
      </c>
      <c r="W51" s="242">
        <v>0.15046186964996999</v>
      </c>
      <c r="X51" s="242">
        <v>0.216654982482541</v>
      </c>
      <c r="Y51" s="242">
        <v>0.20677246619932699</v>
      </c>
      <c r="Z51" s="242">
        <v>0.21436497866815099</v>
      </c>
      <c r="AA51" s="242">
        <v>0.21134809219022399</v>
      </c>
      <c r="AB51" s="242">
        <v>0.245123359940532</v>
      </c>
      <c r="AC51" s="242">
        <v>0.17699999999999999</v>
      </c>
      <c r="AD51" s="242">
        <v>0.155</v>
      </c>
      <c r="AE51" s="242">
        <v>0.17288080556233501</v>
      </c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</row>
    <row r="52" spans="1:41" ht="18.75" customHeight="1" x14ac:dyDescent="0.15">
      <c r="A52" s="36" t="s">
        <v>159</v>
      </c>
      <c r="B52" s="26"/>
      <c r="C52" s="242">
        <v>0.94897765933035305</v>
      </c>
      <c r="D52" s="242">
        <v>1.13955788029575</v>
      </c>
      <c r="E52" s="242">
        <v>1.0840522123980101</v>
      </c>
      <c r="F52" s="242">
        <v>1.0814476394160399</v>
      </c>
      <c r="G52" s="242">
        <v>1.0945507874934699</v>
      </c>
      <c r="H52" s="242">
        <v>1.0993482828916501</v>
      </c>
      <c r="I52" s="242">
        <v>1.0892586042816199</v>
      </c>
      <c r="J52" s="242">
        <v>1.0937179456903701</v>
      </c>
      <c r="K52" s="242">
        <v>1.08516924481203</v>
      </c>
      <c r="L52" s="242">
        <v>1.08635967399069</v>
      </c>
      <c r="M52" s="242">
        <v>1.0884949939778099</v>
      </c>
      <c r="N52" s="242">
        <v>1.0780414777507401</v>
      </c>
      <c r="O52" s="242">
        <v>1.0828741222642999</v>
      </c>
      <c r="P52" s="250">
        <f>营业总收入!AD54/结算电量表!AD68*1.17</f>
        <v>1.0679722476656885</v>
      </c>
      <c r="Q52" s="242">
        <v>7.0999999999999994E-2</v>
      </c>
      <c r="R52" s="242">
        <v>7.3386485913187194E-2</v>
      </c>
      <c r="S52" s="242">
        <v>6.2791356347406194E-2</v>
      </c>
      <c r="T52" s="242">
        <v>5.6340717119176903E-2</v>
      </c>
      <c r="U52" s="242">
        <v>5.5873464431155401E-2</v>
      </c>
      <c r="V52" s="242">
        <v>0.1123002527398</v>
      </c>
      <c r="W52" s="242">
        <v>9.3379914940171699E-2</v>
      </c>
      <c r="X52" s="242">
        <v>9.8955231120147993E-2</v>
      </c>
      <c r="Y52" s="242">
        <v>0.119963102765884</v>
      </c>
      <c r="Z52" s="242">
        <v>8.4065446482775294E-2</v>
      </c>
      <c r="AA52" s="242">
        <v>7.4364132965197699E-2</v>
      </c>
      <c r="AB52" s="242">
        <v>5.73278521247109E-2</v>
      </c>
      <c r="AC52" s="242">
        <v>7.4999999999999997E-2</v>
      </c>
      <c r="AD52" s="242">
        <v>3.8715594647897103E-2</v>
      </c>
      <c r="AE52" s="242">
        <v>3.2196349206349201E-2</v>
      </c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</row>
    <row r="53" spans="1:41" ht="18.75" customHeight="1" x14ac:dyDescent="0.15">
      <c r="A53" s="36" t="s">
        <v>160</v>
      </c>
      <c r="B53" s="26"/>
      <c r="C53" s="242">
        <v>1.0570899801501099</v>
      </c>
      <c r="D53" s="242">
        <v>1.05895833052904</v>
      </c>
      <c r="E53" s="242">
        <v>1.01770334017055</v>
      </c>
      <c r="F53" s="242">
        <v>0.98170895445780204</v>
      </c>
      <c r="G53" s="242">
        <v>0.99772951760720696</v>
      </c>
      <c r="H53" s="242">
        <v>1.04554434908871</v>
      </c>
      <c r="I53" s="242">
        <v>1.00201343712138</v>
      </c>
      <c r="J53" s="242">
        <v>1.0041105694602199</v>
      </c>
      <c r="K53" s="242">
        <v>1.1295735420706701</v>
      </c>
      <c r="L53" s="242">
        <v>1.00674055141678</v>
      </c>
      <c r="M53" s="242">
        <v>1.1122613124513601</v>
      </c>
      <c r="N53" s="242">
        <v>0.94197532302583098</v>
      </c>
      <c r="O53" s="242">
        <v>1.02646108236329</v>
      </c>
      <c r="P53" s="250">
        <f>营业总收入!AD55/结算电量表!AD69*1.17</f>
        <v>1.0229586376700883</v>
      </c>
      <c r="Q53" s="242">
        <v>2.7E-2</v>
      </c>
      <c r="R53" s="242">
        <v>5.8584299719888003E-2</v>
      </c>
      <c r="S53" s="242">
        <v>8.2116666666666699E-2</v>
      </c>
      <c r="T53" s="242">
        <v>5.8329214137214098E-2</v>
      </c>
      <c r="U53" s="242">
        <v>5.0625133928571403E-2</v>
      </c>
      <c r="V53" s="242">
        <v>5.81117063313875E-2</v>
      </c>
      <c r="W53" s="242">
        <v>4.48360163339383E-2</v>
      </c>
      <c r="X53" s="242">
        <v>7.4966021194605006E-2</v>
      </c>
      <c r="Y53" s="242">
        <v>8.5176164658634507E-2</v>
      </c>
      <c r="Z53" s="242">
        <v>6.3727945205479405E-2</v>
      </c>
      <c r="AA53" s="242">
        <v>2.3433812982296898E-2</v>
      </c>
      <c r="AB53" s="242">
        <v>2.5745360501567401E-2</v>
      </c>
      <c r="AC53" s="242">
        <v>5.3999999999999999E-2</v>
      </c>
      <c r="AD53" s="242">
        <v>0.06</v>
      </c>
      <c r="AE53" s="242">
        <v>5.8378409602400601E-2</v>
      </c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</row>
    <row r="54" spans="1:41" ht="17.25" customHeight="1" x14ac:dyDescent="0.15">
      <c r="A54" s="36" t="s">
        <v>95</v>
      </c>
      <c r="B54" s="26"/>
      <c r="C54" s="244">
        <v>0.57098744377103205</v>
      </c>
      <c r="D54" s="244">
        <v>0.60381187936484704</v>
      </c>
      <c r="E54" s="244">
        <v>0.59736573783357405</v>
      </c>
      <c r="F54" s="244">
        <v>0.58172752021304497</v>
      </c>
      <c r="G54" s="244">
        <v>0.571710744474619</v>
      </c>
      <c r="H54" s="244">
        <v>0.552389807780306</v>
      </c>
      <c r="I54" s="244">
        <v>0.53328112944497696</v>
      </c>
      <c r="J54" s="244">
        <v>0.52888787236995505</v>
      </c>
      <c r="K54" s="244">
        <v>0.57212011332302304</v>
      </c>
      <c r="L54" s="244">
        <v>0.50779541031894904</v>
      </c>
      <c r="M54" s="244">
        <v>0.52924134808632906</v>
      </c>
      <c r="N54" s="244">
        <v>0.49974855554971698</v>
      </c>
      <c r="O54" s="244">
        <v>0.549669538739328</v>
      </c>
      <c r="P54" s="250">
        <f>营业总收入!AD56/结算电量表!AD70*1.17</f>
        <v>0.58854369719522059</v>
      </c>
      <c r="Q54" s="253">
        <v>0.104</v>
      </c>
      <c r="R54" s="253">
        <v>0.100157915361438</v>
      </c>
      <c r="S54" s="253">
        <v>0.10256872117282401</v>
      </c>
      <c r="T54" s="253">
        <v>9.9162880552271904E-2</v>
      </c>
      <c r="U54" s="253">
        <v>9.6852692400679494E-2</v>
      </c>
      <c r="V54" s="253">
        <v>0.149979381666071</v>
      </c>
      <c r="W54" s="253">
        <v>0.14379986012236401</v>
      </c>
      <c r="X54" s="253">
        <v>0.16907014097046599</v>
      </c>
      <c r="Y54" s="253">
        <v>0.162059373391819</v>
      </c>
      <c r="Z54" s="253">
        <v>0.17236234446353699</v>
      </c>
      <c r="AA54" s="253">
        <v>0.17925383096820199</v>
      </c>
      <c r="AB54" s="253">
        <v>0.18576926780667</v>
      </c>
      <c r="AC54" s="253">
        <v>0.14260999999999999</v>
      </c>
      <c r="AD54" s="253">
        <v>0.15024000000000001</v>
      </c>
      <c r="AE54" s="253">
        <v>0.153060666307793</v>
      </c>
      <c r="AF54" s="253"/>
      <c r="AG54" s="256"/>
      <c r="AH54" s="256"/>
      <c r="AI54" s="256"/>
      <c r="AJ54" s="256"/>
      <c r="AK54" s="256"/>
      <c r="AL54" s="256"/>
      <c r="AM54" s="256"/>
      <c r="AN54" s="256"/>
      <c r="AO54" s="256"/>
    </row>
    <row r="55" spans="1:41" ht="17.25" customHeight="1" x14ac:dyDescent="0.15">
      <c r="A55" s="106" t="s">
        <v>171</v>
      </c>
      <c r="B55" s="246"/>
      <c r="C55" s="247">
        <f>营业总收入!Q57/结算电量表!Q71*1.17</f>
        <v>0.47935870226001182</v>
      </c>
      <c r="D55" s="247">
        <f>营业总收入!R57/结算电量表!R71*1.17</f>
        <v>0.49584517370982634</v>
      </c>
      <c r="E55" s="247">
        <f>营业总收入!S57/结算电量表!S71*1.17</f>
        <v>0.51047839425292141</v>
      </c>
      <c r="F55" s="247">
        <f>营业总收入!T57/结算电量表!T71*1.17</f>
        <v>0.49759631890808087</v>
      </c>
      <c r="G55" s="247">
        <f>营业总收入!U57/结算电量表!U71*1.17</f>
        <v>0.40586149074922079</v>
      </c>
      <c r="H55" s="247">
        <f>营业总收入!V57/结算电量表!V71*1.17</f>
        <v>0.37039471879541808</v>
      </c>
      <c r="I55" s="247">
        <f>营业总收入!W57/结算电量表!W71*1.17</f>
        <v>0.41665468073116468</v>
      </c>
      <c r="J55" s="247">
        <f>营业总收入!X57/结算电量表!X71*1.17</f>
        <v>0.4389290662982504</v>
      </c>
      <c r="K55" s="247">
        <f>营业总收入!Y57/结算电量表!Y71*1.17</f>
        <v>0.47308961389624665</v>
      </c>
      <c r="L55" s="247">
        <f>营业总收入!Z57/结算电量表!Z71*1.17</f>
        <v>0.43190307654298388</v>
      </c>
      <c r="M55" s="247">
        <f>营业总收入!AA57/结算电量表!AA71*1.17</f>
        <v>0.45588526725851952</v>
      </c>
      <c r="N55" s="247">
        <f>营业总收入!AB57/结算电量表!AB71*1.17</f>
        <v>0.44195718417226881</v>
      </c>
      <c r="O55" s="247">
        <f>营业总收入!AC57/结算电量表!AC71*1.17</f>
        <v>0.44347662576871022</v>
      </c>
      <c r="P55" s="247">
        <f>营业总收入!AD57/结算电量表!AD71*1.17</f>
        <v>0.49748761083852716</v>
      </c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14"/>
      <c r="AH55" s="214"/>
      <c r="AI55" s="214"/>
      <c r="AJ55" s="214"/>
      <c r="AK55" s="214"/>
      <c r="AL55" s="214"/>
      <c r="AM55" s="214"/>
      <c r="AN55" s="214"/>
      <c r="AO55" s="214"/>
    </row>
    <row r="56" spans="1:41" ht="17.25" customHeight="1" x14ac:dyDescent="0.15">
      <c r="A56" s="106" t="s">
        <v>172</v>
      </c>
      <c r="B56" s="246"/>
      <c r="C56" s="247">
        <f>营业总收入!Q58/结算电量表!Q72*1.17</f>
        <v>0.99287726203354332</v>
      </c>
      <c r="D56" s="247">
        <f>营业总收入!R58/结算电量表!R72*1.17</f>
        <v>1.1004609639252132</v>
      </c>
      <c r="E56" s="247">
        <f>营业总收入!S58/结算电量表!S72*1.17</f>
        <v>1.0581140111490059</v>
      </c>
      <c r="F56" s="247">
        <f>营业总收入!T58/结算电量表!T72*1.17</f>
        <v>1.0485124695797439</v>
      </c>
      <c r="G56" s="247">
        <f>营业总收入!U58/结算电量表!U72*1.17</f>
        <v>1.0620891878048779</v>
      </c>
      <c r="H56" s="247">
        <f>营业总收入!V58/结算电量表!V72*1.17</f>
        <v>1.0603490622986247</v>
      </c>
      <c r="I56" s="247">
        <f>营业总收入!W58/结算电量表!W72*1.17</f>
        <v>1.0516873116353509</v>
      </c>
      <c r="J56" s="247">
        <f>营业总收入!X58/结算电量表!X72*1.17</f>
        <v>1.031143116549742</v>
      </c>
      <c r="K56" s="247">
        <f>营业总收入!Y58/结算电量表!Y72*1.17</f>
        <v>1.0893079050439993</v>
      </c>
      <c r="L56" s="247">
        <f>营业总收入!Z58/结算电量表!Z72*1.17</f>
        <v>1.0459554414679306</v>
      </c>
      <c r="M56" s="247">
        <f>营业总收入!AA58/结算电量表!AA72*1.17</f>
        <v>1.0657932357766688</v>
      </c>
      <c r="N56" s="247">
        <f>营业总收入!AB58/结算电量表!AB72*1.17</f>
        <v>1.0105731364224049</v>
      </c>
      <c r="O56" s="247">
        <f>营业总收入!AC58/结算电量表!AC72*1.17</f>
        <v>1.0520950626806556</v>
      </c>
      <c r="P56" s="247">
        <f>营业总收入!AD58/结算电量表!AD72*1.17</f>
        <v>1.0511030176979212</v>
      </c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14"/>
      <c r="AH56" s="214"/>
      <c r="AI56" s="214"/>
      <c r="AJ56" s="214"/>
      <c r="AK56" s="214"/>
      <c r="AL56" s="214"/>
      <c r="AM56" s="214"/>
      <c r="AN56" s="214"/>
      <c r="AO56" s="214"/>
    </row>
    <row r="57" spans="1:41" x14ac:dyDescent="0.15">
      <c r="A57" s="36" t="s">
        <v>163</v>
      </c>
      <c r="B57" s="36"/>
      <c r="C57" s="242">
        <v>0.46904252524162099</v>
      </c>
      <c r="D57" s="242">
        <v>0.51401119991931499</v>
      </c>
      <c r="E57" s="242">
        <v>0.51532851322496198</v>
      </c>
      <c r="F57" s="242">
        <v>0.51736321096654303</v>
      </c>
      <c r="G57" s="242">
        <v>0.49789703641920002</v>
      </c>
      <c r="H57" s="242">
        <v>0.45282192426644202</v>
      </c>
      <c r="I57" s="242">
        <v>0.458609999197861</v>
      </c>
      <c r="J57" s="242">
        <v>0.38284455650779198</v>
      </c>
      <c r="K57" s="242">
        <v>0.40230604424478</v>
      </c>
      <c r="L57" s="242">
        <v>0.41906277070514703</v>
      </c>
      <c r="M57" s="242">
        <v>0.45760899999524302</v>
      </c>
      <c r="N57" s="242">
        <v>0.49079592159261098</v>
      </c>
      <c r="O57" s="242">
        <v>0.47680588315337802</v>
      </c>
      <c r="P57" s="71" t="s">
        <v>173</v>
      </c>
      <c r="Q57" s="254">
        <v>0.11941859800205901</v>
      </c>
      <c r="R57" s="254">
        <v>0.13634897452290101</v>
      </c>
      <c r="S57" s="254">
        <v>0.11662547229082</v>
      </c>
      <c r="T57" s="254">
        <v>0.111729894375054</v>
      </c>
      <c r="U57" s="254">
        <v>0.111247797320814</v>
      </c>
      <c r="V57" s="254">
        <v>0.151242685456769</v>
      </c>
      <c r="W57" s="254">
        <v>0.14822813096019999</v>
      </c>
      <c r="X57" s="254">
        <v>0.18070686872312999</v>
      </c>
      <c r="Y57" s="254">
        <v>0.187649526046066</v>
      </c>
      <c r="Z57" s="254">
        <v>0.214097914089911</v>
      </c>
      <c r="AA57" s="254">
        <v>0.209238320516662</v>
      </c>
      <c r="AB57" s="254">
        <v>0.244857565525258</v>
      </c>
      <c r="AC57" s="255"/>
      <c r="AD57" s="255"/>
      <c r="AE57" s="255"/>
      <c r="AF57" s="255"/>
      <c r="AG57" s="257">
        <v>0.117393182317396</v>
      </c>
      <c r="AH57" s="257">
        <v>0.11600971557989199</v>
      </c>
      <c r="AI57" s="257">
        <v>0.12603547460894701</v>
      </c>
      <c r="AJ57" s="257">
        <v>0.132121219527845</v>
      </c>
      <c r="AK57" s="257">
        <v>0.13922744242641899</v>
      </c>
      <c r="AL57" s="257">
        <v>0.14168407782564199</v>
      </c>
      <c r="AM57" s="257">
        <v>0.14598709045797501</v>
      </c>
      <c r="AN57" s="257">
        <v>0.16125158527271899</v>
      </c>
      <c r="AO57" s="257">
        <v>0.171321481459416</v>
      </c>
    </row>
    <row r="58" spans="1:41" x14ac:dyDescent="0.15">
      <c r="A58" s="36" t="s">
        <v>164</v>
      </c>
      <c r="B58" s="36"/>
      <c r="C58" s="242">
        <v>0.52419229209171803</v>
      </c>
      <c r="D58" s="242">
        <v>0.51414969184364401</v>
      </c>
      <c r="E58" s="242">
        <v>0.51585062968708995</v>
      </c>
      <c r="F58" s="242">
        <v>0.51784987843541497</v>
      </c>
      <c r="G58" s="242">
        <v>0.50134805551922401</v>
      </c>
      <c r="H58" s="242">
        <v>0.45012923846241598</v>
      </c>
      <c r="I58" s="242">
        <v>0.458607176592851</v>
      </c>
      <c r="J58" s="242">
        <v>0.38056975708243101</v>
      </c>
      <c r="K58" s="242">
        <v>0.40190647636563198</v>
      </c>
      <c r="L58" s="242">
        <v>0.40226921719795899</v>
      </c>
      <c r="M58" s="242">
        <v>0.45684569591002</v>
      </c>
      <c r="N58" s="242">
        <v>0.49172975509410399</v>
      </c>
      <c r="O58" s="242">
        <v>0.48680458301166302</v>
      </c>
      <c r="P58" s="71" t="s">
        <v>174</v>
      </c>
      <c r="Q58" s="254">
        <v>0.23</v>
      </c>
      <c r="R58" s="254">
        <v>0.216604683677036</v>
      </c>
      <c r="S58" s="254">
        <v>0.20343401331910199</v>
      </c>
      <c r="T58" s="254">
        <v>0.21977830249008801</v>
      </c>
      <c r="U58" s="254">
        <v>0.22202612250905601</v>
      </c>
      <c r="V58" s="254">
        <v>0.228689404294867</v>
      </c>
      <c r="W58" s="254">
        <v>0.21766273487451401</v>
      </c>
      <c r="X58" s="254">
        <v>0.219249009422392</v>
      </c>
      <c r="Y58" s="254">
        <v>0.226860217453908</v>
      </c>
      <c r="Z58" s="254">
        <v>0.17879264043898699</v>
      </c>
      <c r="AA58" s="254">
        <v>0.232194090656859</v>
      </c>
      <c r="AB58" s="254">
        <v>0.15122804769197001</v>
      </c>
      <c r="AC58" s="255"/>
      <c r="AD58" s="255"/>
      <c r="AE58" s="255"/>
      <c r="AF58" s="255"/>
      <c r="AG58" s="257">
        <v>0.215559356708624</v>
      </c>
      <c r="AH58" s="257">
        <v>0.21772758724778901</v>
      </c>
      <c r="AI58" s="257">
        <v>0.22057339962419101</v>
      </c>
      <c r="AJ58" s="257">
        <v>0.21997175372692099</v>
      </c>
      <c r="AK58" s="257">
        <v>0.21983987308076899</v>
      </c>
      <c r="AL58" s="257">
        <v>0.22080916533897399</v>
      </c>
      <c r="AM58" s="257">
        <v>3.2002988015413E-2</v>
      </c>
      <c r="AN58" s="257">
        <v>0.218807209241245</v>
      </c>
      <c r="AO58" s="257">
        <v>0.216215174888537</v>
      </c>
    </row>
    <row r="59" spans="1:41" x14ac:dyDescent="0.15">
      <c r="A59" s="36" t="s">
        <v>165</v>
      </c>
      <c r="B59" s="36"/>
      <c r="C59" s="242">
        <v>0.82186382088034304</v>
      </c>
      <c r="D59" s="242">
        <v>0.85279460379840399</v>
      </c>
      <c r="E59" s="242">
        <v>0.85661041980142605</v>
      </c>
      <c r="F59" s="242">
        <v>0.85657882083439996</v>
      </c>
      <c r="G59" s="242">
        <v>0.84839648174212701</v>
      </c>
      <c r="H59" s="242">
        <v>0.82335756790716597</v>
      </c>
      <c r="I59" s="242">
        <v>0.79861000375609803</v>
      </c>
      <c r="J59" s="242">
        <v>0.74453999469424104</v>
      </c>
      <c r="K59" s="242">
        <v>0.74427886284183198</v>
      </c>
      <c r="L59" s="242">
        <v>0.74426999748678402</v>
      </c>
      <c r="M59" s="242">
        <v>0.79910998173158998</v>
      </c>
      <c r="N59" s="242" t="e">
        <v>#DIV/0!</v>
      </c>
      <c r="O59" s="242">
        <v>0.89296098757575504</v>
      </c>
      <c r="P59" s="71" t="s">
        <v>175</v>
      </c>
      <c r="Q59" s="254">
        <v>7.8303808612940506E-2</v>
      </c>
      <c r="R59" s="254">
        <v>7.7664963910390794E-2</v>
      </c>
      <c r="S59" s="254">
        <v>6.2049590306995098E-2</v>
      </c>
      <c r="T59" s="254">
        <v>5.6217765976009401E-2</v>
      </c>
      <c r="U59" s="254">
        <v>5.5736939778551299E-2</v>
      </c>
      <c r="V59" s="254">
        <v>0.11660636139300901</v>
      </c>
      <c r="W59" s="254">
        <v>9.9675952509868201E-2</v>
      </c>
      <c r="X59" s="254">
        <v>0.10173400843802</v>
      </c>
      <c r="Y59" s="254">
        <v>0.11993375068202899</v>
      </c>
      <c r="Z59" s="254">
        <v>9.9319064587663403E-2</v>
      </c>
      <c r="AA59" s="254">
        <v>8.2787979871666001E-2</v>
      </c>
      <c r="AB59" s="254">
        <v>7.0736201184628297E-2</v>
      </c>
      <c r="AC59" s="255"/>
      <c r="AD59" s="255"/>
      <c r="AE59" s="255"/>
      <c r="AF59" s="255"/>
      <c r="AG59" s="257">
        <v>6.7081927258325597E-2</v>
      </c>
      <c r="AH59" s="257">
        <v>6.42419746756447E-2</v>
      </c>
      <c r="AI59" s="257">
        <v>6.9626031089587495E-2</v>
      </c>
      <c r="AJ59" s="257">
        <v>7.2405656703212903E-2</v>
      </c>
      <c r="AK59" s="257">
        <v>7.41440899699565E-2</v>
      </c>
      <c r="AL59" s="257">
        <v>7.8323819750823004E-2</v>
      </c>
      <c r="AM59" s="257">
        <v>0.14717181956092501</v>
      </c>
      <c r="AN59" s="257">
        <v>8.0698981948021206E-2</v>
      </c>
      <c r="AO59" s="257">
        <v>7.9835387738917907E-2</v>
      </c>
    </row>
    <row r="60" spans="1:41" x14ac:dyDescent="0.15">
      <c r="A60" s="54" t="s">
        <v>176</v>
      </c>
      <c r="B60" s="54"/>
      <c r="C60" s="244">
        <f>营业总收入!C62/结算电量表!Q76*1.17</f>
        <v>0.51415179135893552</v>
      </c>
      <c r="D60" s="244">
        <f>营业总收入!D62/结算电量表!R76*1.17</f>
        <v>0.54018212827592627</v>
      </c>
      <c r="E60" s="244">
        <f>营业总收入!E62/结算电量表!S76*1.17</f>
        <v>0.53656237573814169</v>
      </c>
      <c r="F60" s="244">
        <f>营业总收入!F62/结算电量表!T76*1.17</f>
        <v>0.54149535806989846</v>
      </c>
      <c r="G60" s="244">
        <f>营业总收入!G62/结算电量表!U76*1.17</f>
        <v>0.53819302994771068</v>
      </c>
      <c r="H60" s="244">
        <f>营业总收入!H62/结算电量表!V76*1.17</f>
        <v>0.51531730772545714</v>
      </c>
      <c r="I60" s="244">
        <f>营业总收入!I62/结算电量表!W76*1.17</f>
        <v>0.52442330486647859</v>
      </c>
      <c r="J60" s="244">
        <f>营业总收入!J62/结算电量表!X76*1.17</f>
        <v>0.44602616954680646</v>
      </c>
      <c r="K60" s="244">
        <f>营业总收入!K62/结算电量表!Y76*1.17</f>
        <v>0.45716368206781499</v>
      </c>
      <c r="L60" s="244">
        <f>营业总收入!L62/结算电量表!Z76*1.17</f>
        <v>0.45805083166859323</v>
      </c>
      <c r="M60" s="244">
        <f>营业总收入!M62/结算电量表!AA76*1.17</f>
        <v>0.47641402253683729</v>
      </c>
      <c r="N60" s="244">
        <f>营业总收入!N62/结算电量表!AB76*1.17</f>
        <v>0.51250113029340016</v>
      </c>
      <c r="O60" s="244">
        <f>营业总收入!O62/结算电量表!AC76*1.17</f>
        <v>0.510907566051095</v>
      </c>
      <c r="P60" s="251" t="s">
        <v>177</v>
      </c>
      <c r="Q60" s="254">
        <v>2.7349999999999999E-2</v>
      </c>
      <c r="R60" s="254">
        <v>5.8584299719888003E-2</v>
      </c>
      <c r="S60" s="254">
        <v>8.2116666666666699E-2</v>
      </c>
      <c r="T60" s="254">
        <v>5.8329214137214098E-2</v>
      </c>
      <c r="U60" s="254">
        <v>5.0625133928571403E-2</v>
      </c>
      <c r="V60" s="254">
        <v>5.81117063313875E-2</v>
      </c>
      <c r="W60" s="254">
        <v>4.48360163339383E-2</v>
      </c>
      <c r="X60" s="254">
        <v>7.4966021194605006E-2</v>
      </c>
      <c r="Y60" s="254">
        <v>8.5176164658634507E-2</v>
      </c>
      <c r="Z60" s="254">
        <v>6.3727945205479405E-2</v>
      </c>
      <c r="AA60" s="254">
        <v>2.3433812982296898E-2</v>
      </c>
      <c r="AB60" s="254">
        <v>2.5745360501567401E-2</v>
      </c>
      <c r="AC60" s="255"/>
      <c r="AD60" s="255"/>
      <c r="AE60" s="255"/>
      <c r="AF60" s="255"/>
      <c r="AG60" s="257">
        <v>5.9655789729861297E-2</v>
      </c>
      <c r="AH60" s="257">
        <v>5.62704959683554E-2</v>
      </c>
      <c r="AI60" s="257">
        <v>5.6736447727272703E-2</v>
      </c>
      <c r="AJ60" s="257">
        <v>5.4352900763358802E-2</v>
      </c>
      <c r="AK60" s="257">
        <v>5.7624524464831801E-2</v>
      </c>
      <c r="AL60" s="257">
        <v>6.12659036624204E-2</v>
      </c>
      <c r="AM60" s="257">
        <v>0.19793087090581199</v>
      </c>
      <c r="AN60" s="257">
        <v>5.7236821885313503E-2</v>
      </c>
      <c r="AO60" s="257">
        <v>5.3574490065621497E-2</v>
      </c>
    </row>
    <row r="62" spans="1:41" ht="14.25" customHeight="1" x14ac:dyDescent="0.15">
      <c r="A62" s="164"/>
      <c r="B62" s="243"/>
      <c r="C62" s="380" t="s">
        <v>161</v>
      </c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26"/>
      <c r="P62" s="243"/>
      <c r="Q62" s="380" t="s">
        <v>178</v>
      </c>
      <c r="R62" s="380"/>
      <c r="S62" s="380"/>
      <c r="T62" s="380"/>
      <c r="U62" s="380"/>
      <c r="V62" s="380"/>
      <c r="W62" s="380"/>
      <c r="X62" s="380"/>
      <c r="Y62" s="380"/>
      <c r="Z62" s="380"/>
      <c r="AA62" s="380"/>
      <c r="AB62" s="380"/>
      <c r="AC62" s="26"/>
      <c r="AD62" s="380" t="s">
        <v>169</v>
      </c>
      <c r="AE62" s="380"/>
      <c r="AF62" s="380"/>
      <c r="AG62" s="380"/>
      <c r="AH62" s="380"/>
      <c r="AI62" s="380"/>
      <c r="AJ62" s="380"/>
      <c r="AK62" s="380"/>
      <c r="AL62" s="380"/>
      <c r="AM62" s="380"/>
      <c r="AN62" s="380"/>
      <c r="AO62" s="380"/>
    </row>
    <row r="63" spans="1:41" x14ac:dyDescent="0.15">
      <c r="A63" s="164" t="s">
        <v>179</v>
      </c>
      <c r="B63" s="26" t="s">
        <v>0</v>
      </c>
      <c r="C63" s="178" t="s">
        <v>83</v>
      </c>
      <c r="D63" s="178" t="s">
        <v>84</v>
      </c>
      <c r="E63" s="178" t="s">
        <v>85</v>
      </c>
      <c r="F63" s="178" t="s">
        <v>86</v>
      </c>
      <c r="G63" s="178" t="s">
        <v>87</v>
      </c>
      <c r="H63" s="178" t="s">
        <v>88</v>
      </c>
      <c r="I63" s="178" t="s">
        <v>89</v>
      </c>
      <c r="J63" s="178" t="s">
        <v>90</v>
      </c>
      <c r="K63" s="178" t="s">
        <v>91</v>
      </c>
      <c r="L63" s="167" t="s">
        <v>92</v>
      </c>
      <c r="M63" s="167" t="s">
        <v>93</v>
      </c>
      <c r="N63" s="167" t="s">
        <v>94</v>
      </c>
      <c r="O63" s="44" t="s">
        <v>111</v>
      </c>
      <c r="P63" s="26" t="s">
        <v>0</v>
      </c>
      <c r="Q63" s="178" t="s">
        <v>83</v>
      </c>
      <c r="R63" s="178" t="s">
        <v>84</v>
      </c>
      <c r="S63" s="178" t="s">
        <v>85</v>
      </c>
      <c r="T63" s="178" t="s">
        <v>86</v>
      </c>
      <c r="U63" s="178" t="s">
        <v>87</v>
      </c>
      <c r="V63" s="178" t="s">
        <v>88</v>
      </c>
      <c r="W63" s="178" t="s">
        <v>89</v>
      </c>
      <c r="X63" s="178" t="s">
        <v>90</v>
      </c>
      <c r="Y63" s="178" t="s">
        <v>91</v>
      </c>
      <c r="Z63" s="167" t="s">
        <v>92</v>
      </c>
      <c r="AA63" s="167" t="s">
        <v>93</v>
      </c>
      <c r="AB63" s="167" t="s">
        <v>94</v>
      </c>
      <c r="AC63" s="44" t="s">
        <v>111</v>
      </c>
      <c r="AD63" s="178" t="s">
        <v>83</v>
      </c>
      <c r="AE63" s="178" t="s">
        <v>84</v>
      </c>
      <c r="AF63" s="178" t="s">
        <v>85</v>
      </c>
      <c r="AG63" s="178" t="s">
        <v>86</v>
      </c>
      <c r="AH63" s="178" t="s">
        <v>87</v>
      </c>
      <c r="AI63" s="178" t="s">
        <v>88</v>
      </c>
      <c r="AJ63" s="178" t="s">
        <v>89</v>
      </c>
      <c r="AK63" s="178" t="s">
        <v>90</v>
      </c>
      <c r="AL63" s="178" t="s">
        <v>91</v>
      </c>
      <c r="AM63" s="167" t="s">
        <v>92</v>
      </c>
      <c r="AN63" s="167" t="s">
        <v>93</v>
      </c>
      <c r="AO63" s="167" t="s">
        <v>94</v>
      </c>
    </row>
    <row r="64" spans="1:41" x14ac:dyDescent="0.15">
      <c r="A64" s="36" t="s">
        <v>148</v>
      </c>
      <c r="B64" s="248">
        <v>0.48571463999999998</v>
      </c>
      <c r="C64" s="242">
        <f>营业总收入!Q72/结算电量表!Q90*1.17</f>
        <v>0.49511532395329305</v>
      </c>
      <c r="D64" s="242">
        <f>营业总收入!R72/结算电量表!R90*1.17</f>
        <v>0.49965120095637955</v>
      </c>
      <c r="E64" s="242">
        <f>营业总收入!S72/结算电量表!S90*1.17</f>
        <v>0.50692335429647939</v>
      </c>
      <c r="F64" s="242">
        <f>营业总收入!T72/结算电量表!T90*1.17</f>
        <v>0.50567689963539431</v>
      </c>
      <c r="G64" s="242" t="e">
        <f>营业总收入!U72/结算电量表!U90*1.17</f>
        <v>#DIV/0!</v>
      </c>
      <c r="H64" s="242" t="e">
        <f>营业总收入!V72/结算电量表!V90*1.17</f>
        <v>#DIV/0!</v>
      </c>
      <c r="I64" s="242" t="e">
        <f>营业总收入!W72/结算电量表!W90*1.17</f>
        <v>#DIV/0!</v>
      </c>
      <c r="J64" s="242" t="e">
        <f>营业总收入!X72/结算电量表!X90*1.17</f>
        <v>#DIV/0!</v>
      </c>
      <c r="K64" s="242" t="e">
        <f>营业总收入!Y72/结算电量表!Y90*1.17</f>
        <v>#DIV/0!</v>
      </c>
      <c r="L64" s="242" t="e">
        <f>营业总收入!Z72/结算电量表!Z90*1.17</f>
        <v>#DIV/0!</v>
      </c>
      <c r="M64" s="242" t="e">
        <f>营业总收入!AA72/结算电量表!AA90*1.17</f>
        <v>#DIV/0!</v>
      </c>
      <c r="N64" s="242" t="e">
        <f>营业总收入!AB72/结算电量表!AB90*1.17</f>
        <v>#DIV/0!</v>
      </c>
      <c r="O64" s="242">
        <f>营业总收入!AC72/结算电量表!AC90*1.17</f>
        <v>0.50227824317936065</v>
      </c>
      <c r="P64" s="26">
        <v>0.18</v>
      </c>
      <c r="Q64" s="242">
        <v>0.17199999999999999</v>
      </c>
      <c r="R64" s="242">
        <v>0.19406999999999999</v>
      </c>
      <c r="S64" s="242">
        <v>0.19800000000000001</v>
      </c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>
        <v>0.17199999999999999</v>
      </c>
      <c r="AE64" s="245">
        <v>0.18139</v>
      </c>
      <c r="AF64" s="242">
        <v>0.187</v>
      </c>
      <c r="AG64" s="242"/>
      <c r="AH64" s="242"/>
      <c r="AI64" s="242"/>
      <c r="AJ64" s="242"/>
      <c r="AK64" s="242"/>
      <c r="AL64" s="242"/>
      <c r="AM64" s="242"/>
      <c r="AN64" s="242"/>
      <c r="AO64" s="242"/>
    </row>
    <row r="65" spans="1:41" x14ac:dyDescent="0.15">
      <c r="A65" s="36" t="s">
        <v>149</v>
      </c>
      <c r="B65" s="248">
        <v>0.45</v>
      </c>
      <c r="C65" s="242">
        <f>营业总收入!Q73/结算电量表!Q91*1.17</f>
        <v>0.45446753366697634</v>
      </c>
      <c r="D65" s="242">
        <f>营业总收入!R73/结算电量表!R91*1.17</f>
        <v>0.38252401393565277</v>
      </c>
      <c r="E65" s="242">
        <f>营业总收入!S73/结算电量表!S91*1.17</f>
        <v>0.44083952765932155</v>
      </c>
      <c r="F65" s="242">
        <f>营业总收入!T73/结算电量表!T91*1.17</f>
        <v>0.40327948534259683</v>
      </c>
      <c r="G65" s="242" t="e">
        <f>营业总收入!U73/结算电量表!U91*1.17</f>
        <v>#DIV/0!</v>
      </c>
      <c r="H65" s="242" t="e">
        <f>营业总收入!V73/结算电量表!V91*1.17</f>
        <v>#DIV/0!</v>
      </c>
      <c r="I65" s="242" t="e">
        <f>营业总收入!W73/结算电量表!W91*1.17</f>
        <v>#DIV/0!</v>
      </c>
      <c r="J65" s="242" t="e">
        <f>营业总收入!X73/结算电量表!X91*1.17</f>
        <v>#DIV/0!</v>
      </c>
      <c r="K65" s="242" t="e">
        <f>营业总收入!Y73/结算电量表!Y91*1.17</f>
        <v>#DIV/0!</v>
      </c>
      <c r="L65" s="242" t="e">
        <f>营业总收入!Z73/结算电量表!Z91*1.17</f>
        <v>#DIV/0!</v>
      </c>
      <c r="M65" s="242" t="e">
        <f>营业总收入!AA73/结算电量表!AA91*1.17</f>
        <v>#DIV/0!</v>
      </c>
      <c r="N65" s="242" t="e">
        <f>营业总收入!AB73/结算电量表!AB91*1.17</f>
        <v>#DIV/0!</v>
      </c>
      <c r="O65" s="242">
        <f>营业总收入!AC73/结算电量表!AC91*1.17</f>
        <v>0.42169348602130557</v>
      </c>
      <c r="P65" s="26">
        <v>0.18</v>
      </c>
      <c r="Q65" s="242">
        <v>0.17399999999999999</v>
      </c>
      <c r="R65" s="242">
        <v>0.187191632556131</v>
      </c>
      <c r="S65" s="242">
        <v>0.191</v>
      </c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>
        <v>0.17399999999999999</v>
      </c>
      <c r="AE65" s="245">
        <v>0.18134345326708201</v>
      </c>
      <c r="AF65" s="242">
        <v>0.186</v>
      </c>
      <c r="AG65" s="242"/>
      <c r="AH65" s="242"/>
      <c r="AI65" s="242"/>
      <c r="AJ65" s="242"/>
      <c r="AK65" s="242"/>
      <c r="AL65" s="242"/>
      <c r="AM65" s="242"/>
      <c r="AN65" s="242"/>
      <c r="AO65" s="242"/>
    </row>
    <row r="66" spans="1:41" x14ac:dyDescent="0.15">
      <c r="A66" s="36" t="s">
        <v>150</v>
      </c>
      <c r="B66" s="248">
        <v>0.43070000000000003</v>
      </c>
      <c r="C66" s="242">
        <f>营业总收入!Q74/结算电量表!Q92*1.17</f>
        <v>0.37416800662558397</v>
      </c>
      <c r="D66" s="242">
        <f>营业总收入!R74/结算电量表!R92*1.17</f>
        <v>0.35233993708374128</v>
      </c>
      <c r="E66" s="242">
        <f>营业总收入!S74/结算电量表!S92*1.17</f>
        <v>0.43248617590737354</v>
      </c>
      <c r="F66" s="242">
        <f>营业总收入!T74/结算电量表!T92*1.17</f>
        <v>0.40521130496478747</v>
      </c>
      <c r="G66" s="242" t="e">
        <f>营业总收入!U74/结算电量表!U92*1.17</f>
        <v>#DIV/0!</v>
      </c>
      <c r="H66" s="242" t="e">
        <f>营业总收入!V74/结算电量表!V92*1.17</f>
        <v>#DIV/0!</v>
      </c>
      <c r="I66" s="242" t="e">
        <f>营业总收入!W74/结算电量表!W92*1.17</f>
        <v>#DIV/0!</v>
      </c>
      <c r="J66" s="242" t="e">
        <f>营业总收入!X74/结算电量表!X92*1.17</f>
        <v>#DIV/0!</v>
      </c>
      <c r="K66" s="242" t="e">
        <f>营业总收入!Y74/结算电量表!Y92*1.17</f>
        <v>#DIV/0!</v>
      </c>
      <c r="L66" s="242" t="e">
        <f>营业总收入!Z74/结算电量表!Z92*1.17</f>
        <v>#DIV/0!</v>
      </c>
      <c r="M66" s="242" t="e">
        <f>营业总收入!AA74/结算电量表!AA92*1.17</f>
        <v>#DIV/0!</v>
      </c>
      <c r="N66" s="242" t="e">
        <f>营业总收入!AB74/结算电量表!AB92*1.17</f>
        <v>#DIV/0!</v>
      </c>
      <c r="O66" s="242">
        <f>营业总收入!AC74/结算电量表!AC92*1.17</f>
        <v>0.39292841884079532</v>
      </c>
      <c r="P66" s="26">
        <v>0.18</v>
      </c>
      <c r="Q66" s="242">
        <v>0.18</v>
      </c>
      <c r="R66" s="242">
        <v>0.194317653975567</v>
      </c>
      <c r="S66" s="242">
        <v>0.214</v>
      </c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>
        <v>0.18</v>
      </c>
      <c r="AE66" s="245">
        <v>0.185707069096229</v>
      </c>
      <c r="AF66" s="242">
        <v>0.192</v>
      </c>
      <c r="AG66" s="242"/>
      <c r="AH66" s="242"/>
      <c r="AI66" s="242"/>
      <c r="AJ66" s="242"/>
      <c r="AK66" s="242"/>
      <c r="AL66" s="242"/>
      <c r="AM66" s="242"/>
      <c r="AN66" s="242"/>
      <c r="AO66" s="242"/>
    </row>
    <row r="67" spans="1:41" x14ac:dyDescent="0.15">
      <c r="A67" s="36" t="s">
        <v>151</v>
      </c>
      <c r="B67" s="248">
        <v>0.51876488888888905</v>
      </c>
      <c r="C67" s="242">
        <f>营业总收入!Q75/结算电量表!Q93*1.17</f>
        <v>0.48924372449631448</v>
      </c>
      <c r="D67" s="242">
        <f>营业总收入!R75/结算电量表!R93*1.17</f>
        <v>0.70193383623748706</v>
      </c>
      <c r="E67" s="242">
        <f>营业总收入!S75/结算电量表!S93*1.17</f>
        <v>0.58343568995062434</v>
      </c>
      <c r="F67" s="242">
        <f>营业总收入!T75/结算电量表!T93*1.17</f>
        <v>0.5918636205468516</v>
      </c>
      <c r="G67" s="242" t="e">
        <f>营业总收入!U75/结算电量表!U93*1.17</f>
        <v>#DIV/0!</v>
      </c>
      <c r="H67" s="242" t="e">
        <f>营业总收入!V75/结算电量表!V93*1.17</f>
        <v>#DIV/0!</v>
      </c>
      <c r="I67" s="242" t="e">
        <f>营业总收入!W75/结算电量表!W93*1.17</f>
        <v>#DIV/0!</v>
      </c>
      <c r="J67" s="242" t="e">
        <f>营业总收入!X75/结算电量表!X93*1.17</f>
        <v>#DIV/0!</v>
      </c>
      <c r="K67" s="242" t="e">
        <f>营业总收入!Y75/结算电量表!Y93*1.17</f>
        <v>#DIV/0!</v>
      </c>
      <c r="L67" s="242" t="e">
        <f>营业总收入!Z75/结算电量表!Z93*1.17</f>
        <v>#DIV/0!</v>
      </c>
      <c r="M67" s="242" t="e">
        <f>营业总收入!AA75/结算电量表!AA93*1.17</f>
        <v>#DIV/0!</v>
      </c>
      <c r="N67" s="242" t="e">
        <f>营业总收入!AB75/结算电量表!AB93*1.17</f>
        <v>#DIV/0!</v>
      </c>
      <c r="O67" s="242">
        <f>营业总收入!AC75/结算电量表!AC93*1.17</f>
        <v>0.58905910698320685</v>
      </c>
      <c r="P67" s="26">
        <v>0.12</v>
      </c>
      <c r="Q67" s="242">
        <v>3.6400837696335099E-2</v>
      </c>
      <c r="R67" s="242">
        <v>2.79019251336898E-2</v>
      </c>
      <c r="S67" s="242">
        <v>4.2999999999999997E-2</v>
      </c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>
        <v>3.6400837696335099E-2</v>
      </c>
      <c r="AE67" s="245">
        <v>3.4164443130710702E-2</v>
      </c>
      <c r="AF67" s="242">
        <v>3.5799999999999998E-2</v>
      </c>
      <c r="AG67" s="242"/>
      <c r="AH67" s="242"/>
      <c r="AI67" s="242"/>
      <c r="AJ67" s="242"/>
      <c r="AK67" s="242"/>
      <c r="AL67" s="242"/>
      <c r="AM67" s="242"/>
      <c r="AN67" s="242"/>
      <c r="AO67" s="242"/>
    </row>
    <row r="68" spans="1:41" x14ac:dyDescent="0.15">
      <c r="A68" s="36" t="s">
        <v>152</v>
      </c>
      <c r="B68" s="248"/>
      <c r="C68" s="242">
        <f>营业总收入!Q76/结算电量表!Q94*1.17</f>
        <v>0.52000457560157543</v>
      </c>
      <c r="D68" s="242">
        <f>营业总收入!R76/结算电量表!R94*1.17</f>
        <v>0.52309835537284899</v>
      </c>
      <c r="E68" s="245">
        <f>营业总收入!S76/结算电量表!S94*1.17</f>
        <v>0.52068279012171259</v>
      </c>
      <c r="F68" s="242">
        <f>营业总收入!T76/结算电量表!T94*1.17</f>
        <v>0.52096083830764084</v>
      </c>
      <c r="G68" s="242" t="e">
        <f>营业总收入!U76/结算电量表!U94*1.17</f>
        <v>#DIV/0!</v>
      </c>
      <c r="H68" s="242" t="e">
        <f>营业总收入!V76/结算电量表!V94*1.17</f>
        <v>#DIV/0!</v>
      </c>
      <c r="I68" s="242" t="e">
        <f>营业总收入!W76/结算电量表!W94*1.17</f>
        <v>#DIV/0!</v>
      </c>
      <c r="J68" s="242" t="e">
        <f>营业总收入!X76/结算电量表!X94*1.17</f>
        <v>#DIV/0!</v>
      </c>
      <c r="K68" s="242" t="e">
        <f>营业总收入!Y76/结算电量表!Y94*1.17</f>
        <v>#DIV/0!</v>
      </c>
      <c r="L68" s="242" t="e">
        <f>营业总收入!Z76/结算电量表!Z94*1.17</f>
        <v>#DIV/0!</v>
      </c>
      <c r="M68" s="242" t="e">
        <f>营业总收入!AA76/结算电量表!AA94*1.17</f>
        <v>#DIV/0!</v>
      </c>
      <c r="N68" s="242" t="e">
        <f>营业总收入!AB76/结算电量表!AB94*1.17</f>
        <v>#DIV/0!</v>
      </c>
      <c r="O68" s="242">
        <f>营业总收入!AC76/结算电量表!AC94*1.17</f>
        <v>0.52085851971557551</v>
      </c>
      <c r="P68" s="26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2"/>
      <c r="AG68" s="242"/>
      <c r="AH68" s="242"/>
      <c r="AI68" s="242"/>
      <c r="AJ68" s="242"/>
      <c r="AK68" s="242"/>
      <c r="AL68" s="242"/>
      <c r="AM68" s="242"/>
      <c r="AN68" s="242"/>
      <c r="AO68" s="242"/>
    </row>
    <row r="69" spans="1:41" x14ac:dyDescent="0.15">
      <c r="A69" s="36" t="s">
        <v>153</v>
      </c>
      <c r="B69" s="248">
        <v>0.53620000000000001</v>
      </c>
      <c r="C69" s="242">
        <f>营业总收入!Q77/结算电量表!Q95*1.17</f>
        <v>0.53619999946188901</v>
      </c>
      <c r="D69" s="242">
        <f>营业总收入!R77/结算电量表!R95*1.17</f>
        <v>0.53619999892096037</v>
      </c>
      <c r="E69" s="242">
        <f>营业总收入!S77/结算电量表!S95*1.17</f>
        <v>0.53620000025881587</v>
      </c>
      <c r="F69" s="242">
        <f>营业总收入!T77/结算电量表!T95*1.17</f>
        <v>0.53619999923412731</v>
      </c>
      <c r="G69" s="242" t="e">
        <f>营业总收入!U77/结算电量表!U95*1.17</f>
        <v>#DIV/0!</v>
      </c>
      <c r="H69" s="242" t="e">
        <f>营业总收入!V77/结算电量表!V95*1.17</f>
        <v>#DIV/0!</v>
      </c>
      <c r="I69" s="242" t="e">
        <f>营业总收入!W77/结算电量表!W95*1.17</f>
        <v>#DIV/0!</v>
      </c>
      <c r="J69" s="242" t="e">
        <f>营业总收入!X77/结算电量表!X95*1.17</f>
        <v>#DIV/0!</v>
      </c>
      <c r="K69" s="242" t="e">
        <f>营业总收入!Y77/结算电量表!Y95*1.17</f>
        <v>#DIV/0!</v>
      </c>
      <c r="L69" s="242" t="e">
        <f>营业总收入!Z77/结算电量表!Z95*1.17</f>
        <v>#DIV/0!</v>
      </c>
      <c r="M69" s="242" t="e">
        <f>营业总收入!AA77/结算电量表!AA95*1.17</f>
        <v>#DIV/0!</v>
      </c>
      <c r="N69" s="242" t="e">
        <f>营业总收入!AB77/结算电量表!AB95*1.17</f>
        <v>#DIV/0!</v>
      </c>
      <c r="O69" s="242">
        <f>营业总收入!AC77/结算电量表!AC95*1.17</f>
        <v>0.53619999952191089</v>
      </c>
      <c r="P69" s="26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  <c r="AC69" s="242"/>
      <c r="AD69" s="242"/>
      <c r="AE69" s="242"/>
      <c r="AF69" s="242"/>
      <c r="AG69" s="242"/>
      <c r="AH69" s="242"/>
      <c r="AI69" s="242"/>
      <c r="AJ69" s="242"/>
      <c r="AK69" s="242"/>
      <c r="AL69" s="242"/>
      <c r="AM69" s="242"/>
      <c r="AN69" s="242"/>
      <c r="AO69" s="242"/>
    </row>
    <row r="70" spans="1:41" x14ac:dyDescent="0.15">
      <c r="A70" s="36" t="s">
        <v>154</v>
      </c>
      <c r="B70" s="248">
        <v>0.53620000000000001</v>
      </c>
      <c r="C70" s="242">
        <f>营业总收入!Q78/结算电量表!Q96*1.17</f>
        <v>0.53619999977142851</v>
      </c>
      <c r="D70" s="242">
        <f>营业总收入!R78/结算电量表!R96*1.17</f>
        <v>0.53621856930110134</v>
      </c>
      <c r="E70" s="242">
        <f>营业总收入!S78/结算电量表!S96*1.17</f>
        <v>0.5361999999999999</v>
      </c>
      <c r="F70" s="242">
        <f>营业总收入!T78/结算电量表!T96*1.17</f>
        <v>0.535663261089661</v>
      </c>
      <c r="G70" s="242" t="e">
        <f>营业总收入!U78/结算电量表!U96*1.17</f>
        <v>#DIV/0!</v>
      </c>
      <c r="H70" s="242" t="e">
        <f>营业总收入!V78/结算电量表!V96*1.17</f>
        <v>#DIV/0!</v>
      </c>
      <c r="I70" s="242" t="e">
        <f>营业总收入!W78/结算电量表!W96*1.17</f>
        <v>#DIV/0!</v>
      </c>
      <c r="J70" s="242" t="e">
        <f>营业总收入!X78/结算电量表!X96*1.17</f>
        <v>#DIV/0!</v>
      </c>
      <c r="K70" s="242" t="e">
        <f>营业总收入!Y78/结算电量表!Y96*1.17</f>
        <v>#DIV/0!</v>
      </c>
      <c r="L70" s="242" t="e">
        <f>营业总收入!Z78/结算电量表!Z96*1.17</f>
        <v>#DIV/0!</v>
      </c>
      <c r="M70" s="242" t="e">
        <f>营业总收入!AA78/结算电量表!AA96*1.17</f>
        <v>#DIV/0!</v>
      </c>
      <c r="N70" s="242" t="e">
        <f>营业总收入!AB78/结算电量表!AB96*1.17</f>
        <v>#DIV/0!</v>
      </c>
      <c r="O70" s="242">
        <f>营业总收入!AC78/结算电量表!AC96*1.17</f>
        <v>0.53595274757802414</v>
      </c>
      <c r="P70" s="26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</row>
    <row r="71" spans="1:41" x14ac:dyDescent="0.15">
      <c r="A71" s="36" t="s">
        <v>155</v>
      </c>
      <c r="B71" s="248">
        <v>0.51619999999999999</v>
      </c>
      <c r="C71" s="242">
        <f>营业总收入!Q79/结算电量表!Q97*1.17</f>
        <v>0.51619999994121346</v>
      </c>
      <c r="D71" s="242">
        <f>营业总收入!R79/结算电量表!R97*1.17</f>
        <v>0.51619999936008898</v>
      </c>
      <c r="E71" s="242">
        <f>营业总收入!S79/结算电量表!S97*1.17</f>
        <v>0.51619999958344398</v>
      </c>
      <c r="F71" s="242">
        <f>营业总收入!T79/结算电量表!T97*1.17</f>
        <v>0.51620000007553135</v>
      </c>
      <c r="G71" s="242" t="e">
        <f>营业总收入!U79/结算电量表!U97*1.17</f>
        <v>#DIV/0!</v>
      </c>
      <c r="H71" s="242" t="e">
        <f>营业总收入!V79/结算电量表!V97*1.17</f>
        <v>#DIV/0!</v>
      </c>
      <c r="I71" s="242" t="e">
        <f>营业总收入!W79/结算电量表!W97*1.17</f>
        <v>#DIV/0!</v>
      </c>
      <c r="J71" s="242" t="e">
        <f>营业总收入!X79/结算电量表!X97*1.17</f>
        <v>#DIV/0!</v>
      </c>
      <c r="K71" s="242" t="e">
        <f>营业总收入!Y79/结算电量表!Y97*1.17</f>
        <v>#DIV/0!</v>
      </c>
      <c r="L71" s="242" t="e">
        <f>营业总收入!Z79/结算电量表!Z97*1.17</f>
        <v>#DIV/0!</v>
      </c>
      <c r="M71" s="242" t="e">
        <f>营业总收入!AA79/结算电量表!AA97*1.17</f>
        <v>#DIV/0!</v>
      </c>
      <c r="N71" s="242" t="e">
        <f>营业总收入!AB79/结算电量表!AB97*1.17</f>
        <v>#DIV/0!</v>
      </c>
      <c r="O71" s="242">
        <f>营业总收入!AC79/结算电量表!AC97*1.17</f>
        <v>0.51619999981244968</v>
      </c>
      <c r="P71" s="26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242"/>
      <c r="AH71" s="242"/>
      <c r="AI71" s="242"/>
      <c r="AJ71" s="242"/>
      <c r="AK71" s="242"/>
      <c r="AL71" s="242"/>
      <c r="AM71" s="242"/>
      <c r="AN71" s="242"/>
      <c r="AO71" s="242"/>
    </row>
    <row r="72" spans="1:41" x14ac:dyDescent="0.15">
      <c r="A72" s="36" t="s">
        <v>156</v>
      </c>
      <c r="B72" s="248">
        <v>0.51619999999999999</v>
      </c>
      <c r="C72" s="242">
        <f>营业总收入!Q80/结算电量表!Q98*1.17</f>
        <v>0.51620000012208023</v>
      </c>
      <c r="D72" s="242">
        <f>营业总收入!R80/结算电量表!R98*1.17</f>
        <v>0.51619999963548879</v>
      </c>
      <c r="E72" s="242">
        <f>营业总收入!S80/结算电量表!S98*1.17</f>
        <v>0.51619999975894171</v>
      </c>
      <c r="F72" s="242">
        <f>营业总收入!T80/结算电量表!T98*1.17</f>
        <v>0.5162000002986501</v>
      </c>
      <c r="G72" s="242" t="e">
        <f>营业总收入!U80/结算电量表!U98*1.17</f>
        <v>#DIV/0!</v>
      </c>
      <c r="H72" s="242" t="e">
        <f>营业总收入!V80/结算电量表!V98*1.17</f>
        <v>#DIV/0!</v>
      </c>
      <c r="I72" s="242" t="e">
        <f>营业总收入!W80/结算电量表!W98*1.17</f>
        <v>#DIV/0!</v>
      </c>
      <c r="J72" s="242" t="e">
        <f>营业总收入!X80/结算电量表!X98*1.17</f>
        <v>#DIV/0!</v>
      </c>
      <c r="K72" s="242" t="e">
        <f>营业总收入!Y80/结算电量表!Y98*1.17</f>
        <v>#DIV/0!</v>
      </c>
      <c r="L72" s="242" t="e">
        <f>营业总收入!Z80/结算电量表!Z98*1.17</f>
        <v>#DIV/0!</v>
      </c>
      <c r="M72" s="242" t="e">
        <f>营业总收入!AA80/结算电量表!AA98*1.17</f>
        <v>#DIV/0!</v>
      </c>
      <c r="N72" s="242" t="e">
        <f>营业总收入!AB80/结算电量表!AB98*1.17</f>
        <v>#DIV/0!</v>
      </c>
      <c r="O72" s="242">
        <f>营业总收入!AC80/结算电量表!AC98*1.17</f>
        <v>0.5162000000127932</v>
      </c>
      <c r="P72" s="26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  <c r="AG72" s="242"/>
      <c r="AH72" s="242"/>
      <c r="AI72" s="242"/>
      <c r="AJ72" s="242"/>
      <c r="AK72" s="242"/>
      <c r="AL72" s="242"/>
      <c r="AM72" s="242"/>
      <c r="AN72" s="242"/>
      <c r="AO72" s="242"/>
    </row>
    <row r="73" spans="1:41" x14ac:dyDescent="0.15">
      <c r="A73" s="36" t="s">
        <v>157</v>
      </c>
      <c r="B73" s="248">
        <v>0.46336290000000002</v>
      </c>
      <c r="C73" s="242">
        <f>营业总收入!Q81/结算电量表!Q99*1.17</f>
        <v>0.45044999999999996</v>
      </c>
      <c r="D73" s="242">
        <f>营业总收入!R81/结算电量表!R99*1.17</f>
        <v>0.47617776316328914</v>
      </c>
      <c r="E73" s="242">
        <f>营业总收入!S81/结算电量表!S99*1.17</f>
        <v>0.44873221242711453</v>
      </c>
      <c r="F73" s="242">
        <f>营业总收入!T81/结算电量表!T99*1.17</f>
        <v>0.45241778760953189</v>
      </c>
      <c r="G73" s="242" t="e">
        <f>营业总收入!U81/结算电量表!U99*1.17</f>
        <v>#DIV/0!</v>
      </c>
      <c r="H73" s="242" t="e">
        <f>营业总收入!V81/结算电量表!V99*1.17</f>
        <v>#DIV/0!</v>
      </c>
      <c r="I73" s="242" t="e">
        <f>营业总收入!W81/结算电量表!W99*1.17</f>
        <v>#DIV/0!</v>
      </c>
      <c r="J73" s="242" t="e">
        <f>营业总收入!X81/结算电量表!X99*1.17</f>
        <v>#DIV/0!</v>
      </c>
      <c r="K73" s="242" t="e">
        <f>营业总收入!Y81/结算电量表!Y99*1.17</f>
        <v>#DIV/0!</v>
      </c>
      <c r="L73" s="242" t="e">
        <f>营业总收入!Z81/结算电量表!Z99*1.17</f>
        <v>#DIV/0!</v>
      </c>
      <c r="M73" s="242" t="e">
        <f>营业总收入!AA81/结算电量表!AA99*1.17</f>
        <v>#DIV/0!</v>
      </c>
      <c r="N73" s="242" t="e">
        <f>营业总收入!AB81/结算电量表!AB99*1.17</f>
        <v>#DIV/0!</v>
      </c>
      <c r="O73" s="242">
        <f>营业总收入!AC81/结算电量表!AC99*1.17</f>
        <v>0.4542070391600711</v>
      </c>
      <c r="P73" s="279">
        <v>0.22006999999999999</v>
      </c>
      <c r="Q73" s="242">
        <v>0.10448</v>
      </c>
      <c r="R73" s="242">
        <v>0.19106413609782</v>
      </c>
      <c r="S73" s="242">
        <v>0.185</v>
      </c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>
        <v>0.10448</v>
      </c>
      <c r="AE73" s="242">
        <v>0.16862779062484901</v>
      </c>
      <c r="AF73" s="242">
        <v>0.17699999999999999</v>
      </c>
      <c r="AG73" s="242"/>
      <c r="AH73" s="242"/>
      <c r="AI73" s="242"/>
      <c r="AJ73" s="242"/>
      <c r="AK73" s="242"/>
      <c r="AL73" s="242"/>
      <c r="AM73" s="242"/>
      <c r="AN73" s="242"/>
      <c r="AO73" s="242"/>
    </row>
    <row r="74" spans="1:41" x14ac:dyDescent="0.15">
      <c r="A74" s="36" t="s">
        <v>158</v>
      </c>
      <c r="B74" s="248">
        <v>1.0284844444444401</v>
      </c>
      <c r="C74" s="242">
        <f>营业总收入!Q82/结算电量表!Q100*1.17</f>
        <v>1.0177058424086678</v>
      </c>
      <c r="D74" s="242">
        <f>营业总收入!R82/结算电量表!R100*1.17</f>
        <v>0.99359021355382793</v>
      </c>
      <c r="E74" s="242">
        <f>营业总收入!S82/结算电量表!S100*1.17</f>
        <v>1.0570209840538183</v>
      </c>
      <c r="F74" s="242">
        <f>营业总收入!T82/结算电量表!T100*1.17</f>
        <v>0.98668595337860376</v>
      </c>
      <c r="G74" s="242" t="e">
        <f>营业总收入!U82/结算电量表!U100*1.17</f>
        <v>#DIV/0!</v>
      </c>
      <c r="H74" s="242" t="e">
        <f>营业总收入!V82/结算电量表!V100*1.17</f>
        <v>#DIV/0!</v>
      </c>
      <c r="I74" s="242" t="e">
        <f>营业总收入!W82/结算电量表!W100*1.17</f>
        <v>#DIV/0!</v>
      </c>
      <c r="J74" s="242" t="e">
        <f>营业总收入!X82/结算电量表!X100*1.17</f>
        <v>#DIV/0!</v>
      </c>
      <c r="K74" s="242" t="e">
        <f>营业总收入!Y82/结算电量表!Y100*1.17</f>
        <v>#DIV/0!</v>
      </c>
      <c r="L74" s="242" t="e">
        <f>营业总收入!Z82/结算电量表!Z100*1.17</f>
        <v>#DIV/0!</v>
      </c>
      <c r="M74" s="242" t="e">
        <f>营业总收入!AA82/结算电量表!AA100*1.17</f>
        <v>#DIV/0!</v>
      </c>
      <c r="N74" s="242" t="e">
        <f>营业总收入!AB82/结算电量表!AB100*1.17</f>
        <v>#DIV/0!</v>
      </c>
      <c r="O74" s="242">
        <f>营业总收入!AC82/结算电量表!AC100*1.17</f>
        <v>1.0161217986111102</v>
      </c>
      <c r="P74" s="26">
        <v>0.18</v>
      </c>
      <c r="Q74" s="242">
        <v>0.155</v>
      </c>
      <c r="R74" s="242">
        <v>0.19359967511041201</v>
      </c>
      <c r="S74" s="242">
        <v>0.61</v>
      </c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42">
        <v>0.155</v>
      </c>
      <c r="AE74" s="242">
        <v>0.17288080556233501</v>
      </c>
      <c r="AF74" s="242">
        <v>0.17100000000000001</v>
      </c>
      <c r="AG74" s="242"/>
      <c r="AH74" s="242"/>
      <c r="AI74" s="242"/>
      <c r="AJ74" s="242"/>
      <c r="AK74" s="242"/>
      <c r="AL74" s="242"/>
      <c r="AM74" s="242"/>
      <c r="AN74" s="242"/>
      <c r="AO74" s="242"/>
    </row>
    <row r="75" spans="1:41" x14ac:dyDescent="0.15">
      <c r="A75" s="36" t="s">
        <v>159</v>
      </c>
      <c r="B75" s="248">
        <v>1.0640000000000001</v>
      </c>
      <c r="C75" s="242">
        <f>营业总收入!Q83/结算电量表!Q101*1.17</f>
        <v>1.1062226137548172</v>
      </c>
      <c r="D75" s="242">
        <f>营业总收入!R83/结算电量表!R101*1.17</f>
        <v>1.1349141227906829</v>
      </c>
      <c r="E75" s="242">
        <f>营业总收入!S83/结算电量表!S101*1.17</f>
        <v>1.1409137151438129</v>
      </c>
      <c r="F75" s="242">
        <f>营业总收入!T83/结算电量表!T101*1.17</f>
        <v>1.1327257696013351</v>
      </c>
      <c r="G75" s="242" t="e">
        <f>营业总收入!U83/结算电量表!U101*1.17</f>
        <v>#DIV/0!</v>
      </c>
      <c r="H75" s="242" t="e">
        <f>营业总收入!V83/结算电量表!V101*1.17</f>
        <v>#DIV/0!</v>
      </c>
      <c r="I75" s="242" t="e">
        <f>营业总收入!W83/结算电量表!W101*1.17</f>
        <v>#DIV/0!</v>
      </c>
      <c r="J75" s="242" t="e">
        <f>营业总收入!X83/结算电量表!X101*1.17</f>
        <v>#DIV/0!</v>
      </c>
      <c r="K75" s="242" t="e">
        <f>营业总收入!Y83/结算电量表!Y101*1.17</f>
        <v>#DIV/0!</v>
      </c>
      <c r="L75" s="242" t="e">
        <f>营业总收入!Z83/结算电量表!Z101*1.17</f>
        <v>#DIV/0!</v>
      </c>
      <c r="M75" s="242" t="e">
        <f>营业总收入!AA83/结算电量表!AA101*1.17</f>
        <v>#DIV/0!</v>
      </c>
      <c r="N75" s="242" t="e">
        <f>营业总收入!AB83/结算电量表!AB101*1.17</f>
        <v>#DIV/0!</v>
      </c>
      <c r="O75" s="242">
        <f>营业总收入!AC83/结算电量表!AC101*1.17</f>
        <v>1.1298062402342535</v>
      </c>
      <c r="P75" s="26">
        <v>0.12</v>
      </c>
      <c r="Q75" s="242">
        <v>3.8715594647897103E-2</v>
      </c>
      <c r="R75" s="242">
        <v>3.0460000000000001E-2</v>
      </c>
      <c r="S75" s="242">
        <v>4.7100000000000003E-2</v>
      </c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42">
        <v>3.8715594647897103E-2</v>
      </c>
      <c r="AE75" s="242">
        <v>3.4430000000000002E-2</v>
      </c>
      <c r="AF75" s="242">
        <v>3.8600000000000002E-2</v>
      </c>
      <c r="AG75" s="242"/>
      <c r="AH75" s="242"/>
      <c r="AI75" s="242"/>
      <c r="AJ75" s="242"/>
      <c r="AK75" s="242"/>
      <c r="AL75" s="242"/>
      <c r="AM75" s="242"/>
      <c r="AN75" s="242"/>
      <c r="AO75" s="242"/>
    </row>
    <row r="76" spans="1:41" x14ac:dyDescent="0.15">
      <c r="A76" s="36" t="s">
        <v>160</v>
      </c>
      <c r="B76" s="248">
        <v>1.01168674698795</v>
      </c>
      <c r="C76" s="242">
        <f>营业总收入!Q84/结算电量表!Q102*1.17</f>
        <v>1.0392169517385703</v>
      </c>
      <c r="D76" s="242">
        <f>营业总收入!R84/结算电量表!R102*1.17</f>
        <v>1.0241740403181567</v>
      </c>
      <c r="E76" s="242">
        <f>营业总收入!S84/结算电量表!S102*1.17</f>
        <v>1.0136835280633374</v>
      </c>
      <c r="F76" s="242">
        <f>营业总收入!T84/结算电量表!T102*1.17</f>
        <v>1.0226478658573217</v>
      </c>
      <c r="G76" s="242" t="e">
        <f>营业总收入!U84/结算电量表!U102*1.17</f>
        <v>#DIV/0!</v>
      </c>
      <c r="H76" s="242" t="e">
        <f>营业总收入!V84/结算电量表!V102*1.17</f>
        <v>#DIV/0!</v>
      </c>
      <c r="I76" s="242" t="e">
        <f>营业总收入!W84/结算电量表!W102*1.17</f>
        <v>#DIV/0!</v>
      </c>
      <c r="J76" s="242" t="e">
        <f>营业总收入!X84/结算电量表!X102*1.17</f>
        <v>#DIV/0!</v>
      </c>
      <c r="K76" s="242" t="e">
        <f>营业总收入!Y84/结算电量表!Y102*1.17</f>
        <v>#DIV/0!</v>
      </c>
      <c r="L76" s="242" t="e">
        <f>营业总收入!Z84/结算电量表!Z102*1.17</f>
        <v>#DIV/0!</v>
      </c>
      <c r="M76" s="242" t="e">
        <f>营业总收入!AA84/结算电量表!AA102*1.17</f>
        <v>#DIV/0!</v>
      </c>
      <c r="N76" s="242" t="e">
        <f>营业总收入!AB84/结算电量表!AB102*1.17</f>
        <v>#DIV/0!</v>
      </c>
      <c r="O76" s="242">
        <f>营业总收入!AC84/结算电量表!AC102*1.17</f>
        <v>1.0240058019244309</v>
      </c>
      <c r="P76" s="26">
        <v>0.08</v>
      </c>
      <c r="Q76" s="242">
        <v>0.06</v>
      </c>
      <c r="R76" s="242">
        <v>5.7208713099630999E-2</v>
      </c>
      <c r="S76" s="242">
        <v>4.8739999999999999E-2</v>
      </c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>
        <v>0.06</v>
      </c>
      <c r="AE76" s="242">
        <v>5.8378409602400601E-2</v>
      </c>
      <c r="AF76" s="242">
        <v>5.4399999999999997E-2</v>
      </c>
      <c r="AG76" s="242"/>
      <c r="AH76" s="242"/>
      <c r="AI76" s="242"/>
      <c r="AJ76" s="242"/>
      <c r="AK76" s="242"/>
      <c r="AL76" s="242"/>
      <c r="AM76" s="242"/>
      <c r="AN76" s="242"/>
      <c r="AO76" s="242"/>
    </row>
    <row r="77" spans="1:41" x14ac:dyDescent="0.15">
      <c r="A77" s="258" t="s">
        <v>95</v>
      </c>
      <c r="B77" s="259">
        <v>0.54350751679489095</v>
      </c>
      <c r="C77" s="260">
        <f>营业总收入!Q85/结算电量表!Q103*1.17</f>
        <v>0.52821971210220942</v>
      </c>
      <c r="D77" s="260">
        <f>营业总收入!R85/结算电量表!R103*1.17</f>
        <v>0.57304179687480594</v>
      </c>
      <c r="E77" s="260">
        <f>营业总收入!S85/结算电量表!S103*1.17</f>
        <v>0.56212224450798265</v>
      </c>
      <c r="F77" s="260">
        <f>营业总收入!T85/结算电量表!T103*1.17</f>
        <v>0.54637813187094275</v>
      </c>
      <c r="G77" s="260" t="e">
        <f>营业总收入!U85/结算电量表!U103*1.17</f>
        <v>#DIV/0!</v>
      </c>
      <c r="H77" s="260" t="e">
        <f>营业总收入!V85/结算电量表!V103*1.17</f>
        <v>#DIV/0!</v>
      </c>
      <c r="I77" s="260" t="e">
        <f>营业总收入!W85/结算电量表!W103*1.17</f>
        <v>#DIV/0!</v>
      </c>
      <c r="J77" s="260" t="e">
        <f>营业总收入!X85/结算电量表!X103*1.17</f>
        <v>#DIV/0!</v>
      </c>
      <c r="K77" s="260" t="e">
        <f>营业总收入!Y85/结算电量表!Y103*1.17</f>
        <v>#DIV/0!</v>
      </c>
      <c r="L77" s="260" t="e">
        <f>营业总收入!Z85/结算电量表!Z103*1.17</f>
        <v>#DIV/0!</v>
      </c>
      <c r="M77" s="260" t="e">
        <f>营业总收入!AA85/结算电量表!AA103*1.17</f>
        <v>#DIV/0!</v>
      </c>
      <c r="N77" s="260" t="e">
        <f>营业总收入!AB85/结算电量表!AB103*1.17</f>
        <v>#DIV/0!</v>
      </c>
      <c r="O77" s="260">
        <f>营业总收入!AC85/结算电量表!AC103*1.17</f>
        <v>0.55068483243487198</v>
      </c>
      <c r="P77" s="280">
        <v>0.156440220759203</v>
      </c>
      <c r="Q77" s="253">
        <v>0.15024000000000001</v>
      </c>
      <c r="R77" s="253">
        <v>0.15575</v>
      </c>
      <c r="S77" s="256">
        <v>0.15709999999999999</v>
      </c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3">
        <v>0.15024000000000001</v>
      </c>
      <c r="AE77" s="253">
        <v>0.155276</v>
      </c>
      <c r="AF77" s="253">
        <v>0.15709999999999999</v>
      </c>
      <c r="AG77" s="256"/>
      <c r="AH77" s="256"/>
      <c r="AI77" s="256"/>
      <c r="AJ77" s="256"/>
      <c r="AK77" s="256"/>
      <c r="AL77" s="256"/>
      <c r="AM77" s="256"/>
      <c r="AN77" s="256"/>
      <c r="AO77" s="256"/>
    </row>
    <row r="78" spans="1:41" s="240" customFormat="1" x14ac:dyDescent="0.15">
      <c r="A78" s="106" t="s">
        <v>171</v>
      </c>
      <c r="B78" s="261">
        <f>营业总收入!P86/结算电量表!P104*1.17</f>
        <v>0.48633465485032334</v>
      </c>
      <c r="C78" s="261">
        <f>营业总收入!Q86/结算电量表!Q104*1.17</f>
        <v>0.47843513999563697</v>
      </c>
      <c r="D78" s="261">
        <f>营业总收入!R86/结算电量表!R104*1.17</f>
        <v>0.49422926634171394</v>
      </c>
      <c r="E78" s="261">
        <f>营业总收入!S86/结算电量表!S104*1.17</f>
        <v>0.49975251434396667</v>
      </c>
      <c r="F78" s="261">
        <f>营业总收入!T86/结算电量表!T104*1.17</f>
        <v>0.49293043919810126</v>
      </c>
      <c r="G78" s="261" t="e">
        <f>营业总收入!U86/结算电量表!U104*1.17</f>
        <v>#DIV/0!</v>
      </c>
      <c r="H78" s="261" t="e">
        <f>营业总收入!V86/结算电量表!V104*1.17</f>
        <v>#DIV/0!</v>
      </c>
      <c r="I78" s="261" t="e">
        <f>营业总收入!W86/结算电量表!W104*1.17</f>
        <v>#DIV/0!</v>
      </c>
      <c r="J78" s="261" t="e">
        <f>营业总收入!X86/结算电量表!X104*1.17</f>
        <v>#DIV/0!</v>
      </c>
      <c r="K78" s="261" t="e">
        <f>营业总收入!Y86/结算电量表!Y104*1.17</f>
        <v>#DIV/0!</v>
      </c>
      <c r="L78" s="261" t="e">
        <f>营业总收入!Z86/结算电量表!Z104*1.17</f>
        <v>#DIV/0!</v>
      </c>
      <c r="M78" s="261" t="e">
        <f>营业总收入!AA86/结算电量表!AA104*1.17</f>
        <v>#DIV/0!</v>
      </c>
      <c r="N78" s="261" t="e">
        <f>营业总收入!AB86/结算电量表!AB104*1.17</f>
        <v>#DIV/0!</v>
      </c>
      <c r="O78" s="261">
        <f>营业总收入!AC86/结算电量表!AC104*1.17</f>
        <v>0.49116268139537095</v>
      </c>
      <c r="P78" s="268"/>
      <c r="Q78" s="286"/>
      <c r="R78" s="287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7"/>
      <c r="AE78" s="287"/>
      <c r="AF78" s="287"/>
      <c r="AG78" s="288"/>
      <c r="AH78" s="288"/>
      <c r="AI78" s="288"/>
      <c r="AJ78" s="288"/>
      <c r="AK78" s="288"/>
      <c r="AL78" s="288"/>
      <c r="AM78" s="288"/>
      <c r="AN78" s="288"/>
      <c r="AO78" s="288"/>
    </row>
    <row r="79" spans="1:41" s="240" customFormat="1" x14ac:dyDescent="0.15">
      <c r="A79" s="106" t="s">
        <v>172</v>
      </c>
      <c r="B79" s="261">
        <f>营业总收入!P87/结算电量表!P105*1.17</f>
        <v>1.0418034472908797</v>
      </c>
      <c r="C79" s="261">
        <f>营业总收入!Q87/结算电量表!Q105*1.17</f>
        <v>1.0662664107007236</v>
      </c>
      <c r="D79" s="261">
        <f>营业总收入!R87/结算电量表!R105*1.17</f>
        <v>1.0687042247313043</v>
      </c>
      <c r="E79" s="261">
        <f>营业总收入!S87/结算电量表!S105*1.17</f>
        <v>1.0837274157417809</v>
      </c>
      <c r="F79" s="261">
        <f>营业总收入!T87/结算电量表!T105*1.17</f>
        <v>1.0741457748385395</v>
      </c>
      <c r="G79" s="261" t="e">
        <f>营业总收入!U87/结算电量表!U105*1.17</f>
        <v>#DIV/0!</v>
      </c>
      <c r="H79" s="261" t="e">
        <f>营业总收入!V87/结算电量表!V105*1.17</f>
        <v>#DIV/0!</v>
      </c>
      <c r="I79" s="261" t="e">
        <f>营业总收入!W87/结算电量表!W105*1.17</f>
        <v>#DIV/0!</v>
      </c>
      <c r="J79" s="261" t="e">
        <f>营业总收入!X87/结算电量表!X105*1.17</f>
        <v>#DIV/0!</v>
      </c>
      <c r="K79" s="261" t="e">
        <f>营业总收入!Y87/结算电量表!Y105*1.17</f>
        <v>#DIV/0!</v>
      </c>
      <c r="L79" s="261" t="e">
        <f>营业总收入!Z87/结算电量表!Z105*1.17</f>
        <v>#DIV/0!</v>
      </c>
      <c r="M79" s="261" t="e">
        <f>营业总收入!AA87/结算电量表!AA105*1.17</f>
        <v>#DIV/0!</v>
      </c>
      <c r="N79" s="261" t="e">
        <f>营业总收入!AB87/结算电量表!AB105*1.17</f>
        <v>#DIV/0!</v>
      </c>
      <c r="O79" s="261">
        <f>营业总收入!AC87/结算电量表!AC105*1.17</f>
        <v>1.0737888594929572</v>
      </c>
      <c r="P79" s="268"/>
      <c r="Q79" s="286"/>
      <c r="R79" s="287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  <c r="AD79" s="287"/>
      <c r="AE79" s="287"/>
      <c r="AF79" s="287"/>
      <c r="AG79" s="288"/>
      <c r="AH79" s="288"/>
      <c r="AI79" s="288"/>
      <c r="AJ79" s="288"/>
      <c r="AK79" s="288"/>
      <c r="AL79" s="288"/>
      <c r="AM79" s="288"/>
      <c r="AN79" s="288"/>
      <c r="AO79" s="288"/>
    </row>
    <row r="80" spans="1:41" x14ac:dyDescent="0.15">
      <c r="A80" s="262" t="s">
        <v>163</v>
      </c>
      <c r="B80" s="262"/>
      <c r="C80" s="263">
        <f>营业总收入!C88/结算电量表!Q106*1.17</f>
        <v>0.49492040189429792</v>
      </c>
      <c r="D80" s="263">
        <f>营业总收入!D88/结算电量表!R106*1.17</f>
        <v>0.45720055196865145</v>
      </c>
      <c r="E80" s="263">
        <f>营业总收入!E88/结算电量表!S106*1.17</f>
        <v>0.5241586300808968</v>
      </c>
      <c r="F80" s="263">
        <f>营业总收入!F88/结算电量表!T106*1.17</f>
        <v>0.48423828532458779</v>
      </c>
      <c r="G80" s="263" t="e">
        <f>营业总收入!G88/结算电量表!U106*1.17</f>
        <v>#DIV/0!</v>
      </c>
      <c r="H80" s="263" t="e">
        <f>营业总收入!H88/结算电量表!V106*1.17</f>
        <v>#DIV/0!</v>
      </c>
      <c r="I80" s="263" t="e">
        <f>营业总收入!I88/结算电量表!W106*1.17</f>
        <v>#DIV/0!</v>
      </c>
      <c r="J80" s="263" t="e">
        <f>营业总收入!J88/结算电量表!X106*1.17</f>
        <v>#DIV/0!</v>
      </c>
      <c r="K80" s="263" t="e">
        <f>营业总收入!K88/结算电量表!Y106*1.17</f>
        <v>#DIV/0!</v>
      </c>
      <c r="L80" s="263" t="e">
        <f>营业总收入!L88/结算电量表!Z106*1.17</f>
        <v>#DIV/0!</v>
      </c>
      <c r="M80" s="263" t="e">
        <f>营业总收入!M88/结算电量表!AA106*1.17</f>
        <v>#DIV/0!</v>
      </c>
      <c r="N80" s="263" t="e">
        <f>营业总收入!N88/结算电量表!AB106*1.17</f>
        <v>#DIV/0!</v>
      </c>
      <c r="O80" s="263">
        <f>营业总收入!O88/结算电量表!AC106*1.17</f>
        <v>0.49199829540311008</v>
      </c>
      <c r="P80" s="281" t="s">
        <v>173</v>
      </c>
      <c r="Q80" s="257">
        <v>0.17678442498649499</v>
      </c>
      <c r="R80" s="257">
        <v>0.19217264620353799</v>
      </c>
      <c r="S80" s="255"/>
      <c r="T80" s="255"/>
      <c r="U80" s="255"/>
      <c r="V80" s="255"/>
      <c r="W80" s="255"/>
      <c r="X80" s="255"/>
      <c r="Y80" s="255"/>
      <c r="Z80" s="255"/>
      <c r="AA80" s="255"/>
      <c r="AB80" s="255"/>
      <c r="AC80" s="255"/>
      <c r="AD80" s="257">
        <v>0.17678442498649499</v>
      </c>
      <c r="AE80" s="257">
        <v>0.183588913226094</v>
      </c>
      <c r="AF80" s="255"/>
      <c r="AG80" s="255"/>
      <c r="AH80" s="255"/>
      <c r="AI80" s="255"/>
      <c r="AJ80" s="255"/>
      <c r="AK80" s="255"/>
      <c r="AL80" s="255"/>
      <c r="AM80" s="255"/>
      <c r="AN80" s="255"/>
      <c r="AO80" s="255"/>
    </row>
    <row r="81" spans="1:41" x14ac:dyDescent="0.15">
      <c r="A81" s="36" t="s">
        <v>164</v>
      </c>
      <c r="B81" s="36"/>
      <c r="C81" s="242">
        <f>营业总收入!C89/结算电量表!Q107*1.17</f>
        <v>0.47877347115194874</v>
      </c>
      <c r="D81" s="242">
        <f>营业总收入!D89/结算电量表!R107*1.17</f>
        <v>0.4699785535800664</v>
      </c>
      <c r="E81" s="242">
        <f>营业总收入!E89/结算电量表!S107*1.17</f>
        <v>0.54557539972241087</v>
      </c>
      <c r="F81" s="242">
        <f>营业总收入!F89/结算电量表!T107*1.17</f>
        <v>0.45692027388219886</v>
      </c>
      <c r="G81" s="242" t="e">
        <f>营业总收入!G89/结算电量表!U107*1.17</f>
        <v>#DIV/0!</v>
      </c>
      <c r="H81" s="242" t="e">
        <f>营业总收入!H89/结算电量表!V107*1.17</f>
        <v>#DIV/0!</v>
      </c>
      <c r="I81" s="242" t="e">
        <f>营业总收入!I89/结算电量表!W107*1.17</f>
        <v>#DIV/0!</v>
      </c>
      <c r="J81" s="242" t="e">
        <f>营业总收入!J89/结算电量表!X107*1.17</f>
        <v>#DIV/0!</v>
      </c>
      <c r="K81" s="242" t="e">
        <f>营业总收入!K89/结算电量表!Y107*1.17</f>
        <v>#DIV/0!</v>
      </c>
      <c r="L81" s="242" t="e">
        <f>营业总收入!L89/结算电量表!Z107*1.17</f>
        <v>#DIV/0!</v>
      </c>
      <c r="M81" s="242" t="e">
        <f>营业总收入!M89/结算电量表!AA107*1.17</f>
        <v>#DIV/0!</v>
      </c>
      <c r="N81" s="242" t="e">
        <f>营业总收入!N89/结算电量表!AB107*1.17</f>
        <v>#DIV/0!</v>
      </c>
      <c r="O81" s="242">
        <f>营业总收入!O89/结算电量表!AC107*1.17</f>
        <v>0.48817739893982226</v>
      </c>
      <c r="P81" s="71" t="s">
        <v>174</v>
      </c>
      <c r="Q81" s="257">
        <v>0.15003953928823099</v>
      </c>
      <c r="R81" s="257">
        <v>0.19106413609782</v>
      </c>
      <c r="S81" s="255"/>
      <c r="T81" s="255"/>
      <c r="U81" s="255"/>
      <c r="V81" s="255"/>
      <c r="W81" s="255"/>
      <c r="X81" s="255"/>
      <c r="Y81" s="255"/>
      <c r="Z81" s="255"/>
      <c r="AA81" s="255"/>
      <c r="AB81" s="255"/>
      <c r="AC81" s="255"/>
      <c r="AD81" s="257">
        <v>0.15003953928823099</v>
      </c>
      <c r="AE81" s="257">
        <v>0.16862779062484901</v>
      </c>
      <c r="AF81" s="255"/>
      <c r="AG81" s="255"/>
      <c r="AH81" s="255"/>
      <c r="AI81" s="255"/>
      <c r="AJ81" s="255"/>
      <c r="AK81" s="255"/>
      <c r="AL81" s="255"/>
      <c r="AM81" s="255"/>
      <c r="AN81" s="255"/>
      <c r="AO81" s="255"/>
    </row>
    <row r="82" spans="1:41" x14ac:dyDescent="0.15">
      <c r="A82" s="36" t="s">
        <v>165</v>
      </c>
      <c r="B82" s="36"/>
      <c r="C82" s="242">
        <f>营业总收入!C90/结算电量表!Q108*1.17</f>
        <v>0.80104825379047462</v>
      </c>
      <c r="D82" s="242">
        <f>营业总收入!D90/结算电量表!R108*1.17</f>
        <v>0.82588796221864946</v>
      </c>
      <c r="E82" s="242">
        <f>营业总收入!E90/结算电量表!S108*1.17</f>
        <v>0.89784286454598239</v>
      </c>
      <c r="F82" s="242">
        <f>营业总收入!F90/结算电量表!T108*1.17</f>
        <v>0.79371707137911596</v>
      </c>
      <c r="G82" s="242" t="e">
        <f>营业总收入!G90/结算电量表!U108*1.17</f>
        <v>#DIV/0!</v>
      </c>
      <c r="H82" s="242" t="e">
        <f>营业总收入!H90/结算电量表!V108*1.17</f>
        <v>#DIV/0!</v>
      </c>
      <c r="I82" s="242" t="e">
        <f>营业总收入!I90/结算电量表!W108*1.17</f>
        <v>#DIV/0!</v>
      </c>
      <c r="J82" s="242" t="e">
        <f>营业总收入!J90/结算电量表!X108*1.17</f>
        <v>#DIV/0!</v>
      </c>
      <c r="K82" s="242" t="e">
        <f>营业总收入!K90/结算电量表!Y108*1.17</f>
        <v>#DIV/0!</v>
      </c>
      <c r="L82" s="242" t="e">
        <f>营业总收入!L90/结算电量表!Z108*1.17</f>
        <v>#DIV/0!</v>
      </c>
      <c r="M82" s="242" t="e">
        <f>营业总收入!M90/结算电量表!AA108*1.17</f>
        <v>#DIV/0!</v>
      </c>
      <c r="N82" s="242" t="e">
        <f>营业总收入!N90/结算电量表!AB108*1.17</f>
        <v>#DIV/0!</v>
      </c>
      <c r="O82" s="242">
        <f>营业总收入!O90/结算电量表!AC108*1.17</f>
        <v>0.83100559936521701</v>
      </c>
      <c r="P82" s="71" t="s">
        <v>175</v>
      </c>
      <c r="Q82" s="257">
        <v>3.7202300992789802E-2</v>
      </c>
      <c r="R82" s="257">
        <v>2.8840000000000001E-2</v>
      </c>
      <c r="S82" s="255"/>
      <c r="T82" s="255"/>
      <c r="U82" s="255"/>
      <c r="V82" s="255"/>
      <c r="W82" s="255"/>
      <c r="X82" s="255"/>
      <c r="Y82" s="255"/>
      <c r="Z82" s="255"/>
      <c r="AA82" s="255"/>
      <c r="AB82" s="255"/>
      <c r="AC82" s="255"/>
      <c r="AD82" s="257">
        <v>3.7202300992789802E-2</v>
      </c>
      <c r="AE82" s="257">
        <v>3.2989999999999998E-2</v>
      </c>
      <c r="AF82" s="255"/>
      <c r="AG82" s="255"/>
      <c r="AH82" s="255"/>
      <c r="AI82" s="255"/>
      <c r="AJ82" s="255"/>
      <c r="AK82" s="255"/>
      <c r="AL82" s="255"/>
      <c r="AM82" s="255"/>
      <c r="AN82" s="255"/>
      <c r="AO82" s="255"/>
    </row>
    <row r="83" spans="1:41" x14ac:dyDescent="0.15">
      <c r="A83" s="264" t="s">
        <v>176</v>
      </c>
      <c r="B83" s="265"/>
      <c r="C83" s="244">
        <f>营业总收入!C91/结算电量表!Q109*1.17</f>
        <v>0.50437934255994044</v>
      </c>
      <c r="D83" s="244">
        <f>营业总收入!D91/结算电量表!R109*1.17</f>
        <v>0.4855769372138779</v>
      </c>
      <c r="E83" s="244">
        <f>营业总收入!E91/结算电量表!S109*1.17</f>
        <v>0.55539604083661664</v>
      </c>
      <c r="F83" s="244">
        <f>营业总收入!F91/结算电量表!T109*1.17</f>
        <v>0.4958438783520096</v>
      </c>
      <c r="G83" s="244" t="e">
        <f>营业总收入!G91/结算电量表!U109*1.17</f>
        <v>#DIV/0!</v>
      </c>
      <c r="H83" s="244" t="e">
        <f>营业总收入!H91/结算电量表!V109*1.17</f>
        <v>#DIV/0!</v>
      </c>
      <c r="I83" s="244" t="e">
        <f>营业总收入!I91/结算电量表!W109*1.17</f>
        <v>#DIV/0!</v>
      </c>
      <c r="J83" s="244" t="e">
        <f>营业总收入!J91/结算电量表!X109*1.17</f>
        <v>#DIV/0!</v>
      </c>
      <c r="K83" s="244" t="e">
        <f>营业总收入!K91/结算电量表!Y109*1.17</f>
        <v>#DIV/0!</v>
      </c>
      <c r="L83" s="244" t="e">
        <f>营业总收入!L91/结算电量表!Z109*1.17</f>
        <v>#DIV/0!</v>
      </c>
      <c r="M83" s="244" t="e">
        <f>营业总收入!M91/结算电量表!AA109*1.17</f>
        <v>#DIV/0!</v>
      </c>
      <c r="N83" s="244" t="e">
        <f>营业总收入!N91/结算电量表!AB109*1.17</f>
        <v>#DIV/0!</v>
      </c>
      <c r="O83" s="244">
        <f>营业总收入!O91/结算电量表!AC109*1.17</f>
        <v>0.51097352641269722</v>
      </c>
      <c r="P83" s="251" t="s">
        <v>177</v>
      </c>
      <c r="Q83" s="257">
        <v>5.97633915892955E-2</v>
      </c>
      <c r="R83" s="257">
        <v>5.7208713099630999E-2</v>
      </c>
      <c r="S83" s="255"/>
      <c r="T83" s="255"/>
      <c r="U83" s="255"/>
      <c r="V83" s="255"/>
      <c r="W83" s="255"/>
      <c r="X83" s="255"/>
      <c r="Y83" s="255"/>
      <c r="Z83" s="255"/>
      <c r="AA83" s="255"/>
      <c r="AB83" s="255"/>
      <c r="AC83" s="255"/>
      <c r="AD83" s="257">
        <v>5.97633915892955E-2</v>
      </c>
      <c r="AE83" s="257">
        <v>5.8378409602400601E-2</v>
      </c>
      <c r="AF83" s="255"/>
      <c r="AG83" s="255"/>
      <c r="AH83" s="255"/>
      <c r="AI83" s="255"/>
      <c r="AJ83" s="255"/>
      <c r="AK83" s="255"/>
      <c r="AL83" s="255"/>
      <c r="AM83" s="255"/>
      <c r="AN83" s="255"/>
      <c r="AO83" s="255"/>
    </row>
    <row r="84" spans="1:41" x14ac:dyDescent="0.15">
      <c r="A84" s="214" t="s">
        <v>180</v>
      </c>
      <c r="B84" s="60"/>
      <c r="C84" s="242" t="e">
        <f>营业总收入!C92/结算电量表!Q110*1.17</f>
        <v>#DIV/0!</v>
      </c>
      <c r="D84" s="242" t="e">
        <f>营业总收入!D92/结算电量表!R110*1.17</f>
        <v>#DIV/0!</v>
      </c>
      <c r="E84" s="242" t="e">
        <f>营业总收入!E92/结算电量表!S110*1.17</f>
        <v>#DIV/0!</v>
      </c>
      <c r="F84" s="242" t="e">
        <f>营业总收入!F92/结算电量表!T110*1.17</f>
        <v>#DIV/0!</v>
      </c>
      <c r="G84" s="242" t="e">
        <f>营业总收入!G92/结算电量表!U110*1.17</f>
        <v>#DIV/0!</v>
      </c>
      <c r="H84" s="242" t="e">
        <f>营业总收入!H92/结算电量表!V110*1.17</f>
        <v>#DIV/0!</v>
      </c>
      <c r="I84" s="242" t="e">
        <f>营业总收入!I92/结算电量表!W110*1.17</f>
        <v>#DIV/0!</v>
      </c>
      <c r="J84" s="242" t="e">
        <f>营业总收入!J92/结算电量表!X110*1.17</f>
        <v>#DIV/0!</v>
      </c>
      <c r="K84" s="242" t="e">
        <f>营业总收入!K92/结算电量表!Y110*1.17</f>
        <v>#DIV/0!</v>
      </c>
      <c r="L84" s="242" t="e">
        <f>营业总收入!L92/结算电量表!Z110*1.17</f>
        <v>#DIV/0!</v>
      </c>
      <c r="M84" s="242" t="e">
        <f>营业总收入!M92/结算电量表!AA110*1.17</f>
        <v>#DIV/0!</v>
      </c>
      <c r="N84" s="242" t="e">
        <f>营业总收入!N92/结算电量表!AB110*1.17</f>
        <v>#DIV/0!</v>
      </c>
      <c r="O84" s="242" t="e">
        <f>营业总收入!O92/结算电量表!AC110*1.17</f>
        <v>#DIV/0!</v>
      </c>
      <c r="P84" s="60"/>
    </row>
    <row r="85" spans="1:41" x14ac:dyDescent="0.15">
      <c r="A85" s="264" t="s">
        <v>95</v>
      </c>
      <c r="B85" s="265"/>
      <c r="C85" s="244">
        <f>营业总收入!C93/结算电量表!Q111*1.17</f>
        <v>0.52110160087527468</v>
      </c>
      <c r="D85" s="244">
        <f>营业总收入!D93/结算电量表!R111*1.17</f>
        <v>0.54537368449550239</v>
      </c>
      <c r="E85" s="244">
        <f>营业总收入!E93/结算电量表!S111*1.17</f>
        <v>0.56463256527755123</v>
      </c>
      <c r="F85" s="244">
        <f>营业总收入!F93/结算电量表!T111*1.17</f>
        <v>0.53579774631280253</v>
      </c>
      <c r="G85" s="244" t="e">
        <f>营业总收入!G93/结算电量表!U111*1.17</f>
        <v>#DIV/0!</v>
      </c>
      <c r="H85" s="244" t="e">
        <f>营业总收入!H93/结算电量表!V111*1.17</f>
        <v>#DIV/0!</v>
      </c>
      <c r="I85" s="244" t="e">
        <f>营业总收入!I93/结算电量表!W111*1.17</f>
        <v>#DIV/0!</v>
      </c>
      <c r="J85" s="244" t="e">
        <f>营业总收入!J93/结算电量表!X111*1.17</f>
        <v>#DIV/0!</v>
      </c>
      <c r="K85" s="244" t="e">
        <f>营业总收入!K93/结算电量表!Y111*1.17</f>
        <v>#DIV/0!</v>
      </c>
      <c r="L85" s="244" t="e">
        <f>营业总收入!L93/结算电量表!Z111*1.17</f>
        <v>#DIV/0!</v>
      </c>
      <c r="M85" s="244" t="e">
        <f>营业总收入!M93/结算电量表!AA111*1.17</f>
        <v>#DIV/0!</v>
      </c>
      <c r="N85" s="244" t="e">
        <f>营业总收入!N93/结算电量表!AB111*1.17</f>
        <v>#DIV/0!</v>
      </c>
      <c r="O85" s="244">
        <f>营业总收入!O93/结算电量表!AC111*1.17</f>
        <v>0.54120632271538227</v>
      </c>
      <c r="P85" s="265"/>
    </row>
    <row r="86" spans="1:41" x14ac:dyDescent="0.15">
      <c r="F86" s="203">
        <v>1.1285861300911799</v>
      </c>
    </row>
    <row r="88" spans="1:41" x14ac:dyDescent="0.15">
      <c r="H88" s="266" t="s">
        <v>181</v>
      </c>
      <c r="I88" s="282"/>
      <c r="J88" s="282" t="s">
        <v>182</v>
      </c>
      <c r="K88" s="282"/>
    </row>
    <row r="89" spans="1:41" ht="14.25" x14ac:dyDescent="0.15">
      <c r="A89" s="144"/>
      <c r="B89" s="145" t="s">
        <v>183</v>
      </c>
      <c r="C89" s="145" t="s">
        <v>184</v>
      </c>
      <c r="D89" s="145" t="s">
        <v>111</v>
      </c>
      <c r="E89" s="145" t="s">
        <v>112</v>
      </c>
      <c r="F89" s="145" t="s">
        <v>185</v>
      </c>
      <c r="G89" s="145" t="s">
        <v>114</v>
      </c>
      <c r="H89" s="145" t="s">
        <v>183</v>
      </c>
      <c r="I89" s="145" t="s">
        <v>184</v>
      </c>
      <c r="J89" s="145" t="s">
        <v>183</v>
      </c>
      <c r="K89" s="145" t="s">
        <v>184</v>
      </c>
    </row>
    <row r="90" spans="1:41" ht="13.5" x14ac:dyDescent="0.15">
      <c r="A90" s="146" t="s">
        <v>148</v>
      </c>
      <c r="B90" s="236">
        <f>E64</f>
        <v>0.50692335429647939</v>
      </c>
      <c r="C90" s="236">
        <f>D64</f>
        <v>0.49965120095637955</v>
      </c>
      <c r="D90" s="236">
        <f t="shared" ref="D90:D105" si="0">O64</f>
        <v>0.50227824317936065</v>
      </c>
      <c r="E90" s="236">
        <f t="shared" ref="E90:E105" si="1">P41</f>
        <v>0.52888083754520865</v>
      </c>
      <c r="F90" s="147">
        <f>(B90-C90)/C90</f>
        <v>1.4554459843547364E-2</v>
      </c>
      <c r="G90" s="148">
        <f>(D90-E90)/E90</f>
        <v>-5.0299788680799033E-2</v>
      </c>
      <c r="H90" s="267" t="e">
        <f>交易电量!C68/结算电量表!J117</f>
        <v>#DIV/0!</v>
      </c>
      <c r="I90" s="267" t="e">
        <f>交易电量!D68/结算电量表!K117</f>
        <v>#DIV/0!</v>
      </c>
      <c r="J90" s="283">
        <f>R64</f>
        <v>0.19406999999999999</v>
      </c>
      <c r="K90" s="284">
        <f>Q64</f>
        <v>0.17199999999999999</v>
      </c>
    </row>
    <row r="91" spans="1:41" ht="13.5" x14ac:dyDescent="0.15">
      <c r="A91" s="146" t="s">
        <v>149</v>
      </c>
      <c r="B91" s="236">
        <f t="shared" ref="B91:B103" si="2">D65</f>
        <v>0.38252401393565277</v>
      </c>
      <c r="C91" s="236">
        <f t="shared" ref="C91:C103" si="3">C65</f>
        <v>0.45446753366697634</v>
      </c>
      <c r="D91" s="236">
        <f t="shared" si="0"/>
        <v>0.42169348602130557</v>
      </c>
      <c r="E91" s="236">
        <f t="shared" si="1"/>
        <v>0.49480773294332181</v>
      </c>
      <c r="F91" s="147">
        <f t="shared" ref="F91:F105" si="4">(B91-C91)/C91</f>
        <v>-0.15830288062786499</v>
      </c>
      <c r="G91" s="149">
        <f t="shared" ref="G91:G105" si="5">(D91-E91)/E91</f>
        <v>-0.14776294316805103</v>
      </c>
      <c r="H91" s="267" t="e">
        <f>交易电量!C69/结算电量表!J118</f>
        <v>#DIV/0!</v>
      </c>
      <c r="I91" s="267" t="e">
        <f>交易电量!D69/结算电量表!K118</f>
        <v>#DIV/0!</v>
      </c>
      <c r="J91" s="283">
        <f>R65</f>
        <v>0.187191632556131</v>
      </c>
      <c r="K91" s="284">
        <f>Q65</f>
        <v>0.17399999999999999</v>
      </c>
    </row>
    <row r="92" spans="1:41" ht="13.5" x14ac:dyDescent="0.15">
      <c r="A92" s="146" t="s">
        <v>150</v>
      </c>
      <c r="B92" s="236">
        <f t="shared" si="2"/>
        <v>0.35233993708374128</v>
      </c>
      <c r="C92" s="236">
        <f t="shared" si="3"/>
        <v>0.37416800662558397</v>
      </c>
      <c r="D92" s="236">
        <f t="shared" si="0"/>
        <v>0.39292841884079532</v>
      </c>
      <c r="E92" s="236">
        <f t="shared" si="1"/>
        <v>0.47397243583295817</v>
      </c>
      <c r="F92" s="149">
        <f t="shared" si="4"/>
        <v>-5.8337616138531119E-2</v>
      </c>
      <c r="G92" s="147">
        <f t="shared" si="5"/>
        <v>-0.17098888219045114</v>
      </c>
      <c r="H92" s="267" t="e">
        <f>交易电量!C70/结算电量表!J119</f>
        <v>#DIV/0!</v>
      </c>
      <c r="I92" s="267" t="e">
        <f>交易电量!D70/结算电量表!K119</f>
        <v>#DIV/0!</v>
      </c>
      <c r="J92" s="283">
        <f t="shared" ref="J92:J103" si="6">R66</f>
        <v>0.194317653975567</v>
      </c>
      <c r="K92" s="284">
        <f t="shared" ref="K92:K103" si="7">Q66</f>
        <v>0.18</v>
      </c>
    </row>
    <row r="93" spans="1:41" ht="13.5" x14ac:dyDescent="0.15">
      <c r="A93" s="146" t="s">
        <v>151</v>
      </c>
      <c r="B93" s="236">
        <f t="shared" si="2"/>
        <v>0.70193383623748706</v>
      </c>
      <c r="C93" s="236">
        <f t="shared" si="3"/>
        <v>0.48924372449631448</v>
      </c>
      <c r="D93" s="236">
        <f t="shared" si="0"/>
        <v>0.58905910698320685</v>
      </c>
      <c r="E93" s="236">
        <f t="shared" si="1"/>
        <v>0.49558436473933648</v>
      </c>
      <c r="F93" s="147">
        <f t="shared" si="4"/>
        <v>0.4347324269925813</v>
      </c>
      <c r="G93" s="148">
        <f>(D93-E93-C86)/E93</f>
        <v>0.18861519631079457</v>
      </c>
      <c r="H93" s="267" t="e">
        <f>交易电量!C71/结算电量表!J120</f>
        <v>#DIV/0!</v>
      </c>
      <c r="I93" s="267" t="e">
        <f>交易电量!D71/结算电量表!K120</f>
        <v>#DIV/0!</v>
      </c>
      <c r="J93" s="283">
        <f t="shared" si="6"/>
        <v>2.79019251336898E-2</v>
      </c>
      <c r="K93" s="284">
        <f t="shared" si="7"/>
        <v>3.6400837696335099E-2</v>
      </c>
    </row>
    <row r="94" spans="1:41" ht="13.5" x14ac:dyDescent="0.15">
      <c r="A94" s="146" t="s">
        <v>152</v>
      </c>
      <c r="B94" s="236">
        <f t="shared" si="2"/>
        <v>0.52309835537284899</v>
      </c>
      <c r="C94" s="236">
        <f t="shared" si="3"/>
        <v>0.52000457560157543</v>
      </c>
      <c r="D94" s="236">
        <f t="shared" si="0"/>
        <v>0.52085851971557551</v>
      </c>
      <c r="E94" s="236">
        <f t="shared" si="1"/>
        <v>0.53618101449942457</v>
      </c>
      <c r="F94" s="148">
        <f t="shared" si="4"/>
        <v>5.9495241319645628E-3</v>
      </c>
      <c r="G94" s="147"/>
      <c r="H94" s="267" t="e">
        <f>交易电量!C72/结算电量表!J121</f>
        <v>#DIV/0!</v>
      </c>
      <c r="I94" s="267" t="e">
        <f>交易电量!D72/结算电量表!K121</f>
        <v>#DIV/0!</v>
      </c>
      <c r="J94" s="283">
        <f t="shared" si="6"/>
        <v>0</v>
      </c>
      <c r="K94" s="284">
        <f t="shared" si="7"/>
        <v>0</v>
      </c>
    </row>
    <row r="95" spans="1:41" ht="13.5" x14ac:dyDescent="0.15">
      <c r="A95" s="146" t="s">
        <v>153</v>
      </c>
      <c r="B95" s="236">
        <f t="shared" si="2"/>
        <v>0.53619999892096037</v>
      </c>
      <c r="C95" s="236">
        <f t="shared" si="3"/>
        <v>0.53619999946188901</v>
      </c>
      <c r="D95" s="236">
        <f t="shared" si="0"/>
        <v>0.53619999952191089</v>
      </c>
      <c r="E95" s="236">
        <f t="shared" si="1"/>
        <v>0.53619999989055889</v>
      </c>
      <c r="F95" s="149">
        <f t="shared" si="4"/>
        <v>-1.0088187910489618E-9</v>
      </c>
      <c r="G95" s="147">
        <f t="shared" si="5"/>
        <v>-6.8751958427786588E-10</v>
      </c>
      <c r="H95" s="267" t="e">
        <f>交易电量!C73/结算电量表!J122</f>
        <v>#DIV/0!</v>
      </c>
      <c r="I95" s="267" t="e">
        <f>交易电量!D73/结算电量表!K122</f>
        <v>#DIV/0!</v>
      </c>
      <c r="J95" s="283">
        <f t="shared" si="6"/>
        <v>0</v>
      </c>
      <c r="K95" s="284">
        <f t="shared" si="7"/>
        <v>0</v>
      </c>
    </row>
    <row r="96" spans="1:41" ht="13.5" x14ac:dyDescent="0.15">
      <c r="A96" s="146" t="s">
        <v>186</v>
      </c>
      <c r="B96" s="236">
        <f t="shared" si="2"/>
        <v>0.53621856930110134</v>
      </c>
      <c r="C96" s="236">
        <f t="shared" si="3"/>
        <v>0.53619999977142851</v>
      </c>
      <c r="D96" s="236">
        <f t="shared" si="0"/>
        <v>0.53595274757802414</v>
      </c>
      <c r="E96" s="236">
        <f t="shared" si="1"/>
        <v>0.53619709244444924</v>
      </c>
      <c r="F96" s="149">
        <f t="shared" si="4"/>
        <v>3.4631722642195555E-5</v>
      </c>
      <c r="G96" s="147">
        <f t="shared" si="5"/>
        <v>-4.5569972285968753E-4</v>
      </c>
      <c r="H96" s="267" t="e">
        <f>交易电量!C74/结算电量表!J123</f>
        <v>#DIV/0!</v>
      </c>
      <c r="I96" s="267" t="e">
        <f>交易电量!D74/结算电量表!K123</f>
        <v>#DIV/0!</v>
      </c>
      <c r="J96" s="283">
        <f t="shared" si="6"/>
        <v>0</v>
      </c>
      <c r="K96" s="284">
        <f t="shared" si="7"/>
        <v>0</v>
      </c>
    </row>
    <row r="97" spans="1:12" ht="13.5" x14ac:dyDescent="0.15">
      <c r="A97" s="146" t="s">
        <v>155</v>
      </c>
      <c r="B97" s="236">
        <f t="shared" si="2"/>
        <v>0.51619999936008898</v>
      </c>
      <c r="C97" s="236">
        <f t="shared" si="3"/>
        <v>0.51619999994121346</v>
      </c>
      <c r="D97" s="236">
        <f t="shared" si="0"/>
        <v>0.51619999981244968</v>
      </c>
      <c r="E97" s="236" t="e">
        <f t="shared" si="1"/>
        <v>#DIV/0!</v>
      </c>
      <c r="F97" s="149">
        <f t="shared" si="4"/>
        <v>-1.1257738898390853E-9</v>
      </c>
      <c r="G97" s="148" t="e">
        <f t="shared" si="5"/>
        <v>#DIV/0!</v>
      </c>
      <c r="H97" s="267" t="e">
        <f>交易电量!C75/结算电量表!J124</f>
        <v>#DIV/0!</v>
      </c>
      <c r="I97" s="267" t="e">
        <f>交易电量!D75/结算电量表!K124</f>
        <v>#DIV/0!</v>
      </c>
      <c r="J97" s="283">
        <f t="shared" si="6"/>
        <v>0</v>
      </c>
      <c r="K97" s="284">
        <f t="shared" si="7"/>
        <v>0</v>
      </c>
    </row>
    <row r="98" spans="1:12" ht="13.5" x14ac:dyDescent="0.15">
      <c r="A98" s="146" t="s">
        <v>156</v>
      </c>
      <c r="B98" s="236">
        <f t="shared" si="2"/>
        <v>0.51619999963548879</v>
      </c>
      <c r="C98" s="236">
        <f t="shared" si="3"/>
        <v>0.51620000012208023</v>
      </c>
      <c r="D98" s="236">
        <f t="shared" si="0"/>
        <v>0.5162000000127932</v>
      </c>
      <c r="E98" s="236" t="e">
        <f t="shared" si="1"/>
        <v>#DIV/0!</v>
      </c>
      <c r="F98" s="149">
        <f t="shared" si="4"/>
        <v>-9.4264128961158423E-10</v>
      </c>
      <c r="G98" s="148" t="e">
        <f t="shared" si="5"/>
        <v>#DIV/0!</v>
      </c>
      <c r="H98" s="267" t="e">
        <f>交易电量!C76/结算电量表!J125</f>
        <v>#DIV/0!</v>
      </c>
      <c r="I98" s="267" t="e">
        <f>交易电量!D76/结算电量表!K125</f>
        <v>#DIV/0!</v>
      </c>
      <c r="J98" s="283">
        <f t="shared" si="6"/>
        <v>0</v>
      </c>
      <c r="K98" s="284">
        <f t="shared" si="7"/>
        <v>0</v>
      </c>
    </row>
    <row r="99" spans="1:12" ht="13.5" x14ac:dyDescent="0.15">
      <c r="A99" s="146" t="s">
        <v>157</v>
      </c>
      <c r="B99" s="236">
        <f t="shared" si="2"/>
        <v>0.47617776316328914</v>
      </c>
      <c r="C99" s="236">
        <f t="shared" si="3"/>
        <v>0.45044999999999996</v>
      </c>
      <c r="D99" s="236">
        <f t="shared" si="0"/>
        <v>0.4542070391600711</v>
      </c>
      <c r="E99" s="236">
        <f t="shared" si="1"/>
        <v>0.45336843430398754</v>
      </c>
      <c r="F99" s="149">
        <f t="shared" si="4"/>
        <v>5.711569133819331E-2</v>
      </c>
      <c r="G99" s="147">
        <f t="shared" si="5"/>
        <v>1.849720431840356E-3</v>
      </c>
      <c r="H99" s="267" t="e">
        <f>交易电量!C77/结算电量表!J126</f>
        <v>#DIV/0!</v>
      </c>
      <c r="I99" s="267" t="e">
        <f>交易电量!D77/结算电量表!K126</f>
        <v>#DIV/0!</v>
      </c>
      <c r="J99" s="283">
        <f t="shared" si="6"/>
        <v>0.19106413609782</v>
      </c>
      <c r="K99" s="284">
        <f t="shared" si="7"/>
        <v>0.10448</v>
      </c>
    </row>
    <row r="100" spans="1:12" ht="13.5" x14ac:dyDescent="0.15">
      <c r="A100" s="146" t="s">
        <v>158</v>
      </c>
      <c r="B100" s="236">
        <f t="shared" si="2"/>
        <v>0.99359021355382793</v>
      </c>
      <c r="C100" s="236">
        <f t="shared" si="3"/>
        <v>1.0177058424086678</v>
      </c>
      <c r="D100" s="236">
        <f t="shared" si="0"/>
        <v>1.0161217986111102</v>
      </c>
      <c r="E100" s="236">
        <f t="shared" si="1"/>
        <v>1.0482349945337484</v>
      </c>
      <c r="F100" s="148">
        <f t="shared" si="4"/>
        <v>-2.3696069974172403E-2</v>
      </c>
      <c r="G100" s="148">
        <f t="shared" si="5"/>
        <v>-3.0635493081321921E-2</v>
      </c>
      <c r="H100" s="267" t="e">
        <f>交易电量!C78/结算电量表!J127</f>
        <v>#DIV/0!</v>
      </c>
      <c r="I100" s="267" t="e">
        <f>交易电量!D78/结算电量表!K127</f>
        <v>#DIV/0!</v>
      </c>
      <c r="J100" s="283">
        <f t="shared" si="6"/>
        <v>0.19359967511041201</v>
      </c>
      <c r="K100" s="284">
        <f t="shared" si="7"/>
        <v>0.155</v>
      </c>
    </row>
    <row r="101" spans="1:12" ht="13.5" x14ac:dyDescent="0.15">
      <c r="A101" s="146" t="s">
        <v>159</v>
      </c>
      <c r="B101" s="236">
        <f t="shared" si="2"/>
        <v>1.1349141227906829</v>
      </c>
      <c r="C101" s="236">
        <f t="shared" si="3"/>
        <v>1.1062226137548172</v>
      </c>
      <c r="D101" s="236">
        <f t="shared" si="0"/>
        <v>1.1298062402342535</v>
      </c>
      <c r="E101" s="236">
        <f t="shared" si="1"/>
        <v>1.0679722476656885</v>
      </c>
      <c r="F101" s="148">
        <f t="shared" si="4"/>
        <v>2.5936469458420309E-2</v>
      </c>
      <c r="G101" s="148">
        <f t="shared" si="5"/>
        <v>5.7898501298810016E-2</v>
      </c>
      <c r="H101" s="267" t="e">
        <f>交易电量!C79/结算电量表!J128</f>
        <v>#DIV/0!</v>
      </c>
      <c r="I101" s="267" t="e">
        <f>交易电量!D79/结算电量表!K128</f>
        <v>#DIV/0!</v>
      </c>
      <c r="J101" s="283">
        <f t="shared" si="6"/>
        <v>3.0460000000000001E-2</v>
      </c>
      <c r="K101" s="284">
        <f t="shared" si="7"/>
        <v>3.8715594647897103E-2</v>
      </c>
    </row>
    <row r="102" spans="1:12" ht="13.5" x14ac:dyDescent="0.15">
      <c r="A102" s="146" t="s">
        <v>160</v>
      </c>
      <c r="B102" s="236">
        <f t="shared" si="2"/>
        <v>1.0241740403181567</v>
      </c>
      <c r="C102" s="236">
        <f t="shared" si="3"/>
        <v>1.0392169517385703</v>
      </c>
      <c r="D102" s="236">
        <f t="shared" si="0"/>
        <v>1.0240058019244309</v>
      </c>
      <c r="E102" s="236">
        <f t="shared" si="1"/>
        <v>1.0229586376700883</v>
      </c>
      <c r="F102" s="147">
        <f t="shared" si="4"/>
        <v>-1.4475236759030315E-2</v>
      </c>
      <c r="G102" s="149">
        <f t="shared" si="5"/>
        <v>1.023662361097644E-3</v>
      </c>
      <c r="H102" s="267" t="e">
        <f>交易电量!C80/结算电量表!J129</f>
        <v>#DIV/0!</v>
      </c>
      <c r="I102" s="267" t="e">
        <f>交易电量!D80/结算电量表!K129</f>
        <v>#DIV/0!</v>
      </c>
      <c r="J102" s="283">
        <f t="shared" si="6"/>
        <v>5.7208713099630999E-2</v>
      </c>
      <c r="K102" s="284">
        <f t="shared" si="7"/>
        <v>0.06</v>
      </c>
    </row>
    <row r="103" spans="1:12" ht="13.5" x14ac:dyDescent="0.15">
      <c r="A103" s="150" t="s">
        <v>176</v>
      </c>
      <c r="B103" s="236">
        <f t="shared" si="2"/>
        <v>0.57304179687480594</v>
      </c>
      <c r="C103" s="236">
        <f t="shared" si="3"/>
        <v>0.52821971210220942</v>
      </c>
      <c r="D103" s="236">
        <f t="shared" si="0"/>
        <v>0.55068483243487198</v>
      </c>
      <c r="E103" s="236">
        <f t="shared" si="1"/>
        <v>0.58854369719522059</v>
      </c>
      <c r="F103" s="148">
        <f t="shared" si="4"/>
        <v>8.48550020865627E-2</v>
      </c>
      <c r="G103" s="148">
        <f>(D103-E103-D98-D97-C86)/E103</f>
        <v>-1.8184866640931598</v>
      </c>
      <c r="H103" s="267" t="e">
        <f>交易电量!C81/结算电量表!J130</f>
        <v>#DIV/0!</v>
      </c>
      <c r="I103" s="267" t="e">
        <f>交易电量!D81/结算电量表!K130</f>
        <v>#DIV/0!</v>
      </c>
      <c r="J103" s="283">
        <f t="shared" si="6"/>
        <v>0.15575</v>
      </c>
      <c r="K103" s="284">
        <f t="shared" si="7"/>
        <v>0.15024000000000001</v>
      </c>
      <c r="L103" s="285">
        <f>D103-E103</f>
        <v>-3.7858864760348609E-2</v>
      </c>
    </row>
    <row r="104" spans="1:12" ht="13.5" x14ac:dyDescent="0.15">
      <c r="A104" s="268" t="s">
        <v>187</v>
      </c>
      <c r="B104" s="269">
        <f>E78</f>
        <v>0.49975251434396667</v>
      </c>
      <c r="C104" s="269">
        <f>D78</f>
        <v>0.49422926634171394</v>
      </c>
      <c r="D104" s="269">
        <f t="shared" si="0"/>
        <v>0.49116268139537095</v>
      </c>
      <c r="E104" s="261">
        <f t="shared" si="1"/>
        <v>0.49748761083852716</v>
      </c>
      <c r="F104" s="270">
        <f t="shared" si="4"/>
        <v>1.1175477411800859E-2</v>
      </c>
      <c r="G104" s="271">
        <f t="shared" si="5"/>
        <v>-1.2713742624656309E-2</v>
      </c>
    </row>
    <row r="105" spans="1:12" ht="13.5" x14ac:dyDescent="0.15">
      <c r="A105" s="268" t="s">
        <v>188</v>
      </c>
      <c r="B105" s="269">
        <f>E79</f>
        <v>1.0837274157417809</v>
      </c>
      <c r="C105" s="269">
        <f>D79</f>
        <v>1.0687042247313043</v>
      </c>
      <c r="D105" s="269">
        <f t="shared" si="0"/>
        <v>1.0737888594929572</v>
      </c>
      <c r="E105" s="261">
        <f t="shared" si="1"/>
        <v>1.0511030176979212</v>
      </c>
      <c r="F105" s="270">
        <f t="shared" si="4"/>
        <v>1.405738899764686E-2</v>
      </c>
      <c r="G105" s="271">
        <f t="shared" si="5"/>
        <v>2.1582890937485347E-2</v>
      </c>
    </row>
    <row r="106" spans="1:12" ht="13.5" x14ac:dyDescent="0.15">
      <c r="A106" s="272"/>
      <c r="B106" s="273" t="s">
        <v>0</v>
      </c>
      <c r="C106" s="273" t="s">
        <v>189</v>
      </c>
      <c r="D106" s="273" t="s">
        <v>112</v>
      </c>
      <c r="E106" s="274" t="s">
        <v>190</v>
      </c>
      <c r="F106" s="275" t="s">
        <v>114</v>
      </c>
      <c r="G106" s="276"/>
    </row>
    <row r="107" spans="1:12" x14ac:dyDescent="0.15">
      <c r="A107" s="272" t="s">
        <v>95</v>
      </c>
      <c r="B107" s="277">
        <v>0.54400000000000004</v>
      </c>
      <c r="C107" s="277">
        <f>O77</f>
        <v>0.55068483243487198</v>
      </c>
      <c r="D107" s="277">
        <f>P54</f>
        <v>0.58854369719522059</v>
      </c>
      <c r="E107" s="273">
        <f t="shared" ref="E107:E115" si="8">C107-B107</f>
        <v>6.6848324348719457E-3</v>
      </c>
      <c r="F107" s="278">
        <f t="shared" ref="F107:F115" si="9">C107-D107</f>
        <v>-3.7858864760348609E-2</v>
      </c>
    </row>
    <row r="108" spans="1:12" x14ac:dyDescent="0.15">
      <c r="A108" s="272" t="s">
        <v>187</v>
      </c>
      <c r="B108" s="277">
        <v>0.48599999999999999</v>
      </c>
      <c r="C108" s="277">
        <f>O78</f>
        <v>0.49116268139537095</v>
      </c>
      <c r="D108" s="277">
        <f>P55</f>
        <v>0.49748761083852716</v>
      </c>
      <c r="E108" s="273">
        <f t="shared" si="8"/>
        <v>5.1626813953709605E-3</v>
      </c>
      <c r="F108" s="278">
        <f t="shared" si="9"/>
        <v>-6.3249294431562131E-3</v>
      </c>
    </row>
    <row r="109" spans="1:12" x14ac:dyDescent="0.15">
      <c r="A109" s="272" t="s">
        <v>188</v>
      </c>
      <c r="B109" s="277">
        <v>1.042</v>
      </c>
      <c r="C109" s="277">
        <f>O79</f>
        <v>1.0737888594929572</v>
      </c>
      <c r="D109" s="277">
        <f>P56</f>
        <v>1.0511030176979212</v>
      </c>
      <c r="E109" s="273">
        <f t="shared" si="8"/>
        <v>3.1788859492957178E-2</v>
      </c>
      <c r="F109" s="278">
        <f t="shared" si="9"/>
        <v>2.2685841795035966E-2</v>
      </c>
    </row>
    <row r="110" spans="1:12" x14ac:dyDescent="0.15">
      <c r="A110" s="214" t="s">
        <v>191</v>
      </c>
      <c r="B110" s="277">
        <f>SUM(营业总收入!P72:P74)/SUM(结算电量表!P90:P92)*1.17</f>
        <v>0.44919964170461824</v>
      </c>
      <c r="C110" s="277">
        <f>SUM(营业总收入!AC72:AC74)/SUM(结算电量表!AC90:AC92)*1.17</f>
        <v>0.43333972362617584</v>
      </c>
      <c r="D110" s="277">
        <f>SUM(营业总收入!AD43:AD45)/SUM(结算电量表!AD57:AD59)*1.17</f>
        <v>0.49545393844065932</v>
      </c>
      <c r="E110" s="273">
        <f t="shared" si="8"/>
        <v>-1.5859918078442392E-2</v>
      </c>
      <c r="F110" s="278">
        <f t="shared" si="9"/>
        <v>-6.2114214814483482E-2</v>
      </c>
    </row>
    <row r="111" spans="1:12" x14ac:dyDescent="0.15">
      <c r="A111" s="214" t="s">
        <v>192</v>
      </c>
      <c r="B111" s="277">
        <f>B74</f>
        <v>1.0284844444444401</v>
      </c>
      <c r="C111" s="277">
        <f>O74</f>
        <v>1.0161217986111102</v>
      </c>
      <c r="D111" s="277">
        <f>P51</f>
        <v>1.0482349945337484</v>
      </c>
      <c r="E111" s="273">
        <f t="shared" si="8"/>
        <v>-1.2362645833329911E-2</v>
      </c>
      <c r="F111" s="278">
        <f t="shared" si="9"/>
        <v>-3.2113195922638171E-2</v>
      </c>
    </row>
    <row r="112" spans="1:12" x14ac:dyDescent="0.15">
      <c r="A112" s="214" t="s">
        <v>193</v>
      </c>
      <c r="B112" s="277">
        <f>SUM(营业总收入!P77:P81)/SUM(结算电量表!P95:P99)*1.17</f>
        <v>0.51280711064791273</v>
      </c>
      <c r="C112" s="277">
        <f>SUM(营业总收入!AC77:AC81)/SUM(结算电量表!AC95:AC99)*1.17</f>
        <v>0.51416527014841895</v>
      </c>
      <c r="D112" s="277">
        <f>SUM(营业总收入!AD48:AD52)/SUM(结算电量表!AD62:AD66)*1.17</f>
        <v>0.5048480185809896</v>
      </c>
      <c r="E112" s="273">
        <f t="shared" si="8"/>
        <v>1.3581595005062175E-3</v>
      </c>
      <c r="F112" s="278">
        <f t="shared" si="9"/>
        <v>9.3172515674293521E-3</v>
      </c>
    </row>
    <row r="113" spans="1:6" x14ac:dyDescent="0.15">
      <c r="A113" s="214" t="s">
        <v>194</v>
      </c>
      <c r="B113" s="277">
        <f>B67</f>
        <v>0.51876488888888905</v>
      </c>
      <c r="C113" s="277">
        <f>O67</f>
        <v>0.58905910698320685</v>
      </c>
      <c r="D113" s="277">
        <f>P44</f>
        <v>0.49558436473933648</v>
      </c>
      <c r="E113" s="273">
        <f t="shared" si="8"/>
        <v>7.0294218094317795E-2</v>
      </c>
      <c r="F113" s="278">
        <f t="shared" si="9"/>
        <v>9.3474742243870368E-2</v>
      </c>
    </row>
    <row r="114" spans="1:6" x14ac:dyDescent="0.15">
      <c r="A114" s="214" t="s">
        <v>195</v>
      </c>
      <c r="B114" s="277">
        <f>B75</f>
        <v>1.0640000000000001</v>
      </c>
      <c r="C114" s="277">
        <f>O75</f>
        <v>1.1298062402342535</v>
      </c>
      <c r="D114" s="277">
        <f>P52</f>
        <v>1.0679722476656885</v>
      </c>
      <c r="E114" s="273">
        <f t="shared" si="8"/>
        <v>6.580624023425341E-2</v>
      </c>
      <c r="F114" s="278">
        <f t="shared" si="9"/>
        <v>6.1833992568564922E-2</v>
      </c>
    </row>
    <row r="115" spans="1:6" x14ac:dyDescent="0.15">
      <c r="A115" s="214" t="s">
        <v>196</v>
      </c>
      <c r="B115" s="277">
        <f>B76</f>
        <v>1.01168674698795</v>
      </c>
      <c r="C115" s="277">
        <f>O76</f>
        <v>1.0240058019244309</v>
      </c>
      <c r="D115" s="277">
        <f>P53</f>
        <v>1.0229586376700883</v>
      </c>
      <c r="E115" s="273">
        <f t="shared" si="8"/>
        <v>1.2319054936480889E-2</v>
      </c>
      <c r="F115" s="278">
        <f t="shared" si="9"/>
        <v>1.0471642543425919E-3</v>
      </c>
    </row>
  </sheetData>
  <mergeCells count="7">
    <mergeCell ref="C17:N17"/>
    <mergeCell ref="C39:N39"/>
    <mergeCell ref="Q39:AB39"/>
    <mergeCell ref="AD39:AO39"/>
    <mergeCell ref="C62:N62"/>
    <mergeCell ref="Q62:AB62"/>
    <mergeCell ref="AD62:AO62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143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J65" sqref="J65"/>
    </sheetView>
  </sheetViews>
  <sheetFormatPr defaultColWidth="9" defaultRowHeight="13.5" x14ac:dyDescent="0.15"/>
  <cols>
    <col min="1" max="1" width="12.625" style="78" customWidth="1"/>
    <col min="2" max="2" width="10.5" style="78" customWidth="1"/>
    <col min="3" max="3" width="8" style="78" customWidth="1"/>
    <col min="4" max="4" width="9.375" style="78" customWidth="1"/>
    <col min="5" max="5" width="8" style="78" customWidth="1"/>
    <col min="6" max="13" width="8.25" style="78" customWidth="1"/>
    <col min="14" max="14" width="8" style="78" customWidth="1"/>
    <col min="15" max="15" width="9.375" style="78" customWidth="1"/>
    <col min="16" max="16" width="9.875" style="78" customWidth="1"/>
    <col min="17" max="19" width="8.375" style="78" customWidth="1"/>
    <col min="20" max="22" width="10.125" style="78" customWidth="1"/>
    <col min="23" max="23" width="9.75" style="78" customWidth="1"/>
    <col min="24" max="26" width="8.375" style="78" customWidth="1"/>
    <col min="27" max="27" width="10.375" style="78" customWidth="1"/>
    <col min="28" max="28" width="10.875" style="78" customWidth="1"/>
    <col min="29" max="29" width="13.125" style="78" customWidth="1"/>
    <col min="30" max="30" width="10.75" style="78" customWidth="1"/>
    <col min="31" max="16384" width="9" style="78"/>
  </cols>
  <sheetData>
    <row r="1" spans="1:29" s="203" customFormat="1" ht="15.75" customHeight="1" x14ac:dyDescent="0.15">
      <c r="A1" s="164" t="s">
        <v>197</v>
      </c>
      <c r="B1" s="164" t="s">
        <v>0</v>
      </c>
      <c r="C1" s="380" t="s">
        <v>119</v>
      </c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26"/>
      <c r="P1" s="26"/>
      <c r="Q1" s="380" t="s">
        <v>198</v>
      </c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</row>
    <row r="2" spans="1:29" s="203" customFormat="1" ht="12" x14ac:dyDescent="0.15">
      <c r="A2" s="164"/>
      <c r="B2" s="164"/>
      <c r="C2" s="167" t="s">
        <v>83</v>
      </c>
      <c r="D2" s="167" t="s">
        <v>84</v>
      </c>
      <c r="E2" s="167" t="s">
        <v>85</v>
      </c>
      <c r="F2" s="167" t="s">
        <v>86</v>
      </c>
      <c r="G2" s="167" t="s">
        <v>87</v>
      </c>
      <c r="H2" s="167" t="s">
        <v>88</v>
      </c>
      <c r="I2" s="167" t="s">
        <v>89</v>
      </c>
      <c r="J2" s="167" t="s">
        <v>90</v>
      </c>
      <c r="K2" s="167" t="s">
        <v>91</v>
      </c>
      <c r="L2" s="167" t="s">
        <v>92</v>
      </c>
      <c r="M2" s="167" t="s">
        <v>93</v>
      </c>
      <c r="N2" s="167" t="s">
        <v>94</v>
      </c>
      <c r="O2" s="44" t="s">
        <v>111</v>
      </c>
      <c r="P2" s="44"/>
      <c r="Q2" s="167" t="s">
        <v>83</v>
      </c>
      <c r="R2" s="167" t="s">
        <v>84</v>
      </c>
      <c r="S2" s="167" t="s">
        <v>85</v>
      </c>
      <c r="T2" s="167" t="s">
        <v>86</v>
      </c>
      <c r="U2" s="167" t="s">
        <v>87</v>
      </c>
      <c r="V2" s="167" t="s">
        <v>88</v>
      </c>
      <c r="W2" s="167" t="s">
        <v>89</v>
      </c>
      <c r="X2" s="167" t="s">
        <v>90</v>
      </c>
      <c r="Y2" s="167" t="s">
        <v>91</v>
      </c>
      <c r="Z2" s="167" t="s">
        <v>92</v>
      </c>
      <c r="AA2" s="167" t="s">
        <v>93</v>
      </c>
      <c r="AB2" s="167" t="s">
        <v>94</v>
      </c>
      <c r="AC2" s="44" t="s">
        <v>199</v>
      </c>
    </row>
    <row r="3" spans="1:29" s="203" customFormat="1" ht="12" x14ac:dyDescent="0.15">
      <c r="A3" s="36" t="s">
        <v>148</v>
      </c>
      <c r="B3" s="36"/>
      <c r="C3" s="110">
        <v>1906.4413999999999</v>
      </c>
      <c r="D3" s="110">
        <v>1586.9526000000001</v>
      </c>
      <c r="E3" s="110">
        <v>1726.9439</v>
      </c>
      <c r="F3" s="110">
        <v>1307.057</v>
      </c>
      <c r="G3" s="110">
        <v>1802.75</v>
      </c>
      <c r="H3" s="110">
        <v>992.59</v>
      </c>
      <c r="I3" s="110">
        <v>1373.57</v>
      </c>
      <c r="J3" s="110">
        <v>1127.3900000000001</v>
      </c>
      <c r="K3" s="110">
        <v>993.43010000000004</v>
      </c>
      <c r="L3" s="110">
        <v>745.64</v>
      </c>
      <c r="M3" s="110">
        <v>828.94730000000004</v>
      </c>
      <c r="N3" s="110">
        <v>1923.2191</v>
      </c>
      <c r="O3" s="110">
        <f>SUM(C3:N3)</f>
        <v>16314.931399999998</v>
      </c>
      <c r="P3" s="110"/>
      <c r="Q3" s="110">
        <v>1864.8731</v>
      </c>
      <c r="R3" s="110">
        <v>1553.3637000000001</v>
      </c>
      <c r="S3" s="110">
        <v>1693.0342000000001</v>
      </c>
      <c r="T3" s="110">
        <v>1276.6099999999999</v>
      </c>
      <c r="U3" s="110">
        <v>1766.45</v>
      </c>
      <c r="V3" s="110">
        <v>969.41</v>
      </c>
      <c r="W3" s="110">
        <v>1346.52</v>
      </c>
      <c r="X3" s="110">
        <v>1105.67</v>
      </c>
      <c r="Y3" s="110">
        <v>953.57960000000003</v>
      </c>
      <c r="Z3" s="110">
        <v>729.5</v>
      </c>
      <c r="AA3" s="110">
        <v>808.4855</v>
      </c>
      <c r="AB3" s="217">
        <v>1865.5369000000001</v>
      </c>
      <c r="AC3" s="110">
        <f>SUM(Q3:AB3)</f>
        <v>15933.033000000003</v>
      </c>
    </row>
    <row r="4" spans="1:29" s="203" customFormat="1" ht="12" x14ac:dyDescent="0.15">
      <c r="A4" s="36" t="s">
        <v>149</v>
      </c>
      <c r="B4" s="36"/>
      <c r="C4" s="110">
        <v>988.10400000000004</v>
      </c>
      <c r="D4" s="110">
        <v>2033.87</v>
      </c>
      <c r="E4" s="110">
        <v>1698.45</v>
      </c>
      <c r="F4" s="110">
        <v>2092.5700000000002</v>
      </c>
      <c r="G4" s="110">
        <v>1714.83</v>
      </c>
      <c r="H4" s="110">
        <v>1923.47</v>
      </c>
      <c r="I4" s="110">
        <v>1773.6</v>
      </c>
      <c r="J4" s="110">
        <v>1873.94</v>
      </c>
      <c r="K4" s="110">
        <v>1447.43</v>
      </c>
      <c r="L4" s="110">
        <v>1292.4100000000001</v>
      </c>
      <c r="M4" s="110">
        <v>907.64</v>
      </c>
      <c r="N4" s="110">
        <v>1374.44</v>
      </c>
      <c r="O4" s="110">
        <f t="shared" ref="O4:O13" si="0">SUM(C4:N4)</f>
        <v>19120.754000000001</v>
      </c>
      <c r="P4" s="110"/>
      <c r="Q4" s="110">
        <v>962.80799999999999</v>
      </c>
      <c r="R4" s="110">
        <v>1988.0519999999999</v>
      </c>
      <c r="S4" s="110">
        <v>1658.91</v>
      </c>
      <c r="T4" s="110">
        <v>2044.4863</v>
      </c>
      <c r="U4" s="110">
        <v>1676.65</v>
      </c>
      <c r="V4" s="110">
        <v>1880.87</v>
      </c>
      <c r="W4" s="110">
        <v>1732.68</v>
      </c>
      <c r="X4" s="110">
        <v>1835.2619999999999</v>
      </c>
      <c r="Y4" s="110">
        <v>1402.4491</v>
      </c>
      <c r="Z4" s="110">
        <v>1263.7</v>
      </c>
      <c r="AA4" s="110">
        <v>840.97</v>
      </c>
      <c r="AB4" s="217">
        <v>1312.0650000000001</v>
      </c>
      <c r="AC4" s="110">
        <f t="shared" ref="AC4:AC13" si="1">SUM(Q4:AB4)</f>
        <v>18598.902399999999</v>
      </c>
    </row>
    <row r="5" spans="1:29" s="203" customFormat="1" ht="12" x14ac:dyDescent="0.15">
      <c r="A5" s="36" t="s">
        <v>150</v>
      </c>
      <c r="B5" s="36"/>
      <c r="C5" s="110">
        <v>1907.6494</v>
      </c>
      <c r="D5" s="110">
        <v>3288.1381999999999</v>
      </c>
      <c r="E5" s="110">
        <v>2900.6637999999998</v>
      </c>
      <c r="F5" s="110">
        <v>3524.6770000000001</v>
      </c>
      <c r="G5" s="110">
        <v>3524.0556999999999</v>
      </c>
      <c r="H5" s="110">
        <v>3348.2716999999998</v>
      </c>
      <c r="I5" s="110">
        <v>2809.8094999999998</v>
      </c>
      <c r="J5" s="110">
        <v>2826.6363000000001</v>
      </c>
      <c r="K5" s="110">
        <v>1860.8235</v>
      </c>
      <c r="L5" s="110">
        <v>1910.24</v>
      </c>
      <c r="M5" s="110">
        <v>1387.9426000000001</v>
      </c>
      <c r="N5" s="110">
        <v>1612.0486000000001</v>
      </c>
      <c r="O5" s="110">
        <f t="shared" si="0"/>
        <v>30900.956299999998</v>
      </c>
      <c r="P5" s="110"/>
      <c r="Q5" s="110">
        <v>1869.912</v>
      </c>
      <c r="R5" s="110">
        <v>3235.056</v>
      </c>
      <c r="S5" s="110">
        <v>2846.4479999999999</v>
      </c>
      <c r="T5" s="110">
        <v>3465.0055000000002</v>
      </c>
      <c r="U5" s="110">
        <v>3459.0387000000001</v>
      </c>
      <c r="V5" s="110">
        <v>3288.9119999999998</v>
      </c>
      <c r="W5" s="110">
        <v>2754.5481</v>
      </c>
      <c r="X5" s="110">
        <v>2782.0320000000002</v>
      </c>
      <c r="Y5" s="110">
        <v>1807.3384000000001</v>
      </c>
      <c r="Z5" s="110">
        <v>1874.93</v>
      </c>
      <c r="AA5" s="110">
        <v>1353.7919999999999</v>
      </c>
      <c r="AB5" s="217">
        <v>1520.3425</v>
      </c>
      <c r="AC5" s="110">
        <f t="shared" si="1"/>
        <v>30257.355200000002</v>
      </c>
    </row>
    <row r="6" spans="1:29" s="203" customFormat="1" ht="12" x14ac:dyDescent="0.15">
      <c r="A6" s="36" t="s">
        <v>151</v>
      </c>
      <c r="B6" s="36"/>
      <c r="C6" s="110">
        <v>1167.1472000000001</v>
      </c>
      <c r="D6" s="110">
        <v>842.66</v>
      </c>
      <c r="E6" s="110">
        <v>1047.31</v>
      </c>
      <c r="F6" s="110">
        <v>1200.4931999999999</v>
      </c>
      <c r="G6" s="110">
        <v>1370.4525000000001</v>
      </c>
      <c r="H6" s="110">
        <v>1127.49</v>
      </c>
      <c r="I6" s="110">
        <v>960.5652</v>
      </c>
      <c r="J6" s="110">
        <v>1437.4657</v>
      </c>
      <c r="K6" s="110">
        <v>790.02</v>
      </c>
      <c r="L6" s="110">
        <v>847.02</v>
      </c>
      <c r="M6" s="110">
        <v>856.99</v>
      </c>
      <c r="N6" s="110">
        <v>891.01</v>
      </c>
      <c r="O6" s="110">
        <f t="shared" si="0"/>
        <v>12538.623800000001</v>
      </c>
      <c r="P6" s="110"/>
      <c r="Q6" s="110">
        <v>1112.144</v>
      </c>
      <c r="R6" s="110">
        <v>811.32</v>
      </c>
      <c r="S6" s="110">
        <v>1020.58</v>
      </c>
      <c r="T6" s="110">
        <v>1173.4931999999999</v>
      </c>
      <c r="U6" s="110">
        <v>1326.3492000000001</v>
      </c>
      <c r="V6" s="110">
        <v>1097.2103999999999</v>
      </c>
      <c r="W6" s="110">
        <v>934.71839999999997</v>
      </c>
      <c r="X6" s="110">
        <v>1405.2852</v>
      </c>
      <c r="Y6" s="110">
        <v>769.24</v>
      </c>
      <c r="Z6" s="110">
        <v>827.84</v>
      </c>
      <c r="AA6" s="110">
        <v>834.93</v>
      </c>
      <c r="AB6" s="217">
        <v>860.01</v>
      </c>
      <c r="AC6" s="110">
        <f t="shared" si="1"/>
        <v>12173.1204</v>
      </c>
    </row>
    <row r="7" spans="1:29" s="203" customFormat="1" ht="12" x14ac:dyDescent="0.15">
      <c r="A7" s="36" t="s">
        <v>200</v>
      </c>
      <c r="B7" s="36"/>
      <c r="C7" s="110">
        <v>511.52800000000002</v>
      </c>
      <c r="D7" s="110">
        <v>452.87</v>
      </c>
      <c r="E7" s="110">
        <v>970.5</v>
      </c>
      <c r="F7" s="110">
        <v>1150.8599999999999</v>
      </c>
      <c r="G7" s="110">
        <v>1372.41</v>
      </c>
      <c r="H7" s="110">
        <v>713.64</v>
      </c>
      <c r="I7" s="110">
        <v>627.16</v>
      </c>
      <c r="J7" s="110">
        <v>597.37</v>
      </c>
      <c r="K7" s="110">
        <v>560.87</v>
      </c>
      <c r="L7" s="110">
        <v>958.23</v>
      </c>
      <c r="M7" s="110">
        <v>1146.24</v>
      </c>
      <c r="N7" s="110">
        <v>1039.56</v>
      </c>
      <c r="O7" s="110">
        <f t="shared" si="0"/>
        <v>10101.237999999999</v>
      </c>
      <c r="P7" s="110"/>
      <c r="Q7" s="110">
        <v>475.2</v>
      </c>
      <c r="R7" s="110">
        <v>403.26</v>
      </c>
      <c r="S7" s="110">
        <v>954.54</v>
      </c>
      <c r="T7" s="110">
        <v>1107.96</v>
      </c>
      <c r="U7" s="110">
        <v>1318.02</v>
      </c>
      <c r="V7" s="110">
        <v>681.78</v>
      </c>
      <c r="W7" s="110">
        <v>627</v>
      </c>
      <c r="X7" s="110">
        <v>566.28</v>
      </c>
      <c r="Y7" s="110">
        <v>533.28</v>
      </c>
      <c r="Z7" s="110">
        <v>922.02</v>
      </c>
      <c r="AA7" s="110">
        <v>1096.92</v>
      </c>
      <c r="AB7" s="217">
        <v>962.28</v>
      </c>
      <c r="AC7" s="110">
        <f t="shared" si="1"/>
        <v>9648.5399999999991</v>
      </c>
    </row>
    <row r="8" spans="1:29" s="203" customFormat="1" ht="12" x14ac:dyDescent="0.15">
      <c r="A8" s="36" t="s">
        <v>201</v>
      </c>
      <c r="B8" s="36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>
        <f t="shared" si="0"/>
        <v>0</v>
      </c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217"/>
      <c r="AC8" s="110">
        <f t="shared" si="1"/>
        <v>0</v>
      </c>
    </row>
    <row r="9" spans="1:29" s="203" customFormat="1" ht="12" x14ac:dyDescent="0.15">
      <c r="A9" s="36" t="s">
        <v>157</v>
      </c>
      <c r="B9" s="36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>
        <f t="shared" si="0"/>
        <v>0</v>
      </c>
      <c r="P9" s="110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8"/>
      <c r="AC9" s="110">
        <f t="shared" si="1"/>
        <v>0</v>
      </c>
    </row>
    <row r="10" spans="1:29" s="203" customFormat="1" ht="12" x14ac:dyDescent="0.15">
      <c r="A10" s="36" t="s">
        <v>158</v>
      </c>
      <c r="B10" s="36"/>
      <c r="C10" s="110">
        <v>353.85</v>
      </c>
      <c r="D10" s="110">
        <v>314.32</v>
      </c>
      <c r="E10" s="110">
        <v>272.02</v>
      </c>
      <c r="F10" s="110">
        <v>241.44</v>
      </c>
      <c r="G10" s="110">
        <v>320.55</v>
      </c>
      <c r="H10" s="110">
        <v>320.52</v>
      </c>
      <c r="I10" s="110">
        <v>267.95999999999998</v>
      </c>
      <c r="J10" s="110">
        <v>320.99</v>
      </c>
      <c r="K10" s="110">
        <v>300.08999999999997</v>
      </c>
      <c r="L10" s="110">
        <v>314.58999999999997</v>
      </c>
      <c r="M10" s="110">
        <v>197.12</v>
      </c>
      <c r="N10" s="110">
        <v>313.47000000000003</v>
      </c>
      <c r="O10" s="110">
        <f t="shared" si="0"/>
        <v>3536.92</v>
      </c>
      <c r="P10" s="110"/>
      <c r="Q10" s="110">
        <v>346.13</v>
      </c>
      <c r="R10" s="110">
        <v>306.97000000000003</v>
      </c>
      <c r="S10" s="110">
        <v>264.77</v>
      </c>
      <c r="T10" s="110">
        <v>236.2</v>
      </c>
      <c r="U10" s="110">
        <v>314.83</v>
      </c>
      <c r="V10" s="110">
        <v>314.55</v>
      </c>
      <c r="W10" s="110">
        <v>261.67</v>
      </c>
      <c r="X10" s="110">
        <v>314.58999999999997</v>
      </c>
      <c r="Y10" s="110">
        <v>291.25</v>
      </c>
      <c r="Z10" s="110">
        <v>309.5</v>
      </c>
      <c r="AA10" s="110">
        <v>192.71</v>
      </c>
      <c r="AB10" s="217">
        <v>297.57</v>
      </c>
      <c r="AC10" s="110">
        <f t="shared" si="1"/>
        <v>3450.7400000000002</v>
      </c>
    </row>
    <row r="11" spans="1:29" s="203" customFormat="1" ht="12" x14ac:dyDescent="0.15">
      <c r="A11" s="36" t="s">
        <v>159</v>
      </c>
      <c r="B11" s="36"/>
      <c r="C11" s="110">
        <v>642.54999999999995</v>
      </c>
      <c r="D11" s="110">
        <v>738.8</v>
      </c>
      <c r="E11" s="110">
        <v>665.73</v>
      </c>
      <c r="F11" s="110">
        <v>839.48</v>
      </c>
      <c r="G11" s="110">
        <v>720.14</v>
      </c>
      <c r="H11" s="110">
        <v>728.71</v>
      </c>
      <c r="I11" s="110">
        <v>701.65</v>
      </c>
      <c r="J11" s="110">
        <v>856.09</v>
      </c>
      <c r="K11" s="110">
        <v>821.91</v>
      </c>
      <c r="L11" s="110">
        <v>794.28</v>
      </c>
      <c r="M11" s="110">
        <v>775.24</v>
      </c>
      <c r="N11" s="110">
        <v>746.29</v>
      </c>
      <c r="O11" s="110">
        <f t="shared" si="0"/>
        <v>9030.869999999999</v>
      </c>
      <c r="P11" s="110"/>
      <c r="Q11" s="110">
        <v>632.36</v>
      </c>
      <c r="R11" s="110">
        <v>716.48</v>
      </c>
      <c r="S11" s="110">
        <v>659.61</v>
      </c>
      <c r="T11" s="110">
        <v>808.79</v>
      </c>
      <c r="U11" s="110">
        <v>705.91</v>
      </c>
      <c r="V11" s="110">
        <v>708.81</v>
      </c>
      <c r="W11" s="110">
        <v>681.83</v>
      </c>
      <c r="X11" s="110">
        <v>847.89</v>
      </c>
      <c r="Y11" s="110">
        <v>792.96</v>
      </c>
      <c r="Z11" s="110">
        <v>765.13</v>
      </c>
      <c r="AA11" s="110">
        <v>746.56</v>
      </c>
      <c r="AB11" s="217">
        <v>711.76</v>
      </c>
      <c r="AC11" s="110">
        <f t="shared" si="1"/>
        <v>8778.09</v>
      </c>
    </row>
    <row r="12" spans="1:29" s="203" customFormat="1" ht="12" x14ac:dyDescent="0.15">
      <c r="A12" s="36" t="s">
        <v>160</v>
      </c>
      <c r="B12" s="36"/>
      <c r="C12" s="110">
        <v>391.44</v>
      </c>
      <c r="D12" s="110">
        <v>317.89999999999998</v>
      </c>
      <c r="E12" s="110">
        <v>473.56</v>
      </c>
      <c r="F12" s="110">
        <v>403.83</v>
      </c>
      <c r="G12" s="110">
        <v>468.6549</v>
      </c>
      <c r="H12" s="110">
        <v>393.39</v>
      </c>
      <c r="I12" s="110">
        <v>431.79</v>
      </c>
      <c r="J12" s="110">
        <v>411.95</v>
      </c>
      <c r="K12" s="110">
        <v>354.62</v>
      </c>
      <c r="L12" s="110">
        <v>347.83</v>
      </c>
      <c r="M12" s="110">
        <v>315.90899999999999</v>
      </c>
      <c r="N12" s="110">
        <v>380.42</v>
      </c>
      <c r="O12" s="110">
        <f t="shared" si="0"/>
        <v>4691.2938999999997</v>
      </c>
      <c r="P12" s="110"/>
      <c r="Q12" s="110">
        <v>378.1</v>
      </c>
      <c r="R12" s="110">
        <v>317</v>
      </c>
      <c r="S12" s="110">
        <v>464.2</v>
      </c>
      <c r="T12" s="110">
        <v>395.9</v>
      </c>
      <c r="U12" s="110">
        <v>459.7</v>
      </c>
      <c r="V12" s="110">
        <v>385.2</v>
      </c>
      <c r="W12" s="110">
        <v>421.2</v>
      </c>
      <c r="X12" s="110">
        <v>403.3</v>
      </c>
      <c r="Y12" s="110">
        <v>346</v>
      </c>
      <c r="Z12" s="110">
        <v>342.6</v>
      </c>
      <c r="AA12" s="110">
        <v>309.89999999999998</v>
      </c>
      <c r="AB12" s="217">
        <v>373.9</v>
      </c>
      <c r="AC12" s="110">
        <f t="shared" si="1"/>
        <v>4596.9999999999991</v>
      </c>
    </row>
    <row r="13" spans="1:29" s="203" customFormat="1" ht="12" x14ac:dyDescent="0.15">
      <c r="A13" s="36" t="s">
        <v>95</v>
      </c>
      <c r="B13" s="36"/>
      <c r="C13" s="110">
        <f>SUM(C3:C12)</f>
        <v>7868.7100000000009</v>
      </c>
      <c r="D13" s="110">
        <f t="shared" ref="D13:N13" si="2">SUM(D3:D12)</f>
        <v>9575.5107999999982</v>
      </c>
      <c r="E13" s="110">
        <f t="shared" si="2"/>
        <v>9755.1776999999984</v>
      </c>
      <c r="F13" s="110">
        <f t="shared" si="2"/>
        <v>10760.4072</v>
      </c>
      <c r="G13" s="110">
        <f t="shared" si="2"/>
        <v>11293.843099999998</v>
      </c>
      <c r="H13" s="110">
        <f t="shared" si="2"/>
        <v>9548.0816999999988</v>
      </c>
      <c r="I13" s="110">
        <f t="shared" si="2"/>
        <v>8946.1046999999999</v>
      </c>
      <c r="J13" s="110">
        <f t="shared" si="2"/>
        <v>9451.8320000000003</v>
      </c>
      <c r="K13" s="110">
        <f t="shared" si="2"/>
        <v>7129.1936000000005</v>
      </c>
      <c r="L13" s="110">
        <f t="shared" si="2"/>
        <v>7210.2399999999989</v>
      </c>
      <c r="M13" s="110">
        <f t="shared" si="2"/>
        <v>6416.0288999999993</v>
      </c>
      <c r="N13" s="110">
        <f t="shared" si="2"/>
        <v>8280.4577000000008</v>
      </c>
      <c r="O13" s="110">
        <f t="shared" si="0"/>
        <v>106235.58739999999</v>
      </c>
      <c r="P13" s="110"/>
      <c r="Q13" s="110">
        <f t="shared" ref="Q13:AB13" si="3">SUM(Q3:Q12)</f>
        <v>7641.5271000000002</v>
      </c>
      <c r="R13" s="110">
        <f t="shared" si="3"/>
        <v>9331.5016999999989</v>
      </c>
      <c r="S13" s="110">
        <f t="shared" si="3"/>
        <v>9562.092200000001</v>
      </c>
      <c r="T13" s="110">
        <f t="shared" si="3"/>
        <v>10508.445000000002</v>
      </c>
      <c r="U13" s="110">
        <f t="shared" si="3"/>
        <v>11026.947900000001</v>
      </c>
      <c r="V13" s="110">
        <f t="shared" si="3"/>
        <v>9326.7423999999992</v>
      </c>
      <c r="W13" s="110">
        <f t="shared" si="3"/>
        <v>8760.1665000000012</v>
      </c>
      <c r="X13" s="110">
        <f t="shared" si="3"/>
        <v>9260.3091999999997</v>
      </c>
      <c r="Y13" s="110">
        <f t="shared" si="3"/>
        <v>6896.097099999999</v>
      </c>
      <c r="Z13" s="110">
        <f t="shared" si="3"/>
        <v>7035.22</v>
      </c>
      <c r="AA13" s="110">
        <f t="shared" si="3"/>
        <v>6184.2674999999999</v>
      </c>
      <c r="AB13" s="217">
        <f t="shared" si="3"/>
        <v>7903.4643999999998</v>
      </c>
      <c r="AC13" s="110">
        <f t="shared" si="1"/>
        <v>103436.781</v>
      </c>
    </row>
    <row r="16" spans="1:29" s="203" customFormat="1" ht="18" customHeight="1" x14ac:dyDescent="0.15">
      <c r="A16" s="164"/>
      <c r="B16" s="164" t="s">
        <v>0</v>
      </c>
      <c r="C16" s="380" t="s">
        <v>119</v>
      </c>
      <c r="D16" s="380"/>
      <c r="E16" s="380"/>
      <c r="F16" s="380"/>
      <c r="G16" s="380"/>
      <c r="H16" s="380"/>
      <c r="I16" s="380"/>
      <c r="J16" s="380"/>
      <c r="K16" s="380"/>
      <c r="L16" s="380"/>
      <c r="M16" s="380"/>
      <c r="N16" s="380"/>
      <c r="O16" s="26"/>
      <c r="P16" s="26"/>
      <c r="Q16" s="380" t="s">
        <v>198</v>
      </c>
      <c r="R16" s="380"/>
      <c r="S16" s="380"/>
      <c r="T16" s="380"/>
      <c r="U16" s="380"/>
      <c r="V16" s="380"/>
      <c r="W16" s="380"/>
      <c r="X16" s="380"/>
      <c r="Y16" s="380"/>
      <c r="Z16" s="380"/>
      <c r="AA16" s="380"/>
      <c r="AB16" s="381"/>
      <c r="AC16" s="214"/>
    </row>
    <row r="17" spans="1:29" s="203" customFormat="1" ht="19.5" customHeight="1" x14ac:dyDescent="0.15">
      <c r="A17" s="164" t="s">
        <v>147</v>
      </c>
      <c r="B17" s="164"/>
      <c r="C17" s="167" t="s">
        <v>83</v>
      </c>
      <c r="D17" s="167" t="s">
        <v>84</v>
      </c>
      <c r="E17" s="167" t="s">
        <v>85</v>
      </c>
      <c r="F17" s="167" t="s">
        <v>86</v>
      </c>
      <c r="G17" s="167" t="s">
        <v>87</v>
      </c>
      <c r="H17" s="167" t="s">
        <v>88</v>
      </c>
      <c r="I17" s="167" t="s">
        <v>89</v>
      </c>
      <c r="J17" s="167" t="s">
        <v>90</v>
      </c>
      <c r="K17" s="167" t="s">
        <v>91</v>
      </c>
      <c r="L17" s="167" t="s">
        <v>92</v>
      </c>
      <c r="M17" s="167" t="s">
        <v>93</v>
      </c>
      <c r="N17" s="167" t="s">
        <v>94</v>
      </c>
      <c r="O17" s="44" t="s">
        <v>111</v>
      </c>
      <c r="P17" s="44"/>
      <c r="Q17" s="167" t="s">
        <v>83</v>
      </c>
      <c r="R17" s="167" t="s">
        <v>84</v>
      </c>
      <c r="S17" s="167" t="s">
        <v>85</v>
      </c>
      <c r="T17" s="167" t="s">
        <v>86</v>
      </c>
      <c r="U17" s="167" t="s">
        <v>87</v>
      </c>
      <c r="V17" s="167" t="s">
        <v>88</v>
      </c>
      <c r="W17" s="167" t="s">
        <v>89</v>
      </c>
      <c r="X17" s="167" t="s">
        <v>90</v>
      </c>
      <c r="Y17" s="167" t="s">
        <v>91</v>
      </c>
      <c r="Z17" s="167" t="s">
        <v>92</v>
      </c>
      <c r="AA17" s="167" t="s">
        <v>93</v>
      </c>
      <c r="AB17" s="219" t="s">
        <v>94</v>
      </c>
      <c r="AC17" s="44" t="s">
        <v>199</v>
      </c>
    </row>
    <row r="18" spans="1:29" s="203" customFormat="1" ht="18.75" customHeight="1" x14ac:dyDescent="0.15">
      <c r="A18" s="36" t="s">
        <v>148</v>
      </c>
      <c r="B18" s="36"/>
      <c r="C18" s="85">
        <v>1826.5025000000001</v>
      </c>
      <c r="D18" s="85">
        <v>1138.5726</v>
      </c>
      <c r="E18" s="85">
        <v>1016.7597</v>
      </c>
      <c r="F18" s="85">
        <v>1247.0494000000001</v>
      </c>
      <c r="G18" s="85">
        <v>1664.6962000000001</v>
      </c>
      <c r="H18" s="85">
        <v>743.67</v>
      </c>
      <c r="I18" s="85">
        <v>807.31809999999996</v>
      </c>
      <c r="J18" s="85">
        <v>606.47389999999996</v>
      </c>
      <c r="K18" s="85">
        <v>813.32079999999996</v>
      </c>
      <c r="L18" s="85">
        <v>827.84</v>
      </c>
      <c r="M18" s="85">
        <v>1079.5899999999999</v>
      </c>
      <c r="N18" s="85">
        <v>1300.53</v>
      </c>
      <c r="O18" s="110">
        <f>SUM(C18:N18)</f>
        <v>13072.323200000003</v>
      </c>
      <c r="P18" s="110"/>
      <c r="Q18" s="85">
        <v>1778.72</v>
      </c>
      <c r="R18" s="85">
        <v>1101.6421</v>
      </c>
      <c r="S18" s="85">
        <v>996.11670000000004</v>
      </c>
      <c r="T18" s="85">
        <v>1174.42</v>
      </c>
      <c r="U18" s="85">
        <v>1622.7772</v>
      </c>
      <c r="V18" s="85">
        <v>682.04</v>
      </c>
      <c r="W18" s="85">
        <v>777.89380000000006</v>
      </c>
      <c r="X18" s="85">
        <v>568.5376</v>
      </c>
      <c r="Y18" s="85">
        <v>734.33510000000001</v>
      </c>
      <c r="Z18" s="85">
        <v>796</v>
      </c>
      <c r="AA18" s="85">
        <v>1067.43</v>
      </c>
      <c r="AB18" s="85">
        <v>1254.98</v>
      </c>
      <c r="AC18" s="110">
        <f>SUM(Q18:AB18)</f>
        <v>12554.892500000002</v>
      </c>
    </row>
    <row r="19" spans="1:29" s="203" customFormat="1" ht="18.75" customHeight="1" x14ac:dyDescent="0.15">
      <c r="A19" s="36" t="s">
        <v>149</v>
      </c>
      <c r="B19" s="36"/>
      <c r="C19" s="85">
        <v>1277.17</v>
      </c>
      <c r="D19" s="85">
        <v>1222.5899999999999</v>
      </c>
      <c r="E19" s="85">
        <v>1326.09</v>
      </c>
      <c r="F19" s="85">
        <v>1369.04</v>
      </c>
      <c r="G19" s="85">
        <v>1179.97</v>
      </c>
      <c r="H19" s="85">
        <v>1178.55</v>
      </c>
      <c r="I19" s="85">
        <v>968.69</v>
      </c>
      <c r="J19" s="85">
        <v>1359.92</v>
      </c>
      <c r="K19" s="78">
        <v>946.47</v>
      </c>
      <c r="L19" s="85">
        <v>1006.92</v>
      </c>
      <c r="M19" s="85">
        <v>754.79</v>
      </c>
      <c r="N19" s="85">
        <v>474.51</v>
      </c>
      <c r="O19" s="110">
        <f>SUM(C19:N19)</f>
        <v>13064.710000000001</v>
      </c>
      <c r="P19" s="110"/>
      <c r="Q19" s="85">
        <v>1245.22</v>
      </c>
      <c r="R19" s="85">
        <v>1195.72</v>
      </c>
      <c r="S19" s="85">
        <v>1286.55</v>
      </c>
      <c r="T19" s="85">
        <v>1335.06</v>
      </c>
      <c r="U19" s="85">
        <v>1154.3399999999999</v>
      </c>
      <c r="V19" s="85">
        <v>1138.03</v>
      </c>
      <c r="W19" s="85">
        <v>931.78</v>
      </c>
      <c r="X19" s="85">
        <v>1319.1411000000001</v>
      </c>
      <c r="Y19" s="85">
        <v>923.86800000000005</v>
      </c>
      <c r="Z19" s="85">
        <v>967.27</v>
      </c>
      <c r="AA19" s="85">
        <v>727.72</v>
      </c>
      <c r="AB19" s="85">
        <v>449.16</v>
      </c>
      <c r="AC19" s="110">
        <f t="shared" ref="AC19:AC30" si="4">SUM(Q19:AB19)</f>
        <v>12673.8591</v>
      </c>
    </row>
    <row r="20" spans="1:29" s="203" customFormat="1" ht="18.75" customHeight="1" x14ac:dyDescent="0.15">
      <c r="A20" s="36" t="s">
        <v>150</v>
      </c>
      <c r="B20" s="36"/>
      <c r="C20" s="85">
        <v>1885.5346999999999</v>
      </c>
      <c r="D20" s="85">
        <v>1996.8297</v>
      </c>
      <c r="E20" s="85">
        <v>2103.2204000000002</v>
      </c>
      <c r="F20" s="85">
        <v>2327.6619999999998</v>
      </c>
      <c r="G20" s="85">
        <v>1590.7494999999999</v>
      </c>
      <c r="H20" s="85">
        <v>1336.8480999999999</v>
      </c>
      <c r="I20" s="85">
        <v>1066.6826000000001</v>
      </c>
      <c r="J20" s="85">
        <v>2111.6307000000002</v>
      </c>
      <c r="K20" s="85">
        <v>1428.0745999999999</v>
      </c>
      <c r="L20" s="85">
        <v>1388.0347999999999</v>
      </c>
      <c r="M20" s="85">
        <v>1167.8399999999999</v>
      </c>
      <c r="N20" s="85">
        <v>915.46</v>
      </c>
      <c r="O20" s="110">
        <f t="shared" ref="O20:O30" si="5">SUM(C20:N20)</f>
        <v>19318.5671</v>
      </c>
      <c r="P20" s="110"/>
      <c r="Q20" s="85">
        <v>1863.84</v>
      </c>
      <c r="R20" s="85">
        <v>1958.3520000000001</v>
      </c>
      <c r="S20" s="85">
        <v>2043.9993999999999</v>
      </c>
      <c r="T20" s="85">
        <v>2274.2782999999999</v>
      </c>
      <c r="U20" s="85">
        <v>1558.3920000000001</v>
      </c>
      <c r="V20" s="85">
        <v>1283.2111</v>
      </c>
      <c r="W20" s="85">
        <v>1018.2239</v>
      </c>
      <c r="X20" s="85">
        <v>2056.9178000000002</v>
      </c>
      <c r="Y20" s="85">
        <v>1391.5440000000001</v>
      </c>
      <c r="Z20" s="85">
        <v>1338.2828999999999</v>
      </c>
      <c r="AA20" s="85">
        <v>1132.7449999999999</v>
      </c>
      <c r="AB20" s="85">
        <v>870.57169999999996</v>
      </c>
      <c r="AC20" s="110">
        <f t="shared" si="4"/>
        <v>18790.358099999998</v>
      </c>
    </row>
    <row r="21" spans="1:29" s="203" customFormat="1" ht="18.75" customHeight="1" x14ac:dyDescent="0.15">
      <c r="A21" s="36" t="s">
        <v>151</v>
      </c>
      <c r="B21" s="36"/>
      <c r="C21" s="85">
        <v>851.09860000000003</v>
      </c>
      <c r="D21" s="85">
        <v>1090.21</v>
      </c>
      <c r="E21" s="85">
        <v>1022.18</v>
      </c>
      <c r="F21" s="85">
        <v>1454.3661</v>
      </c>
      <c r="G21" s="85">
        <v>1643.68</v>
      </c>
      <c r="H21" s="85">
        <v>1356.5473</v>
      </c>
      <c r="I21" s="85">
        <v>1570.184</v>
      </c>
      <c r="J21" s="85">
        <v>1179.27</v>
      </c>
      <c r="K21" s="85">
        <v>910.13</v>
      </c>
      <c r="L21" s="85">
        <v>1050.9730999999999</v>
      </c>
      <c r="M21" s="85">
        <v>478.59</v>
      </c>
      <c r="N21" s="85">
        <v>642.04999999999995</v>
      </c>
      <c r="O21" s="110">
        <f t="shared" si="5"/>
        <v>13249.279099999998</v>
      </c>
      <c r="P21" s="110"/>
      <c r="Q21" s="85">
        <v>836.5104</v>
      </c>
      <c r="R21" s="85">
        <v>1060.528</v>
      </c>
      <c r="S21" s="85">
        <v>992.178</v>
      </c>
      <c r="T21" s="85">
        <v>1413.5956000000001</v>
      </c>
      <c r="U21" s="85">
        <v>1594.8240000000001</v>
      </c>
      <c r="V21" s="85">
        <v>1298.5396000000001</v>
      </c>
      <c r="W21" s="85">
        <v>1440.8592000000001</v>
      </c>
      <c r="X21" s="85">
        <v>1146.99</v>
      </c>
      <c r="Y21" s="85">
        <v>894.00959999999998</v>
      </c>
      <c r="Z21" s="85">
        <v>1020.4927</v>
      </c>
      <c r="AA21" s="85">
        <v>463.23</v>
      </c>
      <c r="AB21" s="85">
        <v>742.68</v>
      </c>
      <c r="AC21" s="110">
        <f t="shared" si="4"/>
        <v>12904.437100000001</v>
      </c>
    </row>
    <row r="22" spans="1:29" s="203" customFormat="1" ht="18.75" customHeight="1" x14ac:dyDescent="0.15">
      <c r="A22" s="36" t="s">
        <v>152</v>
      </c>
      <c r="B22" s="36"/>
      <c r="C22" s="85">
        <f>SUM(C23:C26)</f>
        <v>644.80999999999995</v>
      </c>
      <c r="D22" s="85">
        <f t="shared" ref="D22:Q22" si="6">SUM(D23:D26)</f>
        <v>356.16</v>
      </c>
      <c r="E22" s="85">
        <f t="shared" si="6"/>
        <v>564.03</v>
      </c>
      <c r="F22" s="85">
        <f t="shared" si="6"/>
        <v>889.55</v>
      </c>
      <c r="G22" s="85">
        <f t="shared" si="6"/>
        <v>899.25</v>
      </c>
      <c r="H22" s="85">
        <f t="shared" si="6"/>
        <v>684.59</v>
      </c>
      <c r="I22" s="85">
        <f t="shared" si="6"/>
        <v>586.23</v>
      </c>
      <c r="J22" s="85">
        <f t="shared" si="6"/>
        <v>550.12</v>
      </c>
      <c r="K22" s="85">
        <f t="shared" si="6"/>
        <v>543.87</v>
      </c>
      <c r="L22" s="85">
        <f t="shared" si="6"/>
        <v>283.69</v>
      </c>
      <c r="M22" s="85">
        <f t="shared" si="6"/>
        <v>488.73</v>
      </c>
      <c r="N22" s="85">
        <f t="shared" si="6"/>
        <v>503.58</v>
      </c>
      <c r="O22" s="110">
        <f t="shared" si="5"/>
        <v>6994.6100000000006</v>
      </c>
      <c r="P22" s="110"/>
      <c r="Q22" s="85">
        <f t="shared" si="6"/>
        <v>625.02</v>
      </c>
      <c r="R22" s="85">
        <f t="shared" ref="R22:AB22" si="7">SUM(R23:R26)</f>
        <v>341.16</v>
      </c>
      <c r="S22" s="85">
        <f t="shared" si="7"/>
        <v>545.6</v>
      </c>
      <c r="T22" s="85">
        <f t="shared" si="7"/>
        <v>867.52</v>
      </c>
      <c r="U22" s="85">
        <f t="shared" si="7"/>
        <v>867.24</v>
      </c>
      <c r="V22" s="85">
        <f t="shared" si="7"/>
        <v>653.17999999999995</v>
      </c>
      <c r="W22" s="85">
        <f t="shared" si="7"/>
        <v>557.70000000000005</v>
      </c>
      <c r="X22" s="85">
        <f t="shared" si="7"/>
        <v>526.02</v>
      </c>
      <c r="Y22" s="85">
        <f t="shared" si="7"/>
        <v>522.05999999999995</v>
      </c>
      <c r="Z22" s="85">
        <f t="shared" si="7"/>
        <v>268.62</v>
      </c>
      <c r="AA22" s="85">
        <f t="shared" si="7"/>
        <v>473.88</v>
      </c>
      <c r="AB22" s="85">
        <f t="shared" si="7"/>
        <v>360.36</v>
      </c>
      <c r="AC22" s="110">
        <f t="shared" si="4"/>
        <v>6608.36</v>
      </c>
    </row>
    <row r="23" spans="1:29" s="203" customFormat="1" ht="18.75" customHeight="1" x14ac:dyDescent="0.15">
      <c r="A23" s="36" t="s">
        <v>153</v>
      </c>
      <c r="B23" s="36"/>
      <c r="C23" s="85">
        <v>644.80999999999995</v>
      </c>
      <c r="D23" s="85">
        <v>356.16</v>
      </c>
      <c r="E23" s="85">
        <v>564.03</v>
      </c>
      <c r="F23" s="85">
        <v>889.55</v>
      </c>
      <c r="G23" s="85">
        <v>899.25</v>
      </c>
      <c r="H23" s="85">
        <v>684.59</v>
      </c>
      <c r="I23" s="85">
        <v>586.23</v>
      </c>
      <c r="J23" s="85">
        <v>550.12</v>
      </c>
      <c r="K23" s="85">
        <v>543.87</v>
      </c>
      <c r="L23" s="85">
        <v>283.69</v>
      </c>
      <c r="M23" s="85">
        <v>488.73</v>
      </c>
      <c r="N23" s="85">
        <v>503.58</v>
      </c>
      <c r="O23" s="110">
        <f t="shared" si="5"/>
        <v>6994.6100000000006</v>
      </c>
      <c r="P23" s="110"/>
      <c r="Q23" s="85">
        <v>625.02</v>
      </c>
      <c r="R23" s="85">
        <v>341.16</v>
      </c>
      <c r="S23" s="85">
        <v>545.6</v>
      </c>
      <c r="T23" s="85">
        <v>867.52</v>
      </c>
      <c r="U23" s="85">
        <v>867.24</v>
      </c>
      <c r="V23" s="85">
        <v>653.17999999999995</v>
      </c>
      <c r="W23" s="85">
        <v>557.70000000000005</v>
      </c>
      <c r="X23" s="85">
        <v>526.02</v>
      </c>
      <c r="Y23" s="85">
        <v>522.05999999999995</v>
      </c>
      <c r="Z23" s="85">
        <v>268.62</v>
      </c>
      <c r="AA23" s="85">
        <v>473.88</v>
      </c>
      <c r="AB23" s="85">
        <v>360.36</v>
      </c>
      <c r="AC23" s="110">
        <f t="shared" si="4"/>
        <v>6608.36</v>
      </c>
    </row>
    <row r="24" spans="1:29" s="203" customFormat="1" ht="18.75" customHeight="1" x14ac:dyDescent="0.15">
      <c r="A24" s="36" t="s">
        <v>154</v>
      </c>
      <c r="B24" s="36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110">
        <f t="shared" si="5"/>
        <v>0</v>
      </c>
      <c r="P24" s="110"/>
      <c r="Q24" s="110"/>
      <c r="R24" s="110"/>
      <c r="S24" s="110"/>
      <c r="T24" s="110"/>
      <c r="U24" s="110"/>
      <c r="V24" s="110">
        <v>0</v>
      </c>
      <c r="W24" s="110"/>
      <c r="X24" s="110"/>
      <c r="Y24" s="110"/>
      <c r="Z24" s="110"/>
      <c r="AA24" s="110"/>
      <c r="AB24" s="110"/>
      <c r="AC24" s="110"/>
    </row>
    <row r="25" spans="1:29" s="203" customFormat="1" ht="18.75" customHeight="1" x14ac:dyDescent="0.15">
      <c r="A25" s="36" t="s">
        <v>155</v>
      </c>
      <c r="B25" s="36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</row>
    <row r="26" spans="1:29" s="203" customFormat="1" ht="18.75" customHeight="1" x14ac:dyDescent="0.15">
      <c r="A26" s="36" t="s">
        <v>156</v>
      </c>
      <c r="B26" s="36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</row>
    <row r="27" spans="1:29" s="203" customFormat="1" ht="18.75" customHeight="1" x14ac:dyDescent="0.15">
      <c r="A27" s="36" t="s">
        <v>157</v>
      </c>
      <c r="B27" s="36"/>
      <c r="C27" s="85">
        <v>117.54130000000001</v>
      </c>
      <c r="D27" s="85">
        <v>133.16</v>
      </c>
      <c r="E27" s="85">
        <v>439.42</v>
      </c>
      <c r="F27" s="85">
        <v>435.74</v>
      </c>
      <c r="G27" s="85">
        <v>580</v>
      </c>
      <c r="H27" s="85">
        <v>756.03</v>
      </c>
      <c r="I27" s="85">
        <v>930.54</v>
      </c>
      <c r="J27" s="85">
        <v>853.77</v>
      </c>
      <c r="K27" s="85">
        <v>376.4</v>
      </c>
      <c r="L27" s="85">
        <v>425.7</v>
      </c>
      <c r="M27" s="85">
        <v>410</v>
      </c>
      <c r="N27" s="85">
        <v>75.14</v>
      </c>
      <c r="O27" s="110">
        <f t="shared" si="5"/>
        <v>5533.4413000000004</v>
      </c>
      <c r="P27" s="110"/>
      <c r="Q27" s="85">
        <v>110.67</v>
      </c>
      <c r="R27" s="85">
        <v>129.36000000000001</v>
      </c>
      <c r="S27" s="85">
        <v>424.2</v>
      </c>
      <c r="T27" s="85">
        <v>423.57</v>
      </c>
      <c r="U27" s="85">
        <v>561.51</v>
      </c>
      <c r="V27" s="85">
        <v>731.28</v>
      </c>
      <c r="W27" s="85">
        <v>896.28</v>
      </c>
      <c r="X27" s="85">
        <v>840.84</v>
      </c>
      <c r="Y27" s="85">
        <v>349.8</v>
      </c>
      <c r="Z27" s="85">
        <v>357.72</v>
      </c>
      <c r="AA27" s="85">
        <v>407.22</v>
      </c>
      <c r="AB27" s="85">
        <v>72.599999999999994</v>
      </c>
      <c r="AC27" s="110">
        <f t="shared" si="4"/>
        <v>5305.0500000000011</v>
      </c>
    </row>
    <row r="28" spans="1:29" s="203" customFormat="1" ht="18.75" customHeight="1" x14ac:dyDescent="0.15">
      <c r="A28" s="36" t="s">
        <v>158</v>
      </c>
      <c r="B28" s="36"/>
      <c r="C28" s="85">
        <v>312.12</v>
      </c>
      <c r="D28" s="85">
        <v>306.52</v>
      </c>
      <c r="E28" s="85">
        <v>271.04000000000002</v>
      </c>
      <c r="F28" s="85">
        <v>309.51</v>
      </c>
      <c r="G28" s="85">
        <v>417.28</v>
      </c>
      <c r="H28" s="85">
        <v>420.09</v>
      </c>
      <c r="I28" s="85">
        <v>389.59</v>
      </c>
      <c r="J28" s="85">
        <v>433.52</v>
      </c>
      <c r="K28" s="85">
        <v>345.57</v>
      </c>
      <c r="L28" s="85">
        <v>311.69</v>
      </c>
      <c r="M28" s="85">
        <v>172</v>
      </c>
      <c r="N28" s="85">
        <v>188.92</v>
      </c>
      <c r="O28" s="110">
        <f t="shared" si="5"/>
        <v>3877.8500000000004</v>
      </c>
      <c r="P28" s="110"/>
      <c r="Q28" s="85">
        <v>310.45999999999998</v>
      </c>
      <c r="R28" s="85">
        <v>299.75</v>
      </c>
      <c r="S28" s="85">
        <v>264.98</v>
      </c>
      <c r="T28" s="85">
        <v>297.11</v>
      </c>
      <c r="U28" s="85">
        <v>408.08</v>
      </c>
      <c r="V28" s="85">
        <v>407.16199999999998</v>
      </c>
      <c r="W28" s="85">
        <v>378.24</v>
      </c>
      <c r="X28" s="85">
        <v>419.34</v>
      </c>
      <c r="Y28" s="85">
        <v>337.83</v>
      </c>
      <c r="Z28" s="85">
        <v>299.24</v>
      </c>
      <c r="AA28" s="85">
        <v>167</v>
      </c>
      <c r="AB28" s="85">
        <v>174.73</v>
      </c>
      <c r="AC28" s="110">
        <f t="shared" si="4"/>
        <v>3763.922</v>
      </c>
    </row>
    <row r="29" spans="1:29" s="203" customFormat="1" ht="18.75" customHeight="1" x14ac:dyDescent="0.15">
      <c r="A29" s="36" t="s">
        <v>159</v>
      </c>
      <c r="B29" s="36"/>
      <c r="C29" s="85">
        <v>736.87</v>
      </c>
      <c r="D29" s="85">
        <v>704.15</v>
      </c>
      <c r="E29" s="85">
        <v>543</v>
      </c>
      <c r="F29" s="85">
        <v>874.77</v>
      </c>
      <c r="G29" s="85">
        <v>883.28</v>
      </c>
      <c r="H29" s="85">
        <v>560</v>
      </c>
      <c r="I29" s="85">
        <v>760.15</v>
      </c>
      <c r="J29" s="85">
        <v>785.63</v>
      </c>
      <c r="K29" s="85">
        <v>624.99</v>
      </c>
      <c r="L29" s="85">
        <v>856.55</v>
      </c>
      <c r="M29" s="85">
        <v>761.88</v>
      </c>
      <c r="N29" s="85">
        <v>1120.1300000000001</v>
      </c>
      <c r="O29" s="110">
        <f t="shared" si="5"/>
        <v>9211.4</v>
      </c>
      <c r="P29" s="110"/>
      <c r="Q29" s="85">
        <v>726.65</v>
      </c>
      <c r="R29" s="85">
        <v>658.58</v>
      </c>
      <c r="S29" s="85">
        <v>539.27</v>
      </c>
      <c r="T29" s="85">
        <v>832.85</v>
      </c>
      <c r="U29" s="85">
        <v>842.89</v>
      </c>
      <c r="V29" s="85">
        <v>543.84</v>
      </c>
      <c r="W29" s="85">
        <v>732.2</v>
      </c>
      <c r="X29" s="85">
        <v>768.8</v>
      </c>
      <c r="Y29" s="85">
        <v>633.57000000000005</v>
      </c>
      <c r="Z29" s="85">
        <v>828.94</v>
      </c>
      <c r="AA29" s="85">
        <v>718.25</v>
      </c>
      <c r="AB29" s="85">
        <v>972.96</v>
      </c>
      <c r="AC29" s="110">
        <f t="shared" si="4"/>
        <v>8798.7999999999993</v>
      </c>
    </row>
    <row r="30" spans="1:29" s="203" customFormat="1" ht="18.75" customHeight="1" x14ac:dyDescent="0.15">
      <c r="A30" s="36" t="s">
        <v>160</v>
      </c>
      <c r="B30" s="36"/>
      <c r="C30" s="85">
        <v>337.5</v>
      </c>
      <c r="D30" s="85">
        <v>384.08</v>
      </c>
      <c r="E30" s="85">
        <v>480.5</v>
      </c>
      <c r="F30" s="85">
        <v>408.48</v>
      </c>
      <c r="G30" s="85">
        <v>445.39</v>
      </c>
      <c r="H30" s="85">
        <v>413.03</v>
      </c>
      <c r="I30" s="85">
        <v>438.23</v>
      </c>
      <c r="J30" s="85">
        <v>449.94</v>
      </c>
      <c r="K30" s="85">
        <v>353.43</v>
      </c>
      <c r="L30" s="85">
        <v>290.81</v>
      </c>
      <c r="M30" s="85">
        <v>71.220699999999994</v>
      </c>
      <c r="N30" s="85">
        <v>97.2</v>
      </c>
      <c r="O30" s="110">
        <f t="shared" si="5"/>
        <v>4169.8106999999991</v>
      </c>
      <c r="P30" s="110"/>
      <c r="Q30" s="85">
        <v>328.1</v>
      </c>
      <c r="R30" s="85">
        <v>376.9</v>
      </c>
      <c r="S30" s="85">
        <v>471.7</v>
      </c>
      <c r="T30" s="85">
        <v>396.7</v>
      </c>
      <c r="U30" s="85">
        <v>434.8</v>
      </c>
      <c r="V30" s="85">
        <v>406</v>
      </c>
      <c r="W30" s="85">
        <v>428.7</v>
      </c>
      <c r="X30" s="85">
        <v>441.1</v>
      </c>
      <c r="Y30" s="85">
        <v>346</v>
      </c>
      <c r="Z30" s="85">
        <v>284.89999999999998</v>
      </c>
      <c r="AA30" s="85">
        <v>66</v>
      </c>
      <c r="AB30" s="85">
        <v>92.8</v>
      </c>
      <c r="AC30" s="110">
        <f t="shared" si="4"/>
        <v>4073.7</v>
      </c>
    </row>
    <row r="31" spans="1:29" s="203" customFormat="1" ht="18.75" customHeight="1" x14ac:dyDescent="0.15">
      <c r="A31" s="36" t="s">
        <v>95</v>
      </c>
      <c r="B31" s="36"/>
      <c r="C31" s="110">
        <f>SUM(C18:C22,C27:C30)</f>
        <v>7989.1470999999992</v>
      </c>
      <c r="D31" s="110">
        <f t="shared" ref="D31:O31" si="8">SUM(D18:D22,D27:D30)</f>
        <v>7332.2722999999987</v>
      </c>
      <c r="E31" s="110">
        <f t="shared" si="8"/>
        <v>7766.2401</v>
      </c>
      <c r="F31" s="110">
        <f t="shared" si="8"/>
        <v>9316.1674999999996</v>
      </c>
      <c r="G31" s="110">
        <f t="shared" si="8"/>
        <v>9304.2956999999988</v>
      </c>
      <c r="H31" s="110">
        <f t="shared" si="8"/>
        <v>7449.3553999999995</v>
      </c>
      <c r="I31" s="110">
        <f t="shared" si="8"/>
        <v>7517.6147000000001</v>
      </c>
      <c r="J31" s="110">
        <f t="shared" si="8"/>
        <v>8330.2746000000006</v>
      </c>
      <c r="K31" s="110">
        <f t="shared" si="8"/>
        <v>6342.2553999999991</v>
      </c>
      <c r="L31" s="110">
        <f t="shared" si="8"/>
        <v>6442.2078999999994</v>
      </c>
      <c r="M31" s="110">
        <f t="shared" si="8"/>
        <v>5384.6406999999999</v>
      </c>
      <c r="N31" s="110">
        <f t="shared" si="8"/>
        <v>5317.5199999999995</v>
      </c>
      <c r="O31" s="110">
        <f t="shared" si="8"/>
        <v>88491.991400000014</v>
      </c>
      <c r="P31" s="110"/>
      <c r="Q31" s="110">
        <f>SUM(Q18:Q30)</f>
        <v>8450.2103999999999</v>
      </c>
      <c r="R31" s="110">
        <f>SUM(R18:R22,R27:R30)</f>
        <v>7121.9920999999995</v>
      </c>
      <c r="S31" s="110">
        <f t="shared" ref="S31:AC31" si="9">SUM(S18:S22,S27:S30)</f>
        <v>7564.5940999999993</v>
      </c>
      <c r="T31" s="110">
        <f t="shared" si="9"/>
        <v>9015.1039000000001</v>
      </c>
      <c r="U31" s="110">
        <f t="shared" si="9"/>
        <v>9044.8531999999977</v>
      </c>
      <c r="V31" s="110">
        <f t="shared" si="9"/>
        <v>7143.2827000000007</v>
      </c>
      <c r="W31" s="110">
        <f t="shared" si="9"/>
        <v>7161.8768999999993</v>
      </c>
      <c r="X31" s="110">
        <f t="shared" si="9"/>
        <v>8087.6865000000007</v>
      </c>
      <c r="Y31" s="110">
        <f t="shared" si="9"/>
        <v>6133.0167000000001</v>
      </c>
      <c r="Z31" s="110">
        <f t="shared" si="9"/>
        <v>6161.4655999999995</v>
      </c>
      <c r="AA31" s="110">
        <f t="shared" si="9"/>
        <v>5223.4750000000004</v>
      </c>
      <c r="AB31" s="110">
        <f t="shared" si="9"/>
        <v>4990.8416999999999</v>
      </c>
      <c r="AC31" s="110">
        <f t="shared" si="9"/>
        <v>85473.378800000006</v>
      </c>
    </row>
    <row r="34" spans="1:30" x14ac:dyDescent="0.15">
      <c r="A34" s="382" t="s">
        <v>202</v>
      </c>
      <c r="B34" s="382"/>
      <c r="C34" s="382"/>
      <c r="M34" s="93"/>
      <c r="N34" s="93"/>
    </row>
    <row r="35" spans="1:30" ht="18.75" customHeight="1" x14ac:dyDescent="0.15">
      <c r="A35" s="52"/>
      <c r="B35" s="52"/>
      <c r="C35" s="380" t="s">
        <v>119</v>
      </c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26"/>
      <c r="P35" s="26"/>
      <c r="Q35" s="380" t="s">
        <v>198</v>
      </c>
      <c r="R35" s="380"/>
      <c r="S35" s="380"/>
      <c r="T35" s="380"/>
      <c r="U35" s="380"/>
      <c r="V35" s="380"/>
      <c r="W35" s="380"/>
      <c r="X35" s="380"/>
      <c r="Y35" s="380"/>
      <c r="Z35" s="380"/>
      <c r="AA35" s="380"/>
      <c r="AB35" s="380"/>
      <c r="AC35" s="26"/>
    </row>
    <row r="36" spans="1:30" ht="18.75" customHeight="1" x14ac:dyDescent="0.15">
      <c r="A36" s="27" t="s">
        <v>162</v>
      </c>
      <c r="B36" s="28" t="s">
        <v>0</v>
      </c>
      <c r="C36" s="29" t="s">
        <v>83</v>
      </c>
      <c r="D36" s="30" t="s">
        <v>84</v>
      </c>
      <c r="E36" s="30" t="s">
        <v>85</v>
      </c>
      <c r="F36" s="30" t="s">
        <v>86</v>
      </c>
      <c r="G36" s="30" t="s">
        <v>87</v>
      </c>
      <c r="H36" s="30" t="s">
        <v>88</v>
      </c>
      <c r="I36" s="30" t="s">
        <v>89</v>
      </c>
      <c r="J36" s="30" t="s">
        <v>90</v>
      </c>
      <c r="K36" s="30" t="s">
        <v>91</v>
      </c>
      <c r="L36" s="30" t="s">
        <v>92</v>
      </c>
      <c r="M36" s="30" t="s">
        <v>93</v>
      </c>
      <c r="N36" s="30" t="s">
        <v>94</v>
      </c>
      <c r="O36" s="44" t="s">
        <v>111</v>
      </c>
      <c r="P36" s="44"/>
      <c r="Q36" s="30" t="s">
        <v>83</v>
      </c>
      <c r="R36" s="30" t="s">
        <v>84</v>
      </c>
      <c r="S36" s="30" t="s">
        <v>85</v>
      </c>
      <c r="T36" s="30" t="s">
        <v>86</v>
      </c>
      <c r="U36" s="30" t="s">
        <v>87</v>
      </c>
      <c r="V36" s="30" t="s">
        <v>88</v>
      </c>
      <c r="W36" s="30" t="s">
        <v>89</v>
      </c>
      <c r="X36" s="30" t="s">
        <v>90</v>
      </c>
      <c r="Y36" s="30" t="s">
        <v>91</v>
      </c>
      <c r="Z36" s="30" t="s">
        <v>92</v>
      </c>
      <c r="AA36" s="30" t="s">
        <v>93</v>
      </c>
      <c r="AB36" s="30" t="s">
        <v>94</v>
      </c>
      <c r="AC36" s="44" t="s">
        <v>111</v>
      </c>
    </row>
    <row r="37" spans="1:30" ht="18.75" customHeight="1" x14ac:dyDescent="0.15">
      <c r="A37" s="31" t="s">
        <v>148</v>
      </c>
      <c r="B37" s="28">
        <v>15480</v>
      </c>
      <c r="C37" s="110">
        <v>1270.694</v>
      </c>
      <c r="D37" s="110">
        <v>1003.3513</v>
      </c>
      <c r="E37" s="110">
        <v>1168.92</v>
      </c>
      <c r="F37" s="110">
        <v>1103.3499999999999</v>
      </c>
      <c r="G37" s="110">
        <v>1457.6294</v>
      </c>
      <c r="H37" s="110">
        <v>727.13689999999997</v>
      </c>
      <c r="I37" s="110">
        <v>860.80349999999999</v>
      </c>
      <c r="J37" s="110">
        <v>940.39530000000002</v>
      </c>
      <c r="K37" s="110">
        <v>873.63850000000002</v>
      </c>
      <c r="L37" s="110">
        <v>1701.3708999999999</v>
      </c>
      <c r="M37" s="110">
        <v>1647.72</v>
      </c>
      <c r="N37" s="110">
        <v>1342.8739</v>
      </c>
      <c r="O37" s="45">
        <f>SUM(C37:N37)</f>
        <v>14097.8837</v>
      </c>
      <c r="P37" s="110"/>
      <c r="Q37" s="85">
        <v>1226.5352</v>
      </c>
      <c r="R37" s="85">
        <v>959.75260000000003</v>
      </c>
      <c r="S37" s="85">
        <v>1103.6600000000001</v>
      </c>
      <c r="T37" s="85">
        <v>1067.7798</v>
      </c>
      <c r="U37" s="85">
        <v>1394.7247</v>
      </c>
      <c r="V37" s="85">
        <v>703.01440000000002</v>
      </c>
      <c r="W37" s="85">
        <v>821.68499999999995</v>
      </c>
      <c r="X37" s="85">
        <v>910.53560000000004</v>
      </c>
      <c r="Y37" s="85">
        <v>818.03210000000001</v>
      </c>
      <c r="Z37" s="85">
        <v>1657.1715999999999</v>
      </c>
      <c r="AA37" s="85">
        <v>1604.53</v>
      </c>
      <c r="AB37" s="85">
        <v>1187.0844999999999</v>
      </c>
      <c r="AC37" s="45">
        <f>SUM(Q37:AB37)</f>
        <v>13454.505499999999</v>
      </c>
      <c r="AD37" s="194">
        <f>SUM(Q37:R37)</f>
        <v>2186.2878000000001</v>
      </c>
    </row>
    <row r="38" spans="1:30" ht="18.75" customHeight="1" x14ac:dyDescent="0.15">
      <c r="A38" s="31" t="s">
        <v>149</v>
      </c>
      <c r="B38" s="28">
        <v>18500</v>
      </c>
      <c r="C38" s="110">
        <v>1240.92</v>
      </c>
      <c r="D38" s="110">
        <v>841.41</v>
      </c>
      <c r="E38" s="110">
        <v>941.55780000000004</v>
      </c>
      <c r="F38" s="110">
        <v>777.1</v>
      </c>
      <c r="G38" s="110">
        <v>777.02760000000001</v>
      </c>
      <c r="H38" s="110">
        <v>660.62739999999997</v>
      </c>
      <c r="I38" s="110">
        <v>294.95999999999998</v>
      </c>
      <c r="J38" s="110">
        <v>823.73</v>
      </c>
      <c r="K38" s="110">
        <v>985</v>
      </c>
      <c r="L38" s="110">
        <v>1028.68</v>
      </c>
      <c r="M38" s="110">
        <v>699.09889999999996</v>
      </c>
      <c r="N38" s="110">
        <v>1110.04</v>
      </c>
      <c r="O38" s="45">
        <f t="shared" ref="O38:O49" si="10">SUM(C38:N38)</f>
        <v>10180.151700000002</v>
      </c>
      <c r="P38" s="110"/>
      <c r="Q38" s="85">
        <v>1208.92</v>
      </c>
      <c r="R38" s="85">
        <v>814.31</v>
      </c>
      <c r="S38" s="85">
        <v>922.54</v>
      </c>
      <c r="T38" s="85">
        <v>729.96</v>
      </c>
      <c r="U38" s="85">
        <v>744.04759999999999</v>
      </c>
      <c r="V38" s="85">
        <v>634.12800000000004</v>
      </c>
      <c r="W38" s="85">
        <v>279.51</v>
      </c>
      <c r="X38" s="85">
        <v>802.57</v>
      </c>
      <c r="Y38" s="85">
        <v>944.33360000000005</v>
      </c>
      <c r="Z38" s="85">
        <v>1002.54</v>
      </c>
      <c r="AA38" s="85">
        <v>675.84</v>
      </c>
      <c r="AB38" s="85">
        <v>1001.42</v>
      </c>
      <c r="AC38" s="45">
        <f t="shared" ref="AC38:AC49" si="11">SUM(Q38:AB38)</f>
        <v>9760.1191999999992</v>
      </c>
      <c r="AD38" s="194">
        <f t="shared" ref="AD38:AD51" si="12">SUM(Q38:R38)</f>
        <v>2023.23</v>
      </c>
    </row>
    <row r="39" spans="1:30" ht="18.75" customHeight="1" x14ac:dyDescent="0.15">
      <c r="A39" s="31" t="s">
        <v>150</v>
      </c>
      <c r="B39" s="127">
        <v>34505.980000000003</v>
      </c>
      <c r="C39" s="110">
        <v>2079.36</v>
      </c>
      <c r="D39" s="110">
        <v>1699.8133</v>
      </c>
      <c r="E39" s="110">
        <v>1443.5327</v>
      </c>
      <c r="F39" s="110">
        <v>1664.6273000000001</v>
      </c>
      <c r="G39" s="110">
        <v>1261.9829</v>
      </c>
      <c r="H39" s="110">
        <v>1245.5902000000001</v>
      </c>
      <c r="I39" s="110">
        <v>1041.6057000000001</v>
      </c>
      <c r="J39" s="110">
        <v>1823.1789000000001</v>
      </c>
      <c r="K39" s="110">
        <v>1819.92</v>
      </c>
      <c r="L39" s="110">
        <v>1612.9067</v>
      </c>
      <c r="M39" s="110">
        <v>1513.6083000000001</v>
      </c>
      <c r="N39" s="110">
        <v>697.23659999999995</v>
      </c>
      <c r="O39" s="45">
        <f t="shared" si="10"/>
        <v>17903.3626</v>
      </c>
      <c r="P39" s="110"/>
      <c r="Q39" s="85">
        <v>2040.72</v>
      </c>
      <c r="R39" s="85">
        <v>1662.144</v>
      </c>
      <c r="S39" s="85">
        <v>1379.7750000000001</v>
      </c>
      <c r="T39" s="85">
        <v>1633.6320000000001</v>
      </c>
      <c r="U39" s="85">
        <v>1215</v>
      </c>
      <c r="V39" s="85">
        <v>1205.424</v>
      </c>
      <c r="W39" s="85">
        <v>996.86400000000003</v>
      </c>
      <c r="X39" s="85">
        <v>1786.5941</v>
      </c>
      <c r="Y39" s="85">
        <v>1732.4403</v>
      </c>
      <c r="Z39" s="85">
        <v>1572.912</v>
      </c>
      <c r="AA39" s="85">
        <v>1474.444</v>
      </c>
      <c r="AB39" s="85">
        <v>542.23170000000005</v>
      </c>
      <c r="AC39" s="45">
        <f t="shared" si="11"/>
        <v>17242.181100000002</v>
      </c>
      <c r="AD39" s="194">
        <f t="shared" si="12"/>
        <v>3702.864</v>
      </c>
    </row>
    <row r="40" spans="1:30" ht="18.75" customHeight="1" x14ac:dyDescent="0.15">
      <c r="A40" s="31" t="s">
        <v>151</v>
      </c>
      <c r="B40" s="28">
        <v>12000</v>
      </c>
      <c r="C40" s="110">
        <v>756.18</v>
      </c>
      <c r="D40" s="110">
        <v>962.33</v>
      </c>
      <c r="E40" s="110">
        <v>1400.4</v>
      </c>
      <c r="F40" s="110">
        <v>1362.02</v>
      </c>
      <c r="G40" s="110">
        <v>1333.04</v>
      </c>
      <c r="H40" s="110">
        <v>865.31</v>
      </c>
      <c r="I40" s="110">
        <v>1188.31</v>
      </c>
      <c r="J40" s="110">
        <v>845.89</v>
      </c>
      <c r="K40" s="110">
        <v>718.77</v>
      </c>
      <c r="L40" s="110">
        <v>916.07</v>
      </c>
      <c r="M40" s="110">
        <v>758.4941</v>
      </c>
      <c r="N40" s="110">
        <v>857.85</v>
      </c>
      <c r="O40" s="45">
        <f t="shared" si="10"/>
        <v>11964.6641</v>
      </c>
      <c r="P40" s="110"/>
      <c r="Q40" s="85">
        <v>734.15</v>
      </c>
      <c r="R40" s="85">
        <v>957.19</v>
      </c>
      <c r="S40" s="85">
        <v>1359.6</v>
      </c>
      <c r="T40" s="85">
        <v>1321.16</v>
      </c>
      <c r="U40" s="85">
        <v>1293.05</v>
      </c>
      <c r="V40" s="85">
        <v>839.35</v>
      </c>
      <c r="W40" s="85">
        <v>1152.6600000000001</v>
      </c>
      <c r="X40" s="85">
        <v>821.25</v>
      </c>
      <c r="Y40" s="85">
        <v>697.84</v>
      </c>
      <c r="Z40" s="85">
        <v>813.12</v>
      </c>
      <c r="AA40" s="85">
        <v>730.95</v>
      </c>
      <c r="AB40" s="85">
        <v>925.97</v>
      </c>
      <c r="AC40" s="45">
        <f t="shared" si="11"/>
        <v>11646.29</v>
      </c>
      <c r="AD40" s="194">
        <f t="shared" si="12"/>
        <v>1691.3400000000001</v>
      </c>
    </row>
    <row r="41" spans="1:30" ht="18.75" customHeight="1" x14ac:dyDescent="0.15">
      <c r="A41" s="31" t="s">
        <v>152</v>
      </c>
      <c r="B41" s="28">
        <f>SUM(B42:B45)</f>
        <v>21850</v>
      </c>
      <c r="C41" s="110">
        <v>413.08</v>
      </c>
      <c r="D41" s="110">
        <v>379.61</v>
      </c>
      <c r="E41" s="110">
        <v>899.9</v>
      </c>
      <c r="F41" s="110">
        <v>1684.9780000000001</v>
      </c>
      <c r="G41" s="110">
        <v>1619.53</v>
      </c>
      <c r="H41" s="110">
        <v>1190</v>
      </c>
      <c r="I41" s="110">
        <v>1063.4000000000001</v>
      </c>
      <c r="J41" s="110">
        <v>968.26</v>
      </c>
      <c r="K41" s="110">
        <v>790.47</v>
      </c>
      <c r="L41" s="110">
        <v>683.68</v>
      </c>
      <c r="M41" s="110">
        <v>995.05</v>
      </c>
      <c r="N41" s="110">
        <v>560.23</v>
      </c>
      <c r="O41" s="45">
        <f>SUM(O42:O45)</f>
        <v>11248.201799999999</v>
      </c>
      <c r="P41" s="110"/>
      <c r="Q41" s="85">
        <v>382.26</v>
      </c>
      <c r="R41" s="85">
        <v>358.76</v>
      </c>
      <c r="S41" s="85">
        <v>860.3</v>
      </c>
      <c r="T41" s="85">
        <v>1639.365</v>
      </c>
      <c r="U41" s="85">
        <v>1540.12</v>
      </c>
      <c r="V41" s="85">
        <v>1183.19</v>
      </c>
      <c r="W41" s="85">
        <v>1052.82</v>
      </c>
      <c r="X41" s="85">
        <v>937.88</v>
      </c>
      <c r="Y41" s="85">
        <v>743.62</v>
      </c>
      <c r="Z41" s="85">
        <v>654.25</v>
      </c>
      <c r="AA41" s="85">
        <v>957.98</v>
      </c>
      <c r="AB41" s="85">
        <v>523.94000000000005</v>
      </c>
      <c r="AC41" s="85">
        <v>10834.485000000001</v>
      </c>
      <c r="AD41" s="194">
        <f t="shared" si="12"/>
        <v>741.02</v>
      </c>
    </row>
    <row r="42" spans="1:30" ht="18.75" customHeight="1" x14ac:dyDescent="0.15">
      <c r="A42" s="31" t="s">
        <v>153</v>
      </c>
      <c r="B42" s="28">
        <v>9000</v>
      </c>
      <c r="C42" s="204">
        <v>258.08</v>
      </c>
      <c r="D42" s="110">
        <v>271.52999999999997</v>
      </c>
      <c r="E42" s="110">
        <v>607.34</v>
      </c>
      <c r="F42" s="110">
        <v>1108.1559</v>
      </c>
      <c r="G42" s="85">
        <v>884.53210000000001</v>
      </c>
      <c r="H42" s="85">
        <v>710.35080000000005</v>
      </c>
      <c r="I42" s="85">
        <f>I41-I43</f>
        <v>703.98</v>
      </c>
      <c r="J42" s="85">
        <f>J41-J43</f>
        <v>612.66</v>
      </c>
      <c r="K42" s="85">
        <v>489.34010000000001</v>
      </c>
      <c r="L42" s="85">
        <v>423.4</v>
      </c>
      <c r="M42" s="85">
        <v>820.35929999999996</v>
      </c>
      <c r="N42" s="85">
        <v>508.61</v>
      </c>
      <c r="O42" s="45">
        <f t="shared" si="10"/>
        <v>7398.3381999999992</v>
      </c>
      <c r="P42" s="110"/>
      <c r="Q42" s="85">
        <v>242.17599999999999</v>
      </c>
      <c r="R42" s="85">
        <v>284.85599999999999</v>
      </c>
      <c r="S42" s="85">
        <v>584.52239999999995</v>
      </c>
      <c r="T42" s="85">
        <v>1046.2056</v>
      </c>
      <c r="U42" s="85">
        <v>827.86800000000005</v>
      </c>
      <c r="V42" s="85">
        <v>722.65599999999995</v>
      </c>
      <c r="W42" s="85">
        <v>705.76</v>
      </c>
      <c r="X42" s="85">
        <v>590.48</v>
      </c>
      <c r="Y42" s="85">
        <v>454.78399999999999</v>
      </c>
      <c r="Z42" s="85">
        <v>404.76479999999998</v>
      </c>
      <c r="AA42" s="85">
        <v>803.94159999999999</v>
      </c>
      <c r="AB42" s="85">
        <v>496.6456</v>
      </c>
      <c r="AC42" s="45">
        <f>SUM(Q42:AB42)</f>
        <v>7164.6599999999989</v>
      </c>
      <c r="AD42" s="194">
        <f t="shared" si="12"/>
        <v>527.03199999999993</v>
      </c>
    </row>
    <row r="43" spans="1:30" ht="18.75" customHeight="1" x14ac:dyDescent="0.15">
      <c r="A43" s="31" t="s">
        <v>186</v>
      </c>
      <c r="B43" s="28">
        <v>6000</v>
      </c>
      <c r="C43" s="33">
        <v>155</v>
      </c>
      <c r="D43" s="110">
        <v>108.08</v>
      </c>
      <c r="E43" s="110">
        <v>292.56</v>
      </c>
      <c r="F43" s="110">
        <v>576.82209999999998</v>
      </c>
      <c r="G43" s="110">
        <v>734.99789999999996</v>
      </c>
      <c r="H43" s="85">
        <v>479.64920000000001</v>
      </c>
      <c r="I43" s="85">
        <v>359.42</v>
      </c>
      <c r="J43" s="85">
        <v>355.6</v>
      </c>
      <c r="K43" s="85">
        <v>301.12990000000002</v>
      </c>
      <c r="L43" s="85">
        <v>260.27999999999997</v>
      </c>
      <c r="M43" s="85">
        <v>174.7045</v>
      </c>
      <c r="N43" s="85">
        <v>51.62</v>
      </c>
      <c r="O43" s="45">
        <f t="shared" si="10"/>
        <v>3849.8635999999997</v>
      </c>
      <c r="P43" s="110"/>
      <c r="Q43" s="85">
        <v>140.084</v>
      </c>
      <c r="R43" s="85">
        <v>73.903999999999996</v>
      </c>
      <c r="S43" s="85">
        <v>275.77760000000001</v>
      </c>
      <c r="T43" s="85">
        <v>593.15940000000001</v>
      </c>
      <c r="U43" s="85">
        <v>712.25199999999995</v>
      </c>
      <c r="V43" s="85">
        <v>460.53399999999999</v>
      </c>
      <c r="W43" s="85">
        <v>347.06</v>
      </c>
      <c r="X43" s="85">
        <v>347.4</v>
      </c>
      <c r="Y43" s="85">
        <v>288.83600000000001</v>
      </c>
      <c r="Z43" s="85">
        <v>249.48519999999999</v>
      </c>
      <c r="AA43" s="85">
        <v>154.0384</v>
      </c>
      <c r="AB43" s="85">
        <v>27.294400000000099</v>
      </c>
      <c r="AC43" s="45">
        <f t="shared" si="11"/>
        <v>3669.8249999999998</v>
      </c>
      <c r="AD43" s="194">
        <f t="shared" si="12"/>
        <v>213.988</v>
      </c>
    </row>
    <row r="44" spans="1:30" ht="18.75" customHeight="1" x14ac:dyDescent="0.15">
      <c r="A44" s="31" t="s">
        <v>155</v>
      </c>
      <c r="B44" s="28">
        <v>4200</v>
      </c>
      <c r="C44" s="33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45">
        <f t="shared" si="10"/>
        <v>0</v>
      </c>
      <c r="P44" s="110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45"/>
      <c r="AD44" s="194">
        <f t="shared" si="12"/>
        <v>0</v>
      </c>
    </row>
    <row r="45" spans="1:30" ht="18.75" customHeight="1" x14ac:dyDescent="0.15">
      <c r="A45" s="31" t="s">
        <v>156</v>
      </c>
      <c r="B45" s="28">
        <v>2650</v>
      </c>
      <c r="C45" s="33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45"/>
      <c r="P45" s="110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45"/>
      <c r="AD45" s="194">
        <f t="shared" si="12"/>
        <v>0</v>
      </c>
    </row>
    <row r="46" spans="1:30" ht="18.75" customHeight="1" x14ac:dyDescent="0.15">
      <c r="A46" s="31" t="s">
        <v>157</v>
      </c>
      <c r="B46" s="28">
        <v>8700</v>
      </c>
      <c r="C46" s="33">
        <v>122.61</v>
      </c>
      <c r="D46" s="85">
        <v>112.33</v>
      </c>
      <c r="E46" s="85">
        <v>457.8</v>
      </c>
      <c r="F46" s="85">
        <v>799.8836</v>
      </c>
      <c r="G46" s="85">
        <v>771.77</v>
      </c>
      <c r="H46" s="85">
        <v>1309.0382</v>
      </c>
      <c r="I46" s="85">
        <v>867.09</v>
      </c>
      <c r="J46" s="85">
        <v>848.14160000000004</v>
      </c>
      <c r="K46" s="85">
        <v>530.76880000000006</v>
      </c>
      <c r="L46" s="85">
        <v>433.21</v>
      </c>
      <c r="M46" s="85">
        <v>259.76</v>
      </c>
      <c r="N46" s="85">
        <v>198.97190000000001</v>
      </c>
      <c r="O46" s="45">
        <f t="shared" si="10"/>
        <v>6711.3740999999991</v>
      </c>
      <c r="P46" s="110"/>
      <c r="Q46" s="85">
        <v>110</v>
      </c>
      <c r="R46" s="85">
        <v>117.04</v>
      </c>
      <c r="S46" s="85">
        <v>446.16</v>
      </c>
      <c r="T46" s="85">
        <v>777.48</v>
      </c>
      <c r="U46" s="85">
        <v>747.12</v>
      </c>
      <c r="V46" s="85">
        <v>1264.56</v>
      </c>
      <c r="W46" s="85">
        <v>837.54</v>
      </c>
      <c r="X46" s="85">
        <v>819.06</v>
      </c>
      <c r="Y46" s="85">
        <v>510.84</v>
      </c>
      <c r="Z46" s="85">
        <v>417.78</v>
      </c>
      <c r="AA46" s="85">
        <v>250.8</v>
      </c>
      <c r="AB46" s="85">
        <v>190.74</v>
      </c>
      <c r="AC46" s="45">
        <f t="shared" si="11"/>
        <v>6489.119999999999</v>
      </c>
      <c r="AD46" s="194">
        <f t="shared" si="12"/>
        <v>227.04000000000002</v>
      </c>
    </row>
    <row r="47" spans="1:30" ht="18.75" customHeight="1" x14ac:dyDescent="0.15">
      <c r="A47" s="31" t="s">
        <v>158</v>
      </c>
      <c r="B47" s="28">
        <v>4350</v>
      </c>
      <c r="C47" s="33">
        <v>260.64</v>
      </c>
      <c r="D47" s="85">
        <v>295.85000000000002</v>
      </c>
      <c r="E47" s="85">
        <v>274.54000000000002</v>
      </c>
      <c r="F47" s="85">
        <v>353.85</v>
      </c>
      <c r="G47" s="85">
        <v>343.61</v>
      </c>
      <c r="H47" s="85">
        <v>385.59</v>
      </c>
      <c r="I47" s="85">
        <v>327.08</v>
      </c>
      <c r="J47" s="85">
        <v>324.82</v>
      </c>
      <c r="K47" s="85">
        <v>308.08999999999997</v>
      </c>
      <c r="L47" s="85">
        <v>406.14</v>
      </c>
      <c r="M47" s="85">
        <v>228.31</v>
      </c>
      <c r="N47" s="85">
        <v>180.39</v>
      </c>
      <c r="O47" s="45">
        <f t="shared" si="10"/>
        <v>3688.9100000000003</v>
      </c>
      <c r="P47" s="45"/>
      <c r="Q47" s="85">
        <v>254.261</v>
      </c>
      <c r="R47" s="85">
        <v>291.52</v>
      </c>
      <c r="S47" s="85">
        <v>264.22000000000003</v>
      </c>
      <c r="T47" s="85">
        <v>347.57</v>
      </c>
      <c r="U47" s="85">
        <v>334.53</v>
      </c>
      <c r="V47" s="85">
        <v>378.12</v>
      </c>
      <c r="W47" s="85">
        <v>321.68</v>
      </c>
      <c r="X47" s="85">
        <v>318.52999999999997</v>
      </c>
      <c r="Y47" s="85">
        <v>296.54000000000002</v>
      </c>
      <c r="Z47" s="85">
        <v>399.56909999999999</v>
      </c>
      <c r="AA47" s="85">
        <v>224.25</v>
      </c>
      <c r="AB47" s="85">
        <v>160.72999999999999</v>
      </c>
      <c r="AC47" s="45">
        <f t="shared" si="11"/>
        <v>3591.5200999999997</v>
      </c>
      <c r="AD47" s="194">
        <f t="shared" si="12"/>
        <v>545.78099999999995</v>
      </c>
    </row>
    <row r="48" spans="1:30" ht="18.75" customHeight="1" x14ac:dyDescent="0.15">
      <c r="A48" s="31" t="s">
        <v>159</v>
      </c>
      <c r="B48" s="28">
        <v>8510</v>
      </c>
      <c r="C48" s="33">
        <v>548.22</v>
      </c>
      <c r="D48" s="85">
        <v>694.54</v>
      </c>
      <c r="E48" s="85">
        <v>697.13</v>
      </c>
      <c r="F48" s="85">
        <v>898.57</v>
      </c>
      <c r="G48" s="85">
        <v>653.37</v>
      </c>
      <c r="H48" s="85">
        <v>634.88</v>
      </c>
      <c r="I48" s="85">
        <v>570.69000000000005</v>
      </c>
      <c r="J48" s="85">
        <v>728.98</v>
      </c>
      <c r="K48" s="85">
        <v>693.84</v>
      </c>
      <c r="L48" s="85">
        <v>480.44</v>
      </c>
      <c r="M48" s="85">
        <v>434.52</v>
      </c>
      <c r="N48" s="85">
        <v>510.36369999999999</v>
      </c>
      <c r="O48" s="45">
        <f t="shared" si="10"/>
        <v>7545.5436999999984</v>
      </c>
      <c r="P48" s="45"/>
      <c r="Q48" s="85">
        <v>536.64</v>
      </c>
      <c r="R48" s="85">
        <v>656.81</v>
      </c>
      <c r="S48" s="85">
        <v>668.16</v>
      </c>
      <c r="T48" s="85">
        <v>864.69</v>
      </c>
      <c r="U48" s="85">
        <v>625.66</v>
      </c>
      <c r="V48" s="85">
        <v>611.29</v>
      </c>
      <c r="W48" s="85">
        <v>560.46</v>
      </c>
      <c r="X48" s="85">
        <v>712.78</v>
      </c>
      <c r="Y48" s="85">
        <v>669.08</v>
      </c>
      <c r="Z48" s="85">
        <v>477.06</v>
      </c>
      <c r="AA48" s="85">
        <v>399.1</v>
      </c>
      <c r="AB48" s="85">
        <v>343.1</v>
      </c>
      <c r="AC48" s="45">
        <f t="shared" si="11"/>
        <v>7124.83</v>
      </c>
      <c r="AD48" s="194">
        <f t="shared" si="12"/>
        <v>1193.4499999999998</v>
      </c>
    </row>
    <row r="49" spans="1:31" ht="18.75" customHeight="1" x14ac:dyDescent="0.15">
      <c r="A49" s="31" t="s">
        <v>160</v>
      </c>
      <c r="B49" s="28">
        <v>4300</v>
      </c>
      <c r="C49" s="33">
        <v>282.86</v>
      </c>
      <c r="D49" s="85">
        <v>217.32</v>
      </c>
      <c r="E49" s="85">
        <v>292.13</v>
      </c>
      <c r="F49" s="85">
        <v>422.26</v>
      </c>
      <c r="G49" s="85">
        <v>451.43</v>
      </c>
      <c r="H49" s="85">
        <v>413.05</v>
      </c>
      <c r="I49" s="85">
        <v>353.07</v>
      </c>
      <c r="J49" s="85">
        <v>264.64</v>
      </c>
      <c r="K49" s="85">
        <v>405.67</v>
      </c>
      <c r="L49" s="85">
        <v>339.4</v>
      </c>
      <c r="M49" s="85">
        <v>355.42</v>
      </c>
      <c r="N49" s="85">
        <v>290.05</v>
      </c>
      <c r="O49" s="45">
        <f t="shared" si="10"/>
        <v>4087.3000000000006</v>
      </c>
      <c r="P49" s="45"/>
      <c r="Q49" s="85">
        <v>272</v>
      </c>
      <c r="R49" s="85">
        <v>207</v>
      </c>
      <c r="S49" s="85">
        <v>289.89999999999998</v>
      </c>
      <c r="T49" s="85">
        <v>409.1</v>
      </c>
      <c r="U49" s="85">
        <v>450.2</v>
      </c>
      <c r="V49" s="85">
        <v>405.3</v>
      </c>
      <c r="W49" s="85">
        <v>344.7</v>
      </c>
      <c r="X49" s="85">
        <v>256.10000000000002</v>
      </c>
      <c r="Y49" s="85">
        <v>397.7</v>
      </c>
      <c r="Z49" s="85">
        <v>332.6</v>
      </c>
      <c r="AA49" s="85">
        <v>347.7</v>
      </c>
      <c r="AB49" s="85">
        <v>282.10000000000002</v>
      </c>
      <c r="AC49" s="45">
        <f t="shared" si="11"/>
        <v>3994.3999999999992</v>
      </c>
      <c r="AD49" s="194">
        <f t="shared" si="12"/>
        <v>479</v>
      </c>
    </row>
    <row r="50" spans="1:31" ht="18.75" customHeight="1" x14ac:dyDescent="0.15">
      <c r="A50" s="31" t="s">
        <v>95</v>
      </c>
      <c r="B50" s="28">
        <f t="shared" ref="B50:O50" si="13">SUM(B37:B41,B46:B49)</f>
        <v>128195.98000000001</v>
      </c>
      <c r="C50" s="34">
        <f t="shared" si="13"/>
        <v>6974.5640000000003</v>
      </c>
      <c r="D50" s="45">
        <f t="shared" si="13"/>
        <v>6206.5545999999995</v>
      </c>
      <c r="E50" s="45">
        <f t="shared" si="13"/>
        <v>7575.9105</v>
      </c>
      <c r="F50" s="45">
        <f t="shared" si="13"/>
        <v>9066.6388999999999</v>
      </c>
      <c r="G50" s="45">
        <f t="shared" si="13"/>
        <v>8669.3899000000001</v>
      </c>
      <c r="H50" s="45">
        <f t="shared" si="13"/>
        <v>7431.2227000000003</v>
      </c>
      <c r="I50" s="45">
        <f t="shared" si="13"/>
        <v>6567.0092000000004</v>
      </c>
      <c r="J50" s="45">
        <f t="shared" si="13"/>
        <v>7568.0358000000006</v>
      </c>
      <c r="K50" s="45">
        <f t="shared" si="13"/>
        <v>7126.1673000000001</v>
      </c>
      <c r="L50" s="45">
        <f t="shared" si="13"/>
        <v>7601.8975999999993</v>
      </c>
      <c r="M50" s="45">
        <f t="shared" si="13"/>
        <v>6891.9813000000013</v>
      </c>
      <c r="N50" s="45">
        <f t="shared" si="13"/>
        <v>5748.0061000000005</v>
      </c>
      <c r="O50" s="45">
        <f t="shared" si="13"/>
        <v>87427.391700000007</v>
      </c>
      <c r="P50" s="45"/>
      <c r="Q50" s="85">
        <f t="shared" ref="Q50:AB50" si="14">SUM(Q37:Q40,Q42:Q49)</f>
        <v>6765.4862000000012</v>
      </c>
      <c r="R50" s="85">
        <f t="shared" si="14"/>
        <v>6024.5265999999992</v>
      </c>
      <c r="S50" s="85">
        <f t="shared" si="14"/>
        <v>7294.3150000000005</v>
      </c>
      <c r="T50" s="85">
        <f t="shared" si="14"/>
        <v>8790.7368000000006</v>
      </c>
      <c r="U50" s="85">
        <f t="shared" si="14"/>
        <v>8344.4523000000008</v>
      </c>
      <c r="V50" s="85">
        <f t="shared" si="14"/>
        <v>7224.3764000000001</v>
      </c>
      <c r="W50" s="85">
        <f t="shared" si="14"/>
        <v>6367.9190000000008</v>
      </c>
      <c r="X50" s="85">
        <f t="shared" si="14"/>
        <v>7365.2996999999996</v>
      </c>
      <c r="Y50" s="85">
        <f t="shared" si="14"/>
        <v>6810.4259999999995</v>
      </c>
      <c r="Z50" s="85">
        <f t="shared" si="14"/>
        <v>7327.0027</v>
      </c>
      <c r="AA50" s="85">
        <f t="shared" si="14"/>
        <v>6665.594000000001</v>
      </c>
      <c r="AB50" s="85">
        <f t="shared" si="14"/>
        <v>5157.3162000000002</v>
      </c>
      <c r="AC50" s="45">
        <f>SUM(AC37:AC41,AC46:AC49)</f>
        <v>84137.450899999996</v>
      </c>
      <c r="AD50" s="194">
        <f t="shared" si="12"/>
        <v>12790.0128</v>
      </c>
    </row>
    <row r="51" spans="1:31" ht="18.75" customHeight="1" x14ac:dyDescent="0.15">
      <c r="A51" s="38" t="s">
        <v>163</v>
      </c>
      <c r="B51" s="28">
        <v>12960</v>
      </c>
      <c r="C51" s="86">
        <v>1802.94</v>
      </c>
      <c r="D51" s="86">
        <v>1462.39</v>
      </c>
      <c r="E51" s="86">
        <v>2119.7800000000002</v>
      </c>
      <c r="F51" s="86">
        <v>1979.44</v>
      </c>
      <c r="G51" s="86">
        <v>1306.78</v>
      </c>
      <c r="H51" s="86">
        <v>1085.2</v>
      </c>
      <c r="I51" s="86">
        <v>712</v>
      </c>
      <c r="J51" s="86">
        <v>978.68</v>
      </c>
      <c r="K51" s="86">
        <v>552.9</v>
      </c>
      <c r="L51" s="86">
        <v>1163.7</v>
      </c>
      <c r="M51" s="86">
        <v>1450.02</v>
      </c>
      <c r="N51" s="86">
        <v>1639.95</v>
      </c>
      <c r="O51" s="50">
        <f>SUM(C51:N51)</f>
        <v>16253.780000000004</v>
      </c>
      <c r="P51" s="48"/>
      <c r="Q51" s="215">
        <v>1775.59</v>
      </c>
      <c r="R51" s="215">
        <v>1451.36</v>
      </c>
      <c r="S51" s="215">
        <v>2078.86</v>
      </c>
      <c r="T51" s="86">
        <v>1948.32</v>
      </c>
      <c r="U51" s="86">
        <v>1286.1199999999999</v>
      </c>
      <c r="V51" s="86">
        <v>1061.9426000000001</v>
      </c>
      <c r="W51" s="86">
        <v>693.83360000000005</v>
      </c>
      <c r="X51" s="86">
        <v>955.44569999999999</v>
      </c>
      <c r="Y51" s="86">
        <v>534.67920000000004</v>
      </c>
      <c r="Z51" s="86">
        <v>1155.6732</v>
      </c>
      <c r="AA51" s="86">
        <v>1386.4356</v>
      </c>
      <c r="AB51" s="86">
        <v>1577.4</v>
      </c>
      <c r="AC51" s="48">
        <f>SUM(Q51:AB51)</f>
        <v>15905.659900000001</v>
      </c>
      <c r="AD51" s="194">
        <f t="shared" si="12"/>
        <v>3226.95</v>
      </c>
    </row>
    <row r="52" spans="1:31" ht="18.75" customHeight="1" x14ac:dyDescent="0.15">
      <c r="A52" s="38" t="s">
        <v>164</v>
      </c>
      <c r="B52" s="38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>
        <v>582.01570000000004</v>
      </c>
      <c r="O52" s="48">
        <f>SUM(C52:N52)</f>
        <v>582.01570000000004</v>
      </c>
      <c r="P52" s="48"/>
      <c r="Q52" s="215"/>
      <c r="R52" s="215"/>
      <c r="S52" s="215"/>
      <c r="T52" s="86"/>
      <c r="U52" s="86"/>
      <c r="V52" s="86"/>
      <c r="W52" s="86"/>
      <c r="X52" s="86"/>
      <c r="Y52" s="86"/>
      <c r="Z52" s="86"/>
      <c r="AA52" s="86"/>
      <c r="AB52" s="86">
        <v>572.36</v>
      </c>
      <c r="AC52" s="48">
        <f>SUM(Q52:AB52)</f>
        <v>572.36</v>
      </c>
      <c r="AD52" s="194"/>
    </row>
    <row r="53" spans="1:31" ht="15" customHeight="1" x14ac:dyDescent="0.15">
      <c r="A53" s="36" t="s">
        <v>165</v>
      </c>
      <c r="B53" s="81">
        <v>1140</v>
      </c>
      <c r="C53" s="85"/>
      <c r="D53" s="85"/>
      <c r="E53" s="85"/>
      <c r="F53" s="85">
        <v>109.095</v>
      </c>
      <c r="G53" s="85">
        <v>267.63</v>
      </c>
      <c r="H53" s="85">
        <v>273.12</v>
      </c>
      <c r="I53" s="85">
        <v>232.81</v>
      </c>
      <c r="J53" s="85">
        <v>259.52999999999997</v>
      </c>
      <c r="K53" s="85">
        <v>232.39</v>
      </c>
      <c r="L53" s="85">
        <v>268.45</v>
      </c>
      <c r="M53" s="85">
        <v>297.24900000000002</v>
      </c>
      <c r="N53" s="85">
        <v>284.38799999999998</v>
      </c>
      <c r="O53" s="45">
        <f>SUM(C53:N53)</f>
        <v>2224.6619999999998</v>
      </c>
      <c r="P53" s="34">
        <f>O78-O65-O64-O86-O54</f>
        <v>32788.178600000014</v>
      </c>
      <c r="Q53" s="148">
        <f>P53/O54</f>
        <v>0.30790535056105672</v>
      </c>
      <c r="R53" s="85"/>
      <c r="S53" s="85"/>
      <c r="T53" s="85">
        <v>105.756</v>
      </c>
      <c r="U53" s="85">
        <v>255.48599999999999</v>
      </c>
      <c r="V53" s="85">
        <v>254.2176</v>
      </c>
      <c r="W53" s="85">
        <v>218.06960000000001</v>
      </c>
      <c r="X53" s="85">
        <v>241.85560000000001</v>
      </c>
      <c r="Y53" s="85">
        <v>216.22720000000001</v>
      </c>
      <c r="Z53" s="85">
        <v>249.44640000000001</v>
      </c>
      <c r="AA53" s="85">
        <v>276.26</v>
      </c>
      <c r="AB53" s="85">
        <v>264.92</v>
      </c>
      <c r="AC53" s="45">
        <f>SUM(Q53:AB53)</f>
        <v>2082.5463053505614</v>
      </c>
      <c r="AD53" s="194"/>
    </row>
    <row r="54" spans="1:31" x14ac:dyDescent="0.15">
      <c r="A54" s="116" t="s">
        <v>95</v>
      </c>
      <c r="B54" s="81"/>
      <c r="C54" s="85">
        <f>SUM(C50,C51:C53)</f>
        <v>8777.5040000000008</v>
      </c>
      <c r="D54" s="85">
        <f t="shared" ref="D54:O54" si="15">SUM(D50,D51:D53)</f>
        <v>7668.9445999999998</v>
      </c>
      <c r="E54" s="85">
        <f t="shared" si="15"/>
        <v>9695.6905000000006</v>
      </c>
      <c r="F54" s="85">
        <f t="shared" si="15"/>
        <v>11155.1739</v>
      </c>
      <c r="G54" s="85">
        <f t="shared" si="15"/>
        <v>10243.7999</v>
      </c>
      <c r="H54" s="85">
        <f t="shared" si="15"/>
        <v>8789.5427000000018</v>
      </c>
      <c r="I54" s="85">
        <f t="shared" si="15"/>
        <v>7511.8192000000008</v>
      </c>
      <c r="J54" s="85">
        <f t="shared" si="15"/>
        <v>8806.2458000000006</v>
      </c>
      <c r="K54" s="85">
        <f t="shared" si="15"/>
        <v>7911.4573</v>
      </c>
      <c r="L54" s="85">
        <f t="shared" si="15"/>
        <v>9034.0475999999999</v>
      </c>
      <c r="M54" s="85">
        <f t="shared" si="15"/>
        <v>8639.2503000000015</v>
      </c>
      <c r="N54" s="85">
        <f t="shared" si="15"/>
        <v>8254.3598000000002</v>
      </c>
      <c r="O54" s="85">
        <f t="shared" si="15"/>
        <v>106487.84940000001</v>
      </c>
      <c r="P54" s="47"/>
    </row>
    <row r="55" spans="1:31" ht="18.75" customHeight="1" x14ac:dyDescent="0.15">
      <c r="A55" s="52"/>
      <c r="B55" s="52"/>
      <c r="C55" s="380" t="s">
        <v>119</v>
      </c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26">
        <f>O54/70.05</f>
        <v>1520.1691563169165</v>
      </c>
      <c r="P55" s="26"/>
      <c r="Q55" s="380" t="s">
        <v>198</v>
      </c>
      <c r="R55" s="380"/>
      <c r="S55" s="380"/>
      <c r="T55" s="380"/>
      <c r="U55" s="380"/>
      <c r="V55" s="380"/>
      <c r="W55" s="380"/>
      <c r="X55" s="380"/>
      <c r="Y55" s="380"/>
      <c r="Z55" s="380"/>
      <c r="AA55" s="380"/>
      <c r="AB55" s="380"/>
      <c r="AC55" s="26"/>
    </row>
    <row r="56" spans="1:31" ht="18.75" customHeight="1" x14ac:dyDescent="0.15">
      <c r="A56" s="144" t="s">
        <v>170</v>
      </c>
      <c r="B56" s="205" t="s">
        <v>0</v>
      </c>
      <c r="C56" s="206" t="s">
        <v>83</v>
      </c>
      <c r="D56" s="207" t="s">
        <v>84</v>
      </c>
      <c r="E56" s="207" t="s">
        <v>85</v>
      </c>
      <c r="F56" s="207" t="s">
        <v>86</v>
      </c>
      <c r="G56" s="207" t="s">
        <v>87</v>
      </c>
      <c r="H56" s="207" t="s">
        <v>88</v>
      </c>
      <c r="I56" s="207" t="s">
        <v>89</v>
      </c>
      <c r="J56" s="207" t="s">
        <v>90</v>
      </c>
      <c r="K56" s="207" t="s">
        <v>91</v>
      </c>
      <c r="L56" s="207" t="s">
        <v>92</v>
      </c>
      <c r="M56" s="207" t="s">
        <v>93</v>
      </c>
      <c r="N56" s="207" t="s">
        <v>94</v>
      </c>
      <c r="O56" s="211" t="s">
        <v>111</v>
      </c>
      <c r="P56" s="205"/>
      <c r="Q56" s="30" t="s">
        <v>83</v>
      </c>
      <c r="R56" s="30" t="s">
        <v>84</v>
      </c>
      <c r="S56" s="30" t="s">
        <v>85</v>
      </c>
      <c r="T56" s="30" t="s">
        <v>86</v>
      </c>
      <c r="U56" s="30" t="s">
        <v>87</v>
      </c>
      <c r="V56" s="30" t="s">
        <v>88</v>
      </c>
      <c r="W56" s="30" t="s">
        <v>89</v>
      </c>
      <c r="X56" s="30" t="s">
        <v>90</v>
      </c>
      <c r="Y56" s="30" t="s">
        <v>91</v>
      </c>
      <c r="Z56" s="30" t="s">
        <v>92</v>
      </c>
      <c r="AA56" s="30" t="s">
        <v>93</v>
      </c>
      <c r="AB56" s="30" t="s">
        <v>94</v>
      </c>
      <c r="AC56" s="44" t="s">
        <v>111</v>
      </c>
    </row>
    <row r="57" spans="1:31" ht="18.75" customHeight="1" x14ac:dyDescent="0.15">
      <c r="A57" s="150" t="s">
        <v>148</v>
      </c>
      <c r="B57" s="205">
        <v>13700</v>
      </c>
      <c r="C57" s="151">
        <v>1454.9525000000001</v>
      </c>
      <c r="D57" s="151">
        <v>985.03219999999999</v>
      </c>
      <c r="E57" s="151">
        <v>1128.7846</v>
      </c>
      <c r="F57" s="151">
        <v>1341.2777000000001</v>
      </c>
      <c r="G57" s="151">
        <v>1179.7429999999999</v>
      </c>
      <c r="H57" s="208">
        <v>1119.42</v>
      </c>
      <c r="I57" s="151">
        <v>1361.06</v>
      </c>
      <c r="J57" s="151">
        <v>912.3</v>
      </c>
      <c r="K57" s="151">
        <v>1005.04</v>
      </c>
      <c r="L57" s="151">
        <v>1341.2</v>
      </c>
      <c r="M57" s="151">
        <v>1362.1</v>
      </c>
      <c r="N57" s="151">
        <v>1538.85</v>
      </c>
      <c r="O57" s="212">
        <f t="shared" ref="O57:O69" si="16">SUM(C57:N57)</f>
        <v>14729.760000000002</v>
      </c>
      <c r="P57" s="151">
        <f>SUM(C57:E57)</f>
        <v>3568.7692999999999</v>
      </c>
      <c r="Q57" s="85">
        <v>1409.5355999999999</v>
      </c>
      <c r="R57" s="85">
        <v>949.91880000000003</v>
      </c>
      <c r="S57" s="85">
        <v>1091.1939</v>
      </c>
      <c r="T57" s="85">
        <v>1302.559</v>
      </c>
      <c r="U57" s="85">
        <v>1008.5255</v>
      </c>
      <c r="V57" s="85">
        <v>1083.17</v>
      </c>
      <c r="W57" s="85">
        <v>1321.51</v>
      </c>
      <c r="X57" s="85">
        <v>882.92</v>
      </c>
      <c r="Y57" s="85">
        <v>978.86</v>
      </c>
      <c r="Z57" s="85">
        <v>1316.18</v>
      </c>
      <c r="AA57" s="85">
        <v>1340.96</v>
      </c>
      <c r="AB57" s="85">
        <v>1479.37</v>
      </c>
      <c r="AC57" s="45">
        <f>SUM(Q57:AB57)</f>
        <v>14164.702799999999</v>
      </c>
      <c r="AD57" s="193">
        <f>SUM(Q57:T57)</f>
        <v>4753.2073</v>
      </c>
      <c r="AE57" s="93">
        <f>Q57+R57+S57+T57</f>
        <v>4753.2073</v>
      </c>
    </row>
    <row r="58" spans="1:31" ht="18.75" customHeight="1" x14ac:dyDescent="0.15">
      <c r="A58" s="150" t="s">
        <v>149</v>
      </c>
      <c r="B58" s="205">
        <v>12870</v>
      </c>
      <c r="C58" s="151">
        <v>612.274</v>
      </c>
      <c r="D58" s="151">
        <v>973.94</v>
      </c>
      <c r="E58" s="151">
        <v>1356</v>
      </c>
      <c r="F58" s="151">
        <v>989.75</v>
      </c>
      <c r="G58" s="151">
        <v>1591.86</v>
      </c>
      <c r="H58" s="151">
        <v>983.68</v>
      </c>
      <c r="I58" s="151">
        <v>1357.87</v>
      </c>
      <c r="J58" s="151">
        <v>1323.7280000000001</v>
      </c>
      <c r="K58" s="151">
        <v>1145.76</v>
      </c>
      <c r="L58" s="151">
        <v>1394.83</v>
      </c>
      <c r="M58" s="151">
        <v>986.39</v>
      </c>
      <c r="N58" s="151">
        <v>1971.16</v>
      </c>
      <c r="O58" s="212">
        <f t="shared" si="16"/>
        <v>14687.241999999998</v>
      </c>
      <c r="P58" s="151">
        <f t="shared" ref="P58:P86" si="17">SUM(C58:E58)</f>
        <v>2942.2139999999999</v>
      </c>
      <c r="Q58" s="85">
        <v>590.04</v>
      </c>
      <c r="R58" s="85">
        <v>943.4</v>
      </c>
      <c r="S58" s="85">
        <v>1326.81</v>
      </c>
      <c r="T58" s="85">
        <v>961.86</v>
      </c>
      <c r="U58" s="85">
        <v>1452.25</v>
      </c>
      <c r="V58" s="85">
        <v>954.36</v>
      </c>
      <c r="W58" s="85">
        <v>1323.3</v>
      </c>
      <c r="X58" s="85">
        <v>1292.6166000000001</v>
      </c>
      <c r="Y58" s="85">
        <v>1118.5</v>
      </c>
      <c r="Z58" s="85">
        <v>1364.0945999999999</v>
      </c>
      <c r="AA58" s="85">
        <v>957.66</v>
      </c>
      <c r="AB58" s="85">
        <v>1938.93</v>
      </c>
      <c r="AC58" s="45">
        <f t="shared" ref="AC58:AC69" si="18">SUM(Q58:AB58)</f>
        <v>14223.8212</v>
      </c>
      <c r="AD58" s="193">
        <f t="shared" ref="AD58:AD72" si="19">SUM(Q58:T58)</f>
        <v>3822.11</v>
      </c>
      <c r="AE58" s="93">
        <f t="shared" ref="AE58:AE69" si="20">Q58+R58+S58+T58</f>
        <v>3822.11</v>
      </c>
    </row>
    <row r="59" spans="1:31" ht="18.75" customHeight="1" x14ac:dyDescent="0.15">
      <c r="A59" s="150" t="s">
        <v>150</v>
      </c>
      <c r="B59" s="104">
        <v>24120</v>
      </c>
      <c r="C59" s="151">
        <v>1399.0351000000001</v>
      </c>
      <c r="D59" s="151">
        <v>1306.4630999999999</v>
      </c>
      <c r="E59" s="151">
        <v>2677.9294</v>
      </c>
      <c r="F59" s="151">
        <v>2202.1498999999999</v>
      </c>
      <c r="G59" s="151">
        <v>2965.3310999999999</v>
      </c>
      <c r="H59" s="151">
        <v>1119.5209</v>
      </c>
      <c r="I59" s="151">
        <v>2015.1016</v>
      </c>
      <c r="J59" s="151">
        <v>3193.5648000000001</v>
      </c>
      <c r="K59" s="151">
        <v>1865.94</v>
      </c>
      <c r="L59" s="151">
        <v>2002.98</v>
      </c>
      <c r="M59" s="151">
        <v>2076.2003</v>
      </c>
      <c r="N59" s="151">
        <v>3356.25</v>
      </c>
      <c r="O59" s="213">
        <f t="shared" si="16"/>
        <v>26180.466199999999</v>
      </c>
      <c r="P59" s="151">
        <f t="shared" si="17"/>
        <v>5383.4276</v>
      </c>
      <c r="Q59" s="85">
        <v>1224.6959999999999</v>
      </c>
      <c r="R59" s="85">
        <v>1269.8399999999999</v>
      </c>
      <c r="S59" s="85">
        <v>2629.97</v>
      </c>
      <c r="T59" s="85">
        <v>2156.88</v>
      </c>
      <c r="U59" s="85">
        <v>2772.6342</v>
      </c>
      <c r="V59" s="85">
        <v>1090.32</v>
      </c>
      <c r="W59" s="85">
        <v>1960.2</v>
      </c>
      <c r="X59" s="85">
        <v>3129.192</v>
      </c>
      <c r="Y59" s="85">
        <v>1823.97</v>
      </c>
      <c r="Z59" s="85">
        <v>1960.75</v>
      </c>
      <c r="AA59" s="85">
        <v>2030.6615999999999</v>
      </c>
      <c r="AB59" s="85">
        <v>3306.9879999999998</v>
      </c>
      <c r="AC59" s="45">
        <f t="shared" si="18"/>
        <v>25356.1018</v>
      </c>
      <c r="AD59" s="193">
        <f t="shared" si="19"/>
        <v>7281.3859999999995</v>
      </c>
      <c r="AE59" s="93">
        <f t="shared" si="20"/>
        <v>7281.3859999999995</v>
      </c>
    </row>
    <row r="60" spans="1:31" ht="18.75" customHeight="1" x14ac:dyDescent="0.15">
      <c r="A60" s="150" t="s">
        <v>151</v>
      </c>
      <c r="B60" s="104">
        <f>11600+2098</f>
        <v>13698</v>
      </c>
      <c r="C60" s="151">
        <v>777.68679999999995</v>
      </c>
      <c r="D60" s="151">
        <v>1141.9749999999999</v>
      </c>
      <c r="E60" s="151">
        <v>703.65449999999998</v>
      </c>
      <c r="F60" s="151">
        <v>1642.0989</v>
      </c>
      <c r="G60" s="151">
        <v>1451.1258</v>
      </c>
      <c r="H60" s="151">
        <v>1072.7846999999999</v>
      </c>
      <c r="I60" s="151">
        <v>1018.6846</v>
      </c>
      <c r="J60" s="151">
        <v>811.10419999999999</v>
      </c>
      <c r="K60" s="151">
        <v>1388.1311000000001</v>
      </c>
      <c r="L60" s="94">
        <v>1472.5877</v>
      </c>
      <c r="M60" s="94">
        <f>SUM(M85:M86)</f>
        <v>1052.0048999999999</v>
      </c>
      <c r="N60" s="94">
        <v>1127.71</v>
      </c>
      <c r="O60" s="49">
        <f t="shared" si="16"/>
        <v>13659.548200000001</v>
      </c>
      <c r="P60" s="151">
        <f t="shared" si="17"/>
        <v>2623.3163</v>
      </c>
      <c r="Q60" s="85">
        <v>765</v>
      </c>
      <c r="R60" s="85">
        <v>1096</v>
      </c>
      <c r="S60" s="85">
        <v>690.2</v>
      </c>
      <c r="T60" s="85">
        <v>1563.3</v>
      </c>
      <c r="U60" s="85">
        <v>1359.5</v>
      </c>
      <c r="V60" s="85">
        <v>1026.3</v>
      </c>
      <c r="W60" s="85">
        <v>982.8</v>
      </c>
      <c r="X60" s="85">
        <v>643.70000000000005</v>
      </c>
      <c r="Y60" s="85">
        <v>833.9</v>
      </c>
      <c r="Z60" s="85">
        <v>1395.7</v>
      </c>
      <c r="AA60" s="151">
        <f>SUM(AA85:AA86)</f>
        <v>1367.9795999999999</v>
      </c>
      <c r="AB60" s="151">
        <v>1012</v>
      </c>
      <c r="AC60" s="49">
        <f t="shared" si="18"/>
        <v>12736.379600000002</v>
      </c>
      <c r="AD60" s="193">
        <f t="shared" si="19"/>
        <v>4114.5</v>
      </c>
      <c r="AE60" s="93">
        <f t="shared" si="20"/>
        <v>4114.5</v>
      </c>
    </row>
    <row r="61" spans="1:31" ht="18.75" customHeight="1" x14ac:dyDescent="0.15">
      <c r="A61" s="150" t="s">
        <v>152</v>
      </c>
      <c r="B61" s="205">
        <f>SUM(B62:B65)</f>
        <v>39470</v>
      </c>
      <c r="C61" s="151">
        <v>593.52</v>
      </c>
      <c r="D61" s="151">
        <f t="shared" ref="D61:K61" si="21">SUM(D62:D65)</f>
        <v>575.35349999999994</v>
      </c>
      <c r="E61" s="151">
        <f t="shared" si="21"/>
        <v>889.46980000000008</v>
      </c>
      <c r="F61" s="209">
        <f t="shared" si="21"/>
        <v>2365.0612000000001</v>
      </c>
      <c r="G61" s="209">
        <f t="shared" si="21"/>
        <v>5700.6031000000003</v>
      </c>
      <c r="H61" s="209">
        <f t="shared" si="21"/>
        <v>4730.8119999999999</v>
      </c>
      <c r="I61" s="209">
        <f t="shared" si="21"/>
        <v>5142.2291000000005</v>
      </c>
      <c r="J61" s="151">
        <f t="shared" si="21"/>
        <v>4857.0780000000004</v>
      </c>
      <c r="K61" s="151">
        <f t="shared" si="21"/>
        <v>3726.4704000000002</v>
      </c>
      <c r="L61" s="151">
        <v>3971</v>
      </c>
      <c r="M61" s="151">
        <f>SUM(M62:M65)</f>
        <v>2840.5898999999999</v>
      </c>
      <c r="N61" s="151">
        <v>3093.8</v>
      </c>
      <c r="O61" s="212">
        <f t="shared" si="16"/>
        <v>38485.987000000001</v>
      </c>
      <c r="P61" s="151">
        <f t="shared" si="17"/>
        <v>2058.3433</v>
      </c>
      <c r="Q61" s="85">
        <v>564.6</v>
      </c>
      <c r="R61" s="85">
        <v>548.5</v>
      </c>
      <c r="S61" s="85">
        <v>851.4</v>
      </c>
      <c r="T61" s="216">
        <v>1424.6</v>
      </c>
      <c r="U61" s="216">
        <v>6381.5</v>
      </c>
      <c r="V61" s="216">
        <v>4576.8999999999996</v>
      </c>
      <c r="W61" s="216">
        <v>4976.2</v>
      </c>
      <c r="X61" s="151">
        <v>4708.8999999999996</v>
      </c>
      <c r="Y61" s="151">
        <v>3602.5</v>
      </c>
      <c r="Z61" s="151">
        <v>3843</v>
      </c>
      <c r="AA61" s="130">
        <v>2734.5</v>
      </c>
      <c r="AB61" s="57">
        <v>2973.9</v>
      </c>
      <c r="AC61" s="45">
        <f t="shared" si="18"/>
        <v>37186.5</v>
      </c>
      <c r="AD61" s="193">
        <f t="shared" si="19"/>
        <v>3389.1</v>
      </c>
      <c r="AE61" s="93">
        <f t="shared" si="20"/>
        <v>3389.1</v>
      </c>
    </row>
    <row r="62" spans="1:31" ht="18.75" customHeight="1" x14ac:dyDescent="0.15">
      <c r="A62" s="150" t="s">
        <v>153</v>
      </c>
      <c r="B62" s="205">
        <v>7970</v>
      </c>
      <c r="C62" s="151">
        <v>524.27210000000002</v>
      </c>
      <c r="D62" s="151">
        <v>478.5</v>
      </c>
      <c r="E62" s="151">
        <v>613.85590000000002</v>
      </c>
      <c r="F62" s="151">
        <v>953.17740000000003</v>
      </c>
      <c r="G62" s="151">
        <v>872.42740000000003</v>
      </c>
      <c r="H62" s="151">
        <v>772.45630000000006</v>
      </c>
      <c r="I62" s="151">
        <v>912.54179999999997</v>
      </c>
      <c r="J62" s="151">
        <v>731.4846</v>
      </c>
      <c r="K62" s="151">
        <v>888.3922</v>
      </c>
      <c r="L62" s="151">
        <v>534.04849999999999</v>
      </c>
      <c r="M62" s="151">
        <v>696.3143</v>
      </c>
      <c r="N62" s="151">
        <f>561.1454</f>
        <v>561.1454</v>
      </c>
      <c r="O62" s="212">
        <f t="shared" si="16"/>
        <v>8538.6159000000007</v>
      </c>
      <c r="P62" s="151">
        <f t="shared" si="17"/>
        <v>1616.6280000000002</v>
      </c>
      <c r="Q62" s="85">
        <v>502.26</v>
      </c>
      <c r="R62" s="85">
        <v>458.7</v>
      </c>
      <c r="S62" s="85">
        <v>586.08000000000004</v>
      </c>
      <c r="T62" s="85">
        <v>920.04</v>
      </c>
      <c r="U62" s="85">
        <v>840.84</v>
      </c>
      <c r="V62" s="85">
        <v>743.46</v>
      </c>
      <c r="W62" s="85">
        <v>879.78</v>
      </c>
      <c r="X62" s="151">
        <v>704.22</v>
      </c>
      <c r="Y62" s="151">
        <v>861.96</v>
      </c>
      <c r="Z62" s="151">
        <v>513.04</v>
      </c>
      <c r="AA62" s="151">
        <v>664.4</v>
      </c>
      <c r="AB62" s="85">
        <v>572.88</v>
      </c>
      <c r="AC62" s="45">
        <f t="shared" si="18"/>
        <v>8247.66</v>
      </c>
      <c r="AD62" s="193">
        <f t="shared" si="19"/>
        <v>2467.08</v>
      </c>
      <c r="AE62" s="93">
        <f t="shared" si="20"/>
        <v>2467.08</v>
      </c>
    </row>
    <row r="63" spans="1:31" ht="18.75" customHeight="1" x14ac:dyDescent="0.15">
      <c r="A63" s="150" t="s">
        <v>186</v>
      </c>
      <c r="B63" s="205">
        <v>4500</v>
      </c>
      <c r="C63" s="151">
        <v>69.245800000000003</v>
      </c>
      <c r="D63" s="151">
        <v>96.853499999999997</v>
      </c>
      <c r="E63" s="151">
        <v>275.6139</v>
      </c>
      <c r="F63" s="151">
        <v>516.29449999999997</v>
      </c>
      <c r="G63" s="151">
        <v>561.05970000000002</v>
      </c>
      <c r="H63" s="151">
        <v>454.69330000000002</v>
      </c>
      <c r="I63" s="151">
        <v>600.52229999999997</v>
      </c>
      <c r="J63" s="151">
        <v>515.4325</v>
      </c>
      <c r="K63" s="151">
        <v>458.65339999999998</v>
      </c>
      <c r="L63" s="151">
        <v>315.09129999999999</v>
      </c>
      <c r="M63" s="151">
        <v>150.08099999999999</v>
      </c>
      <c r="N63" s="151">
        <v>83.817499999999995</v>
      </c>
      <c r="O63" s="212">
        <f t="shared" si="16"/>
        <v>4097.3586999999998</v>
      </c>
      <c r="P63" s="151">
        <f t="shared" si="17"/>
        <v>441.71320000000003</v>
      </c>
      <c r="Q63" s="85">
        <v>62.3</v>
      </c>
      <c r="R63" s="85">
        <v>89.775000000000006</v>
      </c>
      <c r="S63" s="85">
        <v>265.3</v>
      </c>
      <c r="T63" s="85">
        <v>504.53</v>
      </c>
      <c r="U63" s="85">
        <v>550.52499999999998</v>
      </c>
      <c r="V63" s="85">
        <v>443.42</v>
      </c>
      <c r="W63" s="85">
        <v>589.22500000000002</v>
      </c>
      <c r="X63" s="85">
        <v>508.995</v>
      </c>
      <c r="Y63" s="85">
        <v>447.47500000000002</v>
      </c>
      <c r="Z63" s="85">
        <v>306.60000000000002</v>
      </c>
      <c r="AA63" s="85">
        <v>142.80000000000001</v>
      </c>
      <c r="AB63" s="85">
        <v>79.8</v>
      </c>
      <c r="AC63" s="45">
        <f t="shared" si="18"/>
        <v>3990.7449999999999</v>
      </c>
      <c r="AD63" s="193">
        <f t="shared" si="19"/>
        <v>921.90499999999997</v>
      </c>
      <c r="AE63" s="93">
        <f t="shared" si="20"/>
        <v>921.90499999999997</v>
      </c>
    </row>
    <row r="64" spans="1:31" ht="18.75" customHeight="1" x14ac:dyDescent="0.15">
      <c r="A64" s="150" t="s">
        <v>155</v>
      </c>
      <c r="B64" s="205">
        <v>13500</v>
      </c>
      <c r="C64" s="151"/>
      <c r="D64" s="151"/>
      <c r="E64" s="151"/>
      <c r="F64" s="151">
        <v>305.78530000000001</v>
      </c>
      <c r="G64" s="210">
        <v>2212.6059</v>
      </c>
      <c r="H64" s="151">
        <v>1788.9508000000001</v>
      </c>
      <c r="I64" s="151">
        <v>1904.1080999999999</v>
      </c>
      <c r="J64" s="151">
        <v>1753.1293000000001</v>
      </c>
      <c r="K64" s="151">
        <v>1206.8202000000001</v>
      </c>
      <c r="L64" s="151">
        <v>1597.0043000000001</v>
      </c>
      <c r="M64" s="151">
        <v>1001.7194</v>
      </c>
      <c r="N64" s="151">
        <f>1339.3805+20</f>
        <v>1359.3805</v>
      </c>
      <c r="O64" s="212">
        <f t="shared" si="16"/>
        <v>13129.5038</v>
      </c>
      <c r="P64" s="151">
        <f t="shared" si="17"/>
        <v>0</v>
      </c>
      <c r="Q64" s="85"/>
      <c r="R64" s="85"/>
      <c r="S64" s="85"/>
      <c r="T64" s="85"/>
      <c r="U64" s="85">
        <v>2434.5749999999998</v>
      </c>
      <c r="V64" s="85">
        <v>1733.325</v>
      </c>
      <c r="W64" s="85">
        <v>1844.7</v>
      </c>
      <c r="X64" s="85">
        <v>1699.7750000000001</v>
      </c>
      <c r="Y64" s="85">
        <v>1164.25</v>
      </c>
      <c r="Z64" s="85">
        <v>1543.6</v>
      </c>
      <c r="AA64" s="85">
        <v>969.65</v>
      </c>
      <c r="AB64" s="85">
        <v>1308.9000000000001</v>
      </c>
      <c r="AC64" s="45">
        <f t="shared" si="18"/>
        <v>12698.775</v>
      </c>
      <c r="AD64" s="193">
        <f t="shared" si="19"/>
        <v>0</v>
      </c>
      <c r="AE64" s="93">
        <f t="shared" si="20"/>
        <v>0</v>
      </c>
    </row>
    <row r="65" spans="1:31" ht="18.75" customHeight="1" x14ac:dyDescent="0.15">
      <c r="A65" s="150" t="s">
        <v>156</v>
      </c>
      <c r="B65" s="205">
        <v>13500</v>
      </c>
      <c r="C65" s="151"/>
      <c r="D65" s="151"/>
      <c r="E65" s="151"/>
      <c r="F65" s="151">
        <v>589.80399999999997</v>
      </c>
      <c r="G65" s="210">
        <v>2054.5101</v>
      </c>
      <c r="H65" s="151">
        <v>1714.7116000000001</v>
      </c>
      <c r="I65" s="151">
        <v>1725.0569</v>
      </c>
      <c r="J65" s="151">
        <v>1857.0316</v>
      </c>
      <c r="K65" s="151">
        <v>1172.6045999999999</v>
      </c>
      <c r="L65" s="151">
        <v>1525.0083999999999</v>
      </c>
      <c r="M65" s="151">
        <v>992.47519999999997</v>
      </c>
      <c r="N65" s="151">
        <f>1050.1339+40</f>
        <v>1090.1339</v>
      </c>
      <c r="O65" s="212">
        <f t="shared" si="16"/>
        <v>12721.336300000003</v>
      </c>
      <c r="P65" s="151">
        <f t="shared" si="17"/>
        <v>0</v>
      </c>
      <c r="Q65" s="85"/>
      <c r="R65" s="85"/>
      <c r="S65" s="85"/>
      <c r="T65" s="85"/>
      <c r="U65" s="46">
        <v>2555.52</v>
      </c>
      <c r="V65" s="85">
        <v>1656.6</v>
      </c>
      <c r="W65" s="85">
        <v>1662.54</v>
      </c>
      <c r="X65" s="85">
        <v>1795.86</v>
      </c>
      <c r="Y65" s="85">
        <v>1129.5999999999999</v>
      </c>
      <c r="Z65" s="85">
        <v>1479.8</v>
      </c>
      <c r="AA65" s="85">
        <v>957.82500000000005</v>
      </c>
      <c r="AB65" s="85">
        <v>1012.275</v>
      </c>
      <c r="AC65" s="45">
        <f t="shared" si="18"/>
        <v>12250.019999999999</v>
      </c>
      <c r="AD65" s="193">
        <f t="shared" si="19"/>
        <v>0</v>
      </c>
      <c r="AE65" s="93">
        <f t="shared" si="20"/>
        <v>0</v>
      </c>
    </row>
    <row r="66" spans="1:31" ht="18.75" customHeight="1" x14ac:dyDescent="0.15">
      <c r="A66" s="150" t="s">
        <v>157</v>
      </c>
      <c r="B66" s="205">
        <v>8168</v>
      </c>
      <c r="C66" s="151">
        <v>187.87440000000001</v>
      </c>
      <c r="D66" s="151">
        <v>260.6651</v>
      </c>
      <c r="E66" s="151">
        <v>596.4905</v>
      </c>
      <c r="F66" s="151">
        <v>1091.1842999999999</v>
      </c>
      <c r="G66" s="151">
        <v>1014.2213</v>
      </c>
      <c r="H66" s="151">
        <v>1154.0757000000001</v>
      </c>
      <c r="I66" s="151">
        <v>1402.6523999999999</v>
      </c>
      <c r="J66" s="151">
        <v>1222.3548000000001</v>
      </c>
      <c r="K66" s="151">
        <v>870.24</v>
      </c>
      <c r="L66" s="151">
        <v>554.73739999999998</v>
      </c>
      <c r="M66" s="151">
        <v>411.9787</v>
      </c>
      <c r="N66" s="151">
        <v>245.93469999999999</v>
      </c>
      <c r="O66" s="212">
        <f t="shared" si="16"/>
        <v>9012.4092999999993</v>
      </c>
      <c r="P66" s="151">
        <f t="shared" si="17"/>
        <v>1045.03</v>
      </c>
      <c r="Q66" s="85">
        <v>174.9</v>
      </c>
      <c r="R66" s="85">
        <v>250.8</v>
      </c>
      <c r="S66" s="85">
        <v>578.20000000000005</v>
      </c>
      <c r="T66" s="85">
        <v>1060</v>
      </c>
      <c r="U66" s="236">
        <v>980.8</v>
      </c>
      <c r="V66" s="85">
        <v>1114.7</v>
      </c>
      <c r="W66" s="85">
        <v>1355.6</v>
      </c>
      <c r="X66" s="85">
        <v>1180.7</v>
      </c>
      <c r="Y66" s="85">
        <v>841.3</v>
      </c>
      <c r="Z66" s="85">
        <v>531.5</v>
      </c>
      <c r="AA66" s="85">
        <v>395.34</v>
      </c>
      <c r="AB66" s="85">
        <v>227.0401</v>
      </c>
      <c r="AC66" s="238">
        <f t="shared" si="18"/>
        <v>8690.8801000000003</v>
      </c>
      <c r="AD66" s="193">
        <f t="shared" si="19"/>
        <v>2063.9</v>
      </c>
      <c r="AE66" s="93">
        <f t="shared" si="20"/>
        <v>2063.9</v>
      </c>
    </row>
    <row r="67" spans="1:31" ht="18.75" customHeight="1" x14ac:dyDescent="0.15">
      <c r="A67" s="150" t="s">
        <v>158</v>
      </c>
      <c r="B67" s="205">
        <v>4002</v>
      </c>
      <c r="C67" s="151">
        <v>289.64999999999998</v>
      </c>
      <c r="D67" s="151">
        <v>255.86</v>
      </c>
      <c r="E67" s="151">
        <v>332.16</v>
      </c>
      <c r="F67" s="151">
        <v>319.83</v>
      </c>
      <c r="G67" s="151">
        <v>436.47</v>
      </c>
      <c r="H67" s="151">
        <v>296.23</v>
      </c>
      <c r="I67" s="151">
        <v>310.12</v>
      </c>
      <c r="J67" s="151">
        <v>354.42899999999997</v>
      </c>
      <c r="K67" s="151">
        <v>324.92</v>
      </c>
      <c r="L67" s="151">
        <v>352.56</v>
      </c>
      <c r="M67" s="151">
        <v>313.43</v>
      </c>
      <c r="N67" s="130">
        <v>290.5</v>
      </c>
      <c r="O67" s="212">
        <f t="shared" si="16"/>
        <v>3876.1590000000001</v>
      </c>
      <c r="P67" s="151">
        <f t="shared" si="17"/>
        <v>877.67000000000007</v>
      </c>
      <c r="Q67" s="85">
        <v>284.05</v>
      </c>
      <c r="R67" s="85">
        <v>249.61</v>
      </c>
      <c r="S67" s="85">
        <v>325.11</v>
      </c>
      <c r="T67" s="85">
        <v>313.88</v>
      </c>
      <c r="U67" s="85">
        <v>415.24</v>
      </c>
      <c r="V67" s="85">
        <v>289.07</v>
      </c>
      <c r="W67" s="85">
        <v>304.93</v>
      </c>
      <c r="X67" s="85">
        <v>346.86649999999997</v>
      </c>
      <c r="Y67" s="85">
        <v>317.99</v>
      </c>
      <c r="Z67" s="85">
        <v>346.07</v>
      </c>
      <c r="AA67" s="85">
        <v>304.82</v>
      </c>
      <c r="AB67" s="57">
        <v>284.5</v>
      </c>
      <c r="AC67" s="238">
        <f t="shared" si="18"/>
        <v>3782.1365000000005</v>
      </c>
      <c r="AD67" s="193">
        <f t="shared" si="19"/>
        <v>1172.6500000000001</v>
      </c>
      <c r="AE67" s="93">
        <f t="shared" si="20"/>
        <v>1172.6500000000001</v>
      </c>
    </row>
    <row r="68" spans="1:31" ht="18.75" customHeight="1" x14ac:dyDescent="0.15">
      <c r="A68" s="150" t="s">
        <v>159</v>
      </c>
      <c r="B68" s="205">
        <v>8000</v>
      </c>
      <c r="C68" s="151">
        <v>543.21</v>
      </c>
      <c r="D68" s="151">
        <v>559</v>
      </c>
      <c r="E68" s="151">
        <v>655.24</v>
      </c>
      <c r="F68" s="151">
        <v>821.05</v>
      </c>
      <c r="G68" s="151">
        <v>886.19</v>
      </c>
      <c r="H68" s="151">
        <v>782.31</v>
      </c>
      <c r="I68" s="151">
        <v>711.08410000000003</v>
      </c>
      <c r="J68" s="151">
        <v>592.77</v>
      </c>
      <c r="K68" s="151">
        <v>612.04</v>
      </c>
      <c r="L68" s="151">
        <v>658.6</v>
      </c>
      <c r="M68" s="151">
        <v>577</v>
      </c>
      <c r="N68" s="151">
        <v>652.17999999999995</v>
      </c>
      <c r="O68" s="212">
        <f t="shared" si="16"/>
        <v>8050.6741000000011</v>
      </c>
      <c r="P68" s="151">
        <f t="shared" si="17"/>
        <v>1757.45</v>
      </c>
      <c r="Q68" s="85">
        <v>501.16</v>
      </c>
      <c r="R68" s="85">
        <v>541</v>
      </c>
      <c r="S68" s="85">
        <v>636.07000000000005</v>
      </c>
      <c r="T68" s="85">
        <v>792.52</v>
      </c>
      <c r="U68" s="85">
        <v>861.15</v>
      </c>
      <c r="V68" s="85">
        <v>766.76</v>
      </c>
      <c r="W68" s="85">
        <v>689.73800000000006</v>
      </c>
      <c r="X68" s="85">
        <v>552.02</v>
      </c>
      <c r="Y68" s="85">
        <v>598.5</v>
      </c>
      <c r="Z68" s="85">
        <v>629.89</v>
      </c>
      <c r="AA68" s="85">
        <v>567.9</v>
      </c>
      <c r="AB68" s="85">
        <v>624.74</v>
      </c>
      <c r="AC68" s="45">
        <f t="shared" si="18"/>
        <v>7761.4479999999994</v>
      </c>
      <c r="AD68" s="193">
        <f t="shared" si="19"/>
        <v>2470.75</v>
      </c>
      <c r="AE68" s="93">
        <f t="shared" si="20"/>
        <v>2470.75</v>
      </c>
    </row>
    <row r="69" spans="1:31" ht="18.75" customHeight="1" x14ac:dyDescent="0.15">
      <c r="A69" s="150" t="s">
        <v>160</v>
      </c>
      <c r="B69" s="205">
        <v>4050</v>
      </c>
      <c r="C69" s="151">
        <v>246.51</v>
      </c>
      <c r="D69" s="151">
        <v>313.74</v>
      </c>
      <c r="E69" s="151">
        <v>396.12</v>
      </c>
      <c r="F69" s="151">
        <v>425.85</v>
      </c>
      <c r="G69" s="151">
        <v>431.2</v>
      </c>
      <c r="H69" s="151">
        <v>404.02</v>
      </c>
      <c r="I69" s="151">
        <v>377.15339999999998</v>
      </c>
      <c r="J69" s="151">
        <v>363.32369999999997</v>
      </c>
      <c r="K69" s="151">
        <v>354.36</v>
      </c>
      <c r="L69" s="151">
        <v>324.97000000000003</v>
      </c>
      <c r="M69" s="151">
        <v>338.84</v>
      </c>
      <c r="N69" s="151">
        <v>309.54000000000002</v>
      </c>
      <c r="O69" s="212">
        <f t="shared" si="16"/>
        <v>4285.6271000000006</v>
      </c>
      <c r="P69" s="151">
        <f t="shared" si="17"/>
        <v>956.37</v>
      </c>
      <c r="Q69" s="85">
        <v>241.815</v>
      </c>
      <c r="R69" s="85">
        <v>309.05</v>
      </c>
      <c r="S69" s="85">
        <v>390.51</v>
      </c>
      <c r="T69" s="85">
        <v>420.05</v>
      </c>
      <c r="U69" s="85">
        <v>425.11</v>
      </c>
      <c r="V69" s="85">
        <v>396.69</v>
      </c>
      <c r="W69" s="85">
        <v>369.76</v>
      </c>
      <c r="X69" s="85">
        <v>352</v>
      </c>
      <c r="Y69" s="85">
        <v>307.33999999999997</v>
      </c>
      <c r="Z69" s="85">
        <v>319.74</v>
      </c>
      <c r="AA69" s="85">
        <v>334.1</v>
      </c>
      <c r="AB69" s="85">
        <v>328.24</v>
      </c>
      <c r="AC69" s="45">
        <f t="shared" si="18"/>
        <v>4194.4049999999997</v>
      </c>
      <c r="AD69" s="193">
        <f t="shared" si="19"/>
        <v>1361.425</v>
      </c>
      <c r="AE69" s="93">
        <f t="shared" si="20"/>
        <v>1361.425</v>
      </c>
    </row>
    <row r="70" spans="1:31" ht="18.75" customHeight="1" x14ac:dyDescent="0.15">
      <c r="A70" s="150" t="s">
        <v>176</v>
      </c>
      <c r="B70" s="212">
        <f t="shared" ref="B70:N70" si="22">SUM(B57:B60,B62:B69)</f>
        <v>128078</v>
      </c>
      <c r="C70" s="212">
        <f t="shared" si="22"/>
        <v>6104.7106999999996</v>
      </c>
      <c r="D70" s="212">
        <f t="shared" si="22"/>
        <v>6372.0288999999993</v>
      </c>
      <c r="E70" s="212">
        <f t="shared" si="22"/>
        <v>8735.8487999999998</v>
      </c>
      <c r="F70" s="212">
        <f t="shared" si="22"/>
        <v>11198.252</v>
      </c>
      <c r="G70" s="212">
        <f t="shared" si="22"/>
        <v>15656.7443</v>
      </c>
      <c r="H70" s="212">
        <f t="shared" si="22"/>
        <v>11662.853299999999</v>
      </c>
      <c r="I70" s="212">
        <f t="shared" si="22"/>
        <v>13695.955199999999</v>
      </c>
      <c r="J70" s="212">
        <f t="shared" si="22"/>
        <v>13630.6525</v>
      </c>
      <c r="K70" s="212">
        <f t="shared" si="22"/>
        <v>11292.9015</v>
      </c>
      <c r="L70" s="212">
        <f t="shared" si="22"/>
        <v>12073.6176</v>
      </c>
      <c r="M70" s="212">
        <f t="shared" si="22"/>
        <v>9958.5338000000011</v>
      </c>
      <c r="N70" s="212">
        <f t="shared" si="22"/>
        <v>12586.602000000001</v>
      </c>
      <c r="O70" s="212">
        <f>SUM(O57:O60,O61,O66:O69)</f>
        <v>132967.87290000002</v>
      </c>
      <c r="P70" s="151">
        <f t="shared" si="17"/>
        <v>21212.588400000001</v>
      </c>
      <c r="Q70" s="45">
        <f t="shared" ref="Q70:AC70" si="23">SUM(Q57:Q60,Q61,Q66:Q69)</f>
        <v>5755.7965999999997</v>
      </c>
      <c r="R70" s="45">
        <f t="shared" si="23"/>
        <v>6158.1188000000002</v>
      </c>
      <c r="S70" s="45">
        <f t="shared" si="23"/>
        <v>8519.463899999997</v>
      </c>
      <c r="T70" s="45">
        <f t="shared" si="23"/>
        <v>9995.6489999999994</v>
      </c>
      <c r="U70" s="45">
        <f t="shared" si="23"/>
        <v>15656.709699999999</v>
      </c>
      <c r="V70" s="45">
        <f t="shared" si="23"/>
        <v>11298.27</v>
      </c>
      <c r="W70" s="45">
        <f t="shared" si="23"/>
        <v>13284.038</v>
      </c>
      <c r="X70" s="45">
        <f t="shared" si="23"/>
        <v>13088.915100000002</v>
      </c>
      <c r="Y70" s="45">
        <f t="shared" si="23"/>
        <v>10422.859999999999</v>
      </c>
      <c r="Z70" s="45">
        <f t="shared" si="23"/>
        <v>11706.924599999998</v>
      </c>
      <c r="AA70" s="45">
        <f t="shared" si="23"/>
        <v>10033.921200000001</v>
      </c>
      <c r="AB70" s="45">
        <f t="shared" si="23"/>
        <v>12175.7081</v>
      </c>
      <c r="AC70" s="45">
        <f t="shared" si="23"/>
        <v>128096.375</v>
      </c>
      <c r="AD70" s="193">
        <f t="shared" si="19"/>
        <v>30429.028299999998</v>
      </c>
    </row>
    <row r="71" spans="1:31" ht="18.75" customHeight="1" x14ac:dyDescent="0.15">
      <c r="A71" s="220" t="s">
        <v>171</v>
      </c>
      <c r="B71" s="221"/>
      <c r="C71" s="212"/>
      <c r="D71" s="212"/>
      <c r="E71" s="212"/>
      <c r="F71" s="212"/>
      <c r="G71" s="221"/>
      <c r="H71" s="221"/>
      <c r="I71" s="221"/>
      <c r="J71" s="221"/>
      <c r="K71" s="221"/>
      <c r="L71" s="221"/>
      <c r="M71" s="221"/>
      <c r="N71" s="221"/>
      <c r="O71" s="221"/>
      <c r="P71" s="151"/>
      <c r="Q71" s="45">
        <f>SUM(Q57:Q61,Q66)</f>
        <v>4728.7716</v>
      </c>
      <c r="R71" s="45">
        <f t="shared" ref="R71:AC71" si="24">SUM(R57:R61,R66)</f>
        <v>5058.4588000000003</v>
      </c>
      <c r="S71" s="45">
        <f t="shared" si="24"/>
        <v>7167.7738999999983</v>
      </c>
      <c r="T71" s="45">
        <f t="shared" si="24"/>
        <v>8469.1990000000005</v>
      </c>
      <c r="U71" s="45">
        <f t="shared" si="24"/>
        <v>13955.209699999999</v>
      </c>
      <c r="V71" s="45">
        <f t="shared" si="24"/>
        <v>9845.75</v>
      </c>
      <c r="W71" s="45">
        <f t="shared" si="24"/>
        <v>11919.61</v>
      </c>
      <c r="X71" s="45">
        <f t="shared" si="24"/>
        <v>11838.028600000001</v>
      </c>
      <c r="Y71" s="45">
        <f t="shared" si="24"/>
        <v>9199.0299999999988</v>
      </c>
      <c r="Z71" s="45">
        <f t="shared" si="24"/>
        <v>10411.2246</v>
      </c>
      <c r="AA71" s="45">
        <f t="shared" si="24"/>
        <v>8827.101200000001</v>
      </c>
      <c r="AB71" s="45">
        <f t="shared" si="24"/>
        <v>10938.2281</v>
      </c>
      <c r="AC71" s="45">
        <f t="shared" si="24"/>
        <v>112358.38549999999</v>
      </c>
      <c r="AD71" s="193">
        <f t="shared" si="19"/>
        <v>25424.203300000001</v>
      </c>
    </row>
    <row r="72" spans="1:31" ht="18.75" customHeight="1" x14ac:dyDescent="0.15">
      <c r="A72" s="220" t="s">
        <v>172</v>
      </c>
      <c r="B72" s="221"/>
      <c r="C72" s="212"/>
      <c r="D72" s="212"/>
      <c r="E72" s="212"/>
      <c r="F72" s="212"/>
      <c r="G72" s="221"/>
      <c r="H72" s="221"/>
      <c r="I72" s="221"/>
      <c r="J72" s="221"/>
      <c r="K72" s="221"/>
      <c r="L72" s="221"/>
      <c r="M72" s="221"/>
      <c r="N72" s="221"/>
      <c r="O72" s="221"/>
      <c r="P72" s="151"/>
      <c r="Q72" s="45">
        <f>SUM(Q67:Q69)</f>
        <v>1027.0250000000001</v>
      </c>
      <c r="R72" s="45">
        <f t="shared" ref="R72:AC72" si="25">SUM(R67:R69)</f>
        <v>1099.6600000000001</v>
      </c>
      <c r="S72" s="45">
        <f t="shared" si="25"/>
        <v>1351.69</v>
      </c>
      <c r="T72" s="45">
        <f t="shared" si="25"/>
        <v>1526.45</v>
      </c>
      <c r="U72" s="45">
        <f t="shared" si="25"/>
        <v>1701.5</v>
      </c>
      <c r="V72" s="45">
        <f t="shared" si="25"/>
        <v>1452.52</v>
      </c>
      <c r="W72" s="45">
        <f t="shared" si="25"/>
        <v>1364.4280000000001</v>
      </c>
      <c r="X72" s="45">
        <f t="shared" si="25"/>
        <v>1250.8865000000001</v>
      </c>
      <c r="Y72" s="45">
        <f t="shared" si="25"/>
        <v>1223.83</v>
      </c>
      <c r="Z72" s="45">
        <f t="shared" si="25"/>
        <v>1295.7</v>
      </c>
      <c r="AA72" s="45">
        <f t="shared" si="25"/>
        <v>1206.8200000000002</v>
      </c>
      <c r="AB72" s="45">
        <f t="shared" si="25"/>
        <v>1237.48</v>
      </c>
      <c r="AC72" s="45">
        <f t="shared" si="25"/>
        <v>15737.9895</v>
      </c>
      <c r="AD72" s="193">
        <f t="shared" si="19"/>
        <v>5004.8250000000007</v>
      </c>
    </row>
    <row r="73" spans="1:31" ht="21" customHeight="1" x14ac:dyDescent="0.15">
      <c r="A73" s="38" t="s">
        <v>163</v>
      </c>
      <c r="B73" s="222">
        <v>21630</v>
      </c>
      <c r="C73" s="85">
        <v>2392.08</v>
      </c>
      <c r="D73" s="85">
        <v>1926.2</v>
      </c>
      <c r="E73" s="85">
        <v>2186.7860999999998</v>
      </c>
      <c r="F73" s="85">
        <v>1572.91</v>
      </c>
      <c r="G73" s="86">
        <v>1000.27</v>
      </c>
      <c r="H73" s="86">
        <v>706.01</v>
      </c>
      <c r="I73" s="86">
        <v>461.14</v>
      </c>
      <c r="J73" s="86">
        <v>589.22</v>
      </c>
      <c r="K73" s="86">
        <v>795.4</v>
      </c>
      <c r="L73" s="86">
        <v>1261.1199999999999</v>
      </c>
      <c r="M73" s="86">
        <v>3312.58</v>
      </c>
      <c r="N73" s="86">
        <v>3325.22</v>
      </c>
      <c r="O73" s="48">
        <f>SUM(C73:N73)</f>
        <v>19528.936099999999</v>
      </c>
      <c r="P73" s="151">
        <f>SUM(C73:E73)</f>
        <v>6505.0661</v>
      </c>
      <c r="Q73" s="85">
        <v>2362.17</v>
      </c>
      <c r="R73" s="85">
        <v>1883.86</v>
      </c>
      <c r="S73" s="85">
        <v>2154.8492000000001</v>
      </c>
      <c r="T73" s="85">
        <v>1549.44</v>
      </c>
      <c r="U73" s="86">
        <v>984.92</v>
      </c>
      <c r="V73" s="86">
        <v>693.88</v>
      </c>
      <c r="W73" s="86">
        <v>448.8</v>
      </c>
      <c r="X73" s="86">
        <v>579.91999999999996</v>
      </c>
      <c r="Y73" s="86">
        <v>735.68</v>
      </c>
      <c r="Z73" s="86">
        <v>1143.846</v>
      </c>
      <c r="AA73" s="86">
        <v>3281.6783999999998</v>
      </c>
      <c r="AB73" s="86">
        <v>3200.6831999999999</v>
      </c>
      <c r="AC73" s="48">
        <f t="shared" ref="AC73:AC81" si="26">SUM(Q73:AB73)</f>
        <v>19019.726799999997</v>
      </c>
    </row>
    <row r="74" spans="1:31" ht="21" customHeight="1" x14ac:dyDescent="0.15">
      <c r="A74" s="38" t="s">
        <v>164</v>
      </c>
      <c r="B74" s="222">
        <v>12960</v>
      </c>
      <c r="C74" s="85">
        <v>989.64</v>
      </c>
      <c r="D74" s="85">
        <v>1697.472</v>
      </c>
      <c r="E74" s="85">
        <v>2270.41</v>
      </c>
      <c r="F74" s="85">
        <v>1584.93</v>
      </c>
      <c r="G74" s="86">
        <v>849.37080000000003</v>
      </c>
      <c r="H74" s="86">
        <v>630.03</v>
      </c>
      <c r="I74" s="86">
        <v>405.14830000000001</v>
      </c>
      <c r="J74" s="86">
        <v>522.21879999999999</v>
      </c>
      <c r="K74" s="86">
        <v>547.23</v>
      </c>
      <c r="L74" s="86">
        <v>555.476</v>
      </c>
      <c r="M74" s="86">
        <v>1160.1814999999999</v>
      </c>
      <c r="N74" s="86">
        <v>1082.8787</v>
      </c>
      <c r="O74" s="48">
        <f>SUM(C74:N74)</f>
        <v>12294.9861</v>
      </c>
      <c r="P74" s="151">
        <f t="shared" si="17"/>
        <v>4957.5219999999999</v>
      </c>
      <c r="Q74" s="85">
        <v>969.49</v>
      </c>
      <c r="R74" s="85">
        <v>1665.94</v>
      </c>
      <c r="S74" s="85">
        <v>2210.86</v>
      </c>
      <c r="T74" s="85">
        <v>1542.39</v>
      </c>
      <c r="U74" s="86">
        <v>824.9683</v>
      </c>
      <c r="V74" s="86">
        <v>613.42999999999995</v>
      </c>
      <c r="W74" s="86">
        <v>389.71</v>
      </c>
      <c r="X74" s="86">
        <v>503.8664</v>
      </c>
      <c r="Y74" s="86">
        <v>530.90269999999998</v>
      </c>
      <c r="Z74" s="86">
        <v>534.84019999999998</v>
      </c>
      <c r="AA74" s="86">
        <v>1127.1256000000001</v>
      </c>
      <c r="AB74" s="86">
        <v>1049.056</v>
      </c>
      <c r="AC74" s="48">
        <f t="shared" si="26"/>
        <v>11962.579200000002</v>
      </c>
    </row>
    <row r="75" spans="1:31" ht="21" customHeight="1" x14ac:dyDescent="0.15">
      <c r="A75" s="38" t="s">
        <v>165</v>
      </c>
      <c r="B75" s="222">
        <v>2880</v>
      </c>
      <c r="C75" s="86">
        <v>339.64</v>
      </c>
      <c r="D75" s="86">
        <v>320.32</v>
      </c>
      <c r="E75" s="86">
        <v>308.57</v>
      </c>
      <c r="F75" s="86">
        <v>251.864</v>
      </c>
      <c r="G75" s="86">
        <v>243.57</v>
      </c>
      <c r="H75" s="86">
        <v>290.88</v>
      </c>
      <c r="I75" s="86">
        <v>214.68700000000001</v>
      </c>
      <c r="J75" s="86">
        <v>239.12299999999999</v>
      </c>
      <c r="K75" s="86">
        <v>262.76</v>
      </c>
      <c r="L75" s="86">
        <v>274.86</v>
      </c>
      <c r="M75" s="86">
        <v>275.8</v>
      </c>
      <c r="N75" s="86">
        <v>299.45100000000002</v>
      </c>
      <c r="O75" s="48">
        <f>SUM(C75:N75)</f>
        <v>3321.5250000000001</v>
      </c>
      <c r="P75" s="151">
        <f t="shared" si="17"/>
        <v>968.53</v>
      </c>
      <c r="Q75" s="86">
        <v>314.64999999999998</v>
      </c>
      <c r="R75" s="86">
        <v>296.44</v>
      </c>
      <c r="S75" s="86">
        <v>286.04000000000002</v>
      </c>
      <c r="T75" s="86">
        <v>234.42</v>
      </c>
      <c r="U75" s="86">
        <v>225.93</v>
      </c>
      <c r="V75" s="86">
        <v>270.58999999999997</v>
      </c>
      <c r="W75" s="86">
        <v>201.2724</v>
      </c>
      <c r="X75" s="86">
        <v>232.95439999999999</v>
      </c>
      <c r="Y75" s="86">
        <v>235.13</v>
      </c>
      <c r="Z75" s="86">
        <v>255.4496</v>
      </c>
      <c r="AA75" s="86">
        <v>256.18</v>
      </c>
      <c r="AB75" s="86">
        <v>277.9436</v>
      </c>
      <c r="AC75" s="48">
        <f t="shared" si="26"/>
        <v>3087</v>
      </c>
    </row>
    <row r="76" spans="1:31" ht="21" customHeight="1" x14ac:dyDescent="0.15">
      <c r="A76" s="38" t="s">
        <v>176</v>
      </c>
      <c r="B76" s="223">
        <f>SUM(B73:B75)</f>
        <v>37470</v>
      </c>
      <c r="C76" s="48">
        <f>SUM(C73:C75)</f>
        <v>3721.3599999999997</v>
      </c>
      <c r="D76" s="48">
        <f t="shared" ref="D76:AC76" si="27">SUM(D73:D75)</f>
        <v>3943.9920000000002</v>
      </c>
      <c r="E76" s="48">
        <f t="shared" si="27"/>
        <v>4765.7660999999989</v>
      </c>
      <c r="F76" s="48">
        <f t="shared" si="27"/>
        <v>3409.7040000000002</v>
      </c>
      <c r="G76" s="48">
        <f t="shared" si="27"/>
        <v>2093.2108000000003</v>
      </c>
      <c r="H76" s="48">
        <f t="shared" si="27"/>
        <v>1626.92</v>
      </c>
      <c r="I76" s="48">
        <f t="shared" si="27"/>
        <v>1080.9753000000001</v>
      </c>
      <c r="J76" s="48">
        <f t="shared" si="27"/>
        <v>1350.5617999999999</v>
      </c>
      <c r="K76" s="48">
        <f t="shared" si="27"/>
        <v>1605.39</v>
      </c>
      <c r="L76" s="48">
        <f t="shared" si="27"/>
        <v>2091.4560000000001</v>
      </c>
      <c r="M76" s="48">
        <f t="shared" si="27"/>
        <v>4748.5614999999998</v>
      </c>
      <c r="N76" s="48">
        <f t="shared" si="27"/>
        <v>4707.5496999999996</v>
      </c>
      <c r="O76" s="48">
        <f t="shared" si="27"/>
        <v>35145.447200000002</v>
      </c>
      <c r="P76" s="151">
        <f t="shared" si="17"/>
        <v>12431.1181</v>
      </c>
      <c r="Q76" s="48">
        <f>SUM(Q73:Q75)</f>
        <v>3646.31</v>
      </c>
      <c r="R76" s="48">
        <f t="shared" si="27"/>
        <v>3846.2400000000002</v>
      </c>
      <c r="S76" s="48">
        <f t="shared" si="27"/>
        <v>4651.7492000000002</v>
      </c>
      <c r="T76" s="48">
        <f t="shared" si="27"/>
        <v>3326.25</v>
      </c>
      <c r="U76" s="48">
        <f t="shared" si="27"/>
        <v>2035.8183000000001</v>
      </c>
      <c r="V76" s="48">
        <f t="shared" si="27"/>
        <v>1577.8999999999999</v>
      </c>
      <c r="W76" s="48">
        <f t="shared" si="27"/>
        <v>1039.7824000000001</v>
      </c>
      <c r="X76" s="48">
        <f t="shared" si="27"/>
        <v>1316.7408</v>
      </c>
      <c r="Y76" s="48">
        <f t="shared" si="27"/>
        <v>1501.7127</v>
      </c>
      <c r="Z76" s="48">
        <f t="shared" si="27"/>
        <v>1934.1358</v>
      </c>
      <c r="AA76" s="48">
        <f t="shared" si="27"/>
        <v>4664.9840000000004</v>
      </c>
      <c r="AB76" s="48">
        <f t="shared" si="27"/>
        <v>4527.6827999999996</v>
      </c>
      <c r="AC76" s="48">
        <f t="shared" si="27"/>
        <v>34069.305999999997</v>
      </c>
      <c r="AD76" s="93"/>
    </row>
    <row r="77" spans="1:31" ht="21" hidden="1" customHeight="1" x14ac:dyDescent="0.15">
      <c r="A77" s="38"/>
      <c r="B77" s="223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151">
        <f t="shared" si="17"/>
        <v>0</v>
      </c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93"/>
    </row>
    <row r="78" spans="1:31" ht="21" customHeight="1" x14ac:dyDescent="0.15">
      <c r="A78" s="224" t="s">
        <v>203</v>
      </c>
      <c r="B78" s="224"/>
      <c r="C78" s="225">
        <f t="shared" ref="C78:O78" si="28">SUM(C70,C76)</f>
        <v>9826.0707000000002</v>
      </c>
      <c r="D78" s="225">
        <f t="shared" si="28"/>
        <v>10316.0209</v>
      </c>
      <c r="E78" s="225">
        <f t="shared" si="28"/>
        <v>13501.614899999999</v>
      </c>
      <c r="F78" s="225">
        <f t="shared" si="28"/>
        <v>14607.956</v>
      </c>
      <c r="G78" s="225">
        <f t="shared" si="28"/>
        <v>17749.955099999999</v>
      </c>
      <c r="H78" s="225">
        <f t="shared" si="28"/>
        <v>13289.773299999999</v>
      </c>
      <c r="I78" s="225">
        <f t="shared" si="28"/>
        <v>14776.930499999999</v>
      </c>
      <c r="J78" s="225">
        <f t="shared" si="28"/>
        <v>14981.2143</v>
      </c>
      <c r="K78" s="225">
        <f t="shared" si="28"/>
        <v>12898.291499999999</v>
      </c>
      <c r="L78" s="225">
        <f t="shared" si="28"/>
        <v>14165.0736</v>
      </c>
      <c r="M78" s="225">
        <f t="shared" si="28"/>
        <v>14707.095300000001</v>
      </c>
      <c r="N78" s="225">
        <f t="shared" si="28"/>
        <v>17294.151700000002</v>
      </c>
      <c r="O78" s="225">
        <f t="shared" si="28"/>
        <v>168113.32010000001</v>
      </c>
      <c r="P78" s="151">
        <f t="shared" si="17"/>
        <v>33643.7065</v>
      </c>
      <c r="Q78" s="225">
        <f>SUM(Q70,Q76)-Q79-Q80</f>
        <v>9402.1065999999992</v>
      </c>
      <c r="R78" s="225">
        <f t="shared" ref="R78:AB78" si="29">SUM(R70,R76)-R79-R80</f>
        <v>10004.3588</v>
      </c>
      <c r="S78" s="225">
        <f t="shared" si="29"/>
        <v>13171.213099999997</v>
      </c>
      <c r="T78" s="225">
        <f t="shared" si="29"/>
        <v>12475.999</v>
      </c>
      <c r="U78" s="225">
        <f t="shared" si="29"/>
        <v>15671.162999999999</v>
      </c>
      <c r="V78" s="225">
        <f t="shared" si="29"/>
        <v>10834.215</v>
      </c>
      <c r="W78" s="225">
        <f t="shared" si="29"/>
        <v>13001.0504</v>
      </c>
      <c r="X78" s="225">
        <f t="shared" si="29"/>
        <v>13559.722900000001</v>
      </c>
      <c r="Y78" s="225">
        <f t="shared" si="29"/>
        <v>11459.572699999999</v>
      </c>
      <c r="Z78" s="225">
        <f t="shared" si="29"/>
        <v>13521.660399999999</v>
      </c>
      <c r="AA78" s="225">
        <f t="shared" si="29"/>
        <v>14698.905200000001</v>
      </c>
      <c r="AB78" s="225">
        <f t="shared" si="29"/>
        <v>16703.390899999999</v>
      </c>
      <c r="AC78" s="225">
        <f>SUM(AC70,AC76)</f>
        <v>162165.68099999998</v>
      </c>
    </row>
    <row r="79" spans="1:31" ht="21" customHeight="1" x14ac:dyDescent="0.15">
      <c r="A79" s="226" t="s">
        <v>204</v>
      </c>
      <c r="B79" s="226"/>
      <c r="C79" s="151"/>
      <c r="D79" s="151"/>
      <c r="E79" s="151"/>
      <c r="F79" s="227">
        <f t="shared" ref="F79:J81" si="30">T79/0.97</f>
        <v>293.71134020618553</v>
      </c>
      <c r="G79" s="227">
        <f t="shared" si="30"/>
        <v>978.75773195876286</v>
      </c>
      <c r="H79" s="227">
        <f t="shared" si="30"/>
        <v>1119.7989690721649</v>
      </c>
      <c r="I79" s="227">
        <f t="shared" si="30"/>
        <v>742.09278350515467</v>
      </c>
      <c r="J79" s="227">
        <f t="shared" si="30"/>
        <v>371.47731958762893</v>
      </c>
      <c r="K79" s="227">
        <f>Y79/0.97</f>
        <v>203.81443298969072</v>
      </c>
      <c r="L79" s="227">
        <f>L64-Z64</f>
        <v>53.404300000000148</v>
      </c>
      <c r="M79" s="227"/>
      <c r="N79" s="227"/>
      <c r="O79" s="227">
        <f>SUM(C79:N79)</f>
        <v>3763.0568773195878</v>
      </c>
      <c r="P79" s="151">
        <f t="shared" si="17"/>
        <v>0</v>
      </c>
      <c r="Q79" s="226"/>
      <c r="R79" s="226"/>
      <c r="S79" s="227"/>
      <c r="T79" s="227">
        <v>284.89999999999998</v>
      </c>
      <c r="U79" s="227">
        <v>949.39499999999998</v>
      </c>
      <c r="V79" s="227">
        <v>1086.2049999999999</v>
      </c>
      <c r="W79" s="227">
        <v>719.83</v>
      </c>
      <c r="X79" s="227">
        <v>360.33300000000003</v>
      </c>
      <c r="Y79" s="227">
        <v>197.7</v>
      </c>
      <c r="Z79" s="227">
        <v>38.6</v>
      </c>
      <c r="AA79" s="226"/>
      <c r="AB79" s="226"/>
      <c r="AC79" s="212">
        <f t="shared" si="26"/>
        <v>3636.9629999999997</v>
      </c>
    </row>
    <row r="80" spans="1:31" ht="21" customHeight="1" x14ac:dyDescent="0.15">
      <c r="A80" s="226" t="s">
        <v>205</v>
      </c>
      <c r="B80" s="226"/>
      <c r="C80" s="226"/>
      <c r="D80" s="226"/>
      <c r="E80" s="226"/>
      <c r="F80" s="227">
        <f t="shared" si="30"/>
        <v>578.35051546391753</v>
      </c>
      <c r="G80" s="227">
        <f t="shared" si="30"/>
        <v>1105.1237113402062</v>
      </c>
      <c r="H80" s="227">
        <f t="shared" si="30"/>
        <v>985.30927835051546</v>
      </c>
      <c r="I80" s="227">
        <f t="shared" si="30"/>
        <v>621.58762886597947</v>
      </c>
      <c r="J80" s="227">
        <f t="shared" si="30"/>
        <v>500.61855670103097</v>
      </c>
      <c r="K80" s="227">
        <f>Y80/0.97</f>
        <v>275.56701030927837</v>
      </c>
      <c r="L80" s="227">
        <f>L65-Z65</f>
        <v>45.208399999999983</v>
      </c>
      <c r="M80" s="227"/>
      <c r="N80" s="227"/>
      <c r="O80" s="227">
        <f>SUM(C80:N80)</f>
        <v>4111.7651010309273</v>
      </c>
      <c r="P80" s="151">
        <f t="shared" si="17"/>
        <v>0</v>
      </c>
      <c r="Q80" s="226"/>
      <c r="R80" s="226"/>
      <c r="S80" s="227"/>
      <c r="T80" s="227">
        <v>561</v>
      </c>
      <c r="U80" s="227">
        <v>1071.97</v>
      </c>
      <c r="V80" s="227">
        <v>955.75</v>
      </c>
      <c r="W80" s="227">
        <v>602.94000000000005</v>
      </c>
      <c r="X80" s="227">
        <v>485.6</v>
      </c>
      <c r="Y80" s="227">
        <v>267.3</v>
      </c>
      <c r="Z80" s="227">
        <v>80.8</v>
      </c>
      <c r="AA80" s="226"/>
      <c r="AB80" s="226"/>
      <c r="AC80" s="212">
        <f t="shared" si="26"/>
        <v>4025.3600000000006</v>
      </c>
    </row>
    <row r="81" spans="1:31" ht="21" customHeight="1" x14ac:dyDescent="0.15">
      <c r="A81" s="226" t="s">
        <v>206</v>
      </c>
      <c r="B81" s="226"/>
      <c r="C81" s="226"/>
      <c r="D81" s="226"/>
      <c r="E81" s="226"/>
      <c r="F81" s="227">
        <f t="shared" si="30"/>
        <v>0</v>
      </c>
      <c r="G81" s="227">
        <f t="shared" si="30"/>
        <v>0</v>
      </c>
      <c r="H81" s="227">
        <f t="shared" si="30"/>
        <v>0</v>
      </c>
      <c r="I81" s="227">
        <f t="shared" si="30"/>
        <v>0</v>
      </c>
      <c r="J81" s="227">
        <f t="shared" si="30"/>
        <v>0</v>
      </c>
      <c r="K81" s="227">
        <f>Y81/0.97</f>
        <v>62.845360824742272</v>
      </c>
      <c r="L81" s="227">
        <f>Z81/0.97</f>
        <v>58.820618556701028</v>
      </c>
      <c r="M81" s="227"/>
      <c r="N81" s="227"/>
      <c r="O81" s="227">
        <f>SUM(C81:N81)</f>
        <v>121.66597938144329</v>
      </c>
      <c r="P81" s="151">
        <f t="shared" si="17"/>
        <v>0</v>
      </c>
      <c r="Q81" s="226"/>
      <c r="R81" s="226"/>
      <c r="S81" s="227"/>
      <c r="T81" s="227"/>
      <c r="U81" s="227"/>
      <c r="V81" s="227"/>
      <c r="W81" s="227"/>
      <c r="X81" s="227"/>
      <c r="Y81" s="227">
        <v>60.96</v>
      </c>
      <c r="Z81" s="227">
        <v>57.055999999999997</v>
      </c>
      <c r="AA81" s="226"/>
      <c r="AB81" s="226"/>
      <c r="AC81" s="212">
        <f t="shared" si="26"/>
        <v>118.01599999999999</v>
      </c>
    </row>
    <row r="82" spans="1:31" ht="21" customHeight="1" x14ac:dyDescent="0.15">
      <c r="A82" s="228" t="s">
        <v>207</v>
      </c>
      <c r="B82" s="228"/>
      <c r="C82" s="229">
        <f t="shared" ref="C82:AC82" si="31">SUM(C79:C81)</f>
        <v>0</v>
      </c>
      <c r="D82" s="229">
        <f t="shared" si="31"/>
        <v>0</v>
      </c>
      <c r="E82" s="229">
        <f t="shared" si="31"/>
        <v>0</v>
      </c>
      <c r="F82" s="229">
        <f t="shared" si="31"/>
        <v>872.06185567010311</v>
      </c>
      <c r="G82" s="229">
        <f t="shared" si="31"/>
        <v>2083.8814432989693</v>
      </c>
      <c r="H82" s="229">
        <f t="shared" si="31"/>
        <v>2105.1082474226805</v>
      </c>
      <c r="I82" s="229">
        <f t="shared" si="31"/>
        <v>1363.680412371134</v>
      </c>
      <c r="J82" s="229">
        <f t="shared" si="31"/>
        <v>872.09587628865984</v>
      </c>
      <c r="K82" s="229">
        <f t="shared" si="31"/>
        <v>542.22680412371142</v>
      </c>
      <c r="L82" s="229">
        <f t="shared" si="31"/>
        <v>157.43331855670115</v>
      </c>
      <c r="M82" s="229">
        <f t="shared" si="31"/>
        <v>0</v>
      </c>
      <c r="N82" s="229">
        <f t="shared" si="31"/>
        <v>0</v>
      </c>
      <c r="O82" s="229">
        <f t="shared" si="31"/>
        <v>7996.4879577319589</v>
      </c>
      <c r="P82" s="151">
        <f t="shared" si="17"/>
        <v>0</v>
      </c>
      <c r="Q82" s="229">
        <f t="shared" si="31"/>
        <v>0</v>
      </c>
      <c r="R82" s="229">
        <f t="shared" si="31"/>
        <v>0</v>
      </c>
      <c r="S82" s="229">
        <f t="shared" si="31"/>
        <v>0</v>
      </c>
      <c r="T82" s="229">
        <f t="shared" si="31"/>
        <v>845.9</v>
      </c>
      <c r="U82" s="229">
        <f t="shared" si="31"/>
        <v>2021.365</v>
      </c>
      <c r="V82" s="229">
        <f t="shared" si="31"/>
        <v>2041.9549999999999</v>
      </c>
      <c r="W82" s="229">
        <f t="shared" si="31"/>
        <v>1322.77</v>
      </c>
      <c r="X82" s="229">
        <f t="shared" si="31"/>
        <v>845.93299999999999</v>
      </c>
      <c r="Y82" s="229">
        <f t="shared" si="31"/>
        <v>525.96</v>
      </c>
      <c r="Z82" s="229">
        <f t="shared" si="31"/>
        <v>176.45600000000002</v>
      </c>
      <c r="AA82" s="229">
        <f t="shared" si="31"/>
        <v>0</v>
      </c>
      <c r="AB82" s="229">
        <f t="shared" si="31"/>
        <v>0</v>
      </c>
      <c r="AC82" s="91">
        <f t="shared" si="31"/>
        <v>7780.3389999999999</v>
      </c>
    </row>
    <row r="83" spans="1:31" ht="16.5" customHeight="1" x14ac:dyDescent="0.15">
      <c r="A83" s="230" t="s">
        <v>208</v>
      </c>
      <c r="B83" s="230"/>
      <c r="C83" s="94">
        <f t="shared" ref="C83:AC83" si="32">C78-C82</f>
        <v>9826.0707000000002</v>
      </c>
      <c r="D83" s="94">
        <f t="shared" si="32"/>
        <v>10316.0209</v>
      </c>
      <c r="E83" s="94">
        <f t="shared" si="32"/>
        <v>13501.614899999999</v>
      </c>
      <c r="F83" s="94">
        <f t="shared" si="32"/>
        <v>13735.894144329897</v>
      </c>
      <c r="G83" s="94">
        <f t="shared" si="32"/>
        <v>15666.07365670103</v>
      </c>
      <c r="H83" s="94">
        <f t="shared" si="32"/>
        <v>11184.665052577318</v>
      </c>
      <c r="I83" s="94">
        <f t="shared" si="32"/>
        <v>13413.250087628865</v>
      </c>
      <c r="J83" s="94">
        <f t="shared" si="32"/>
        <v>14109.118423711339</v>
      </c>
      <c r="K83" s="94">
        <f t="shared" si="32"/>
        <v>12356.064695876288</v>
      </c>
      <c r="L83" s="94">
        <f t="shared" si="32"/>
        <v>14007.640281443299</v>
      </c>
      <c r="M83" s="94">
        <f t="shared" si="32"/>
        <v>14707.095300000001</v>
      </c>
      <c r="N83" s="94">
        <f t="shared" si="32"/>
        <v>17294.151700000002</v>
      </c>
      <c r="O83" s="94">
        <f t="shared" si="32"/>
        <v>160116.83214226805</v>
      </c>
      <c r="P83" s="151">
        <f t="shared" si="17"/>
        <v>33643.7065</v>
      </c>
      <c r="Q83" s="94">
        <f t="shared" si="32"/>
        <v>9402.1065999999992</v>
      </c>
      <c r="R83" s="94">
        <f t="shared" si="32"/>
        <v>10004.3588</v>
      </c>
      <c r="S83" s="94">
        <f t="shared" si="32"/>
        <v>13171.213099999997</v>
      </c>
      <c r="T83" s="94">
        <f t="shared" si="32"/>
        <v>11630.099</v>
      </c>
      <c r="U83" s="94">
        <f t="shared" si="32"/>
        <v>13649.797999999999</v>
      </c>
      <c r="V83" s="94">
        <f t="shared" si="32"/>
        <v>8792.26</v>
      </c>
      <c r="W83" s="94">
        <f t="shared" si="32"/>
        <v>11678.2804</v>
      </c>
      <c r="X83" s="94">
        <f t="shared" si="32"/>
        <v>12713.7899</v>
      </c>
      <c r="Y83" s="94">
        <f t="shared" si="32"/>
        <v>10933.612699999998</v>
      </c>
      <c r="Z83" s="94">
        <f t="shared" si="32"/>
        <v>13345.204399999999</v>
      </c>
      <c r="AA83" s="94">
        <f t="shared" si="32"/>
        <v>14698.905200000001</v>
      </c>
      <c r="AB83" s="94">
        <f t="shared" si="32"/>
        <v>16703.390899999999</v>
      </c>
      <c r="AC83" s="94">
        <f t="shared" si="32"/>
        <v>154385.34199999998</v>
      </c>
    </row>
    <row r="84" spans="1:31" ht="13.5" customHeight="1" x14ac:dyDescent="0.15">
      <c r="B84"/>
      <c r="H84" s="93"/>
      <c r="J84" s="93"/>
      <c r="K84" s="93"/>
      <c r="L84" s="93"/>
      <c r="M84" s="93"/>
      <c r="N84" s="93"/>
      <c r="O84" s="93"/>
      <c r="P84" s="151">
        <f t="shared" si="17"/>
        <v>0</v>
      </c>
      <c r="Q84" s="237"/>
      <c r="R84" s="237"/>
      <c r="S84" s="237"/>
      <c r="T84" s="237"/>
      <c r="U84" s="237"/>
      <c r="V84" s="237"/>
      <c r="W84" s="237"/>
      <c r="X84" s="237"/>
      <c r="Y84" s="237"/>
      <c r="Z84" s="237"/>
      <c r="AA84" s="237"/>
      <c r="AB84" s="237"/>
      <c r="AC84" s="237"/>
    </row>
    <row r="85" spans="1:31" ht="18.75" customHeight="1" x14ac:dyDescent="0.15">
      <c r="A85" s="150" t="s">
        <v>209</v>
      </c>
      <c r="B85" s="104">
        <f t="shared" ref="B85:K85" si="33">B60-B86</f>
        <v>11598</v>
      </c>
      <c r="C85" s="151">
        <f t="shared" si="33"/>
        <v>777.68679999999995</v>
      </c>
      <c r="D85" s="151">
        <f t="shared" si="33"/>
        <v>1141.9749999999999</v>
      </c>
      <c r="E85" s="151">
        <f t="shared" si="33"/>
        <v>703.65449999999998</v>
      </c>
      <c r="F85" s="151">
        <f t="shared" si="33"/>
        <v>1642.0989</v>
      </c>
      <c r="G85" s="151">
        <f t="shared" si="33"/>
        <v>1451.1258</v>
      </c>
      <c r="H85" s="151">
        <f t="shared" si="33"/>
        <v>1072.7846999999999</v>
      </c>
      <c r="I85" s="151">
        <f t="shared" si="33"/>
        <v>1018.6846</v>
      </c>
      <c r="J85" s="151">
        <f t="shared" si="33"/>
        <v>586.74649999999997</v>
      </c>
      <c r="K85" s="151">
        <f t="shared" si="33"/>
        <v>637.68560000000002</v>
      </c>
      <c r="L85" s="151">
        <v>725.28530000000001</v>
      </c>
      <c r="M85" s="151">
        <v>415.822</v>
      </c>
      <c r="N85" s="151">
        <v>500.07</v>
      </c>
      <c r="O85" s="212">
        <f>SUM(C85:N85)</f>
        <v>10673.619699999999</v>
      </c>
      <c r="P85" s="151">
        <f t="shared" si="17"/>
        <v>2623.3163</v>
      </c>
      <c r="Q85" s="85"/>
      <c r="R85" s="85"/>
      <c r="S85" s="85"/>
      <c r="T85" s="85"/>
      <c r="U85" s="85"/>
      <c r="V85" s="85"/>
      <c r="W85" s="85"/>
      <c r="X85" s="151">
        <f>X60-X86</f>
        <v>422.38000000000005</v>
      </c>
      <c r="Y85" s="151">
        <f>Y60-Y86</f>
        <v>432.94</v>
      </c>
      <c r="Z85" s="151">
        <f>Z60-Z86</f>
        <v>718.45600000000002</v>
      </c>
      <c r="AA85" s="151">
        <v>286.33999999999997</v>
      </c>
      <c r="AB85" s="85">
        <v>456.9</v>
      </c>
      <c r="AC85" s="45">
        <f>SUM(Q85:AB85)</f>
        <v>2317.0160000000001</v>
      </c>
      <c r="AD85" s="93">
        <f>SUM(Q85:R85)</f>
        <v>0</v>
      </c>
      <c r="AE85" s="93"/>
    </row>
    <row r="86" spans="1:31" ht="18.75" customHeight="1" x14ac:dyDescent="0.15">
      <c r="A86" s="150" t="s">
        <v>210</v>
      </c>
      <c r="B86" s="104">
        <v>2100</v>
      </c>
      <c r="C86" s="151"/>
      <c r="D86" s="151"/>
      <c r="E86" s="151"/>
      <c r="F86" s="151"/>
      <c r="G86" s="151"/>
      <c r="H86" s="151"/>
      <c r="I86" s="151"/>
      <c r="J86" s="151">
        <v>224.35769999999999</v>
      </c>
      <c r="K86" s="151">
        <v>750.44550000000004</v>
      </c>
      <c r="L86" s="151">
        <v>747.82590000000005</v>
      </c>
      <c r="M86" s="151">
        <v>636.18290000000002</v>
      </c>
      <c r="N86" s="151">
        <v>627.64</v>
      </c>
      <c r="O86" s="212">
        <f>SUM(C86:N86)</f>
        <v>2986.4519999999998</v>
      </c>
      <c r="P86" s="151">
        <f t="shared" si="17"/>
        <v>0</v>
      </c>
      <c r="Q86" s="85"/>
      <c r="R86" s="85"/>
      <c r="S86" s="85"/>
      <c r="T86" s="85"/>
      <c r="U86" s="85"/>
      <c r="V86" s="85"/>
      <c r="W86" s="85"/>
      <c r="X86" s="151">
        <v>221.32</v>
      </c>
      <c r="Y86" s="151">
        <v>400.96</v>
      </c>
      <c r="Z86" s="151">
        <v>677.24400000000003</v>
      </c>
      <c r="AA86" s="151">
        <f>595.42+486.2196</f>
        <v>1081.6396</v>
      </c>
      <c r="AB86" s="85">
        <v>555.1</v>
      </c>
      <c r="AC86" s="45">
        <f>SUM(Q86:AB86)</f>
        <v>2936.2635999999998</v>
      </c>
      <c r="AD86" s="93">
        <f>SUM(Q86:R86)</f>
        <v>0</v>
      </c>
      <c r="AE86" s="93"/>
    </row>
    <row r="87" spans="1:31" ht="18.75" customHeight="1" x14ac:dyDescent="0.15">
      <c r="A87" s="150"/>
      <c r="B87" s="104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212"/>
      <c r="P87" s="151"/>
      <c r="Q87" s="85"/>
      <c r="R87" s="85"/>
      <c r="S87" s="85"/>
      <c r="T87" s="85"/>
      <c r="U87" s="85"/>
      <c r="V87" s="85"/>
      <c r="W87" s="85"/>
      <c r="X87" s="151"/>
      <c r="Y87" s="151"/>
      <c r="Z87" s="151"/>
      <c r="AA87" s="151"/>
      <c r="AB87" s="85"/>
      <c r="AC87" s="45"/>
      <c r="AD87" s="93"/>
      <c r="AE87" s="93"/>
    </row>
    <row r="88" spans="1:31" ht="13.5" customHeight="1" x14ac:dyDescent="0.15">
      <c r="A88" s="52"/>
      <c r="B88" s="52"/>
      <c r="C88" s="380" t="s">
        <v>119</v>
      </c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26">
        <f>O84/70.05</f>
        <v>0</v>
      </c>
      <c r="P88" s="26"/>
      <c r="Q88" s="380" t="s">
        <v>198</v>
      </c>
      <c r="R88" s="380"/>
      <c r="S88" s="380"/>
      <c r="T88" s="380"/>
      <c r="U88" s="380"/>
      <c r="V88" s="380"/>
      <c r="W88" s="380"/>
      <c r="X88" s="380"/>
      <c r="Y88" s="380"/>
      <c r="Z88" s="380"/>
      <c r="AA88" s="380"/>
      <c r="AB88" s="380"/>
      <c r="AC88" s="26"/>
    </row>
    <row r="89" spans="1:31" ht="13.5" customHeight="1" x14ac:dyDescent="0.15">
      <c r="A89" s="144" t="s">
        <v>179</v>
      </c>
      <c r="B89" s="205" t="s">
        <v>0</v>
      </c>
      <c r="C89" s="206" t="s">
        <v>83</v>
      </c>
      <c r="D89" s="207" t="s">
        <v>84</v>
      </c>
      <c r="E89" s="207" t="s">
        <v>85</v>
      </c>
      <c r="F89" s="207" t="s">
        <v>86</v>
      </c>
      <c r="G89" s="207" t="s">
        <v>87</v>
      </c>
      <c r="H89" s="207" t="s">
        <v>88</v>
      </c>
      <c r="I89" s="207" t="s">
        <v>89</v>
      </c>
      <c r="J89" s="207" t="s">
        <v>90</v>
      </c>
      <c r="K89" s="207" t="s">
        <v>91</v>
      </c>
      <c r="L89" s="207" t="s">
        <v>92</v>
      </c>
      <c r="M89" s="207" t="s">
        <v>93</v>
      </c>
      <c r="N89" s="207" t="s">
        <v>94</v>
      </c>
      <c r="O89" s="211" t="s">
        <v>111</v>
      </c>
      <c r="P89" s="205" t="s">
        <v>0</v>
      </c>
      <c r="Q89" s="30" t="s">
        <v>83</v>
      </c>
      <c r="R89" s="30" t="s">
        <v>84</v>
      </c>
      <c r="S89" s="30" t="s">
        <v>85</v>
      </c>
      <c r="T89" s="30" t="s">
        <v>86</v>
      </c>
      <c r="U89" s="30" t="s">
        <v>87</v>
      </c>
      <c r="V89" s="30" t="s">
        <v>88</v>
      </c>
      <c r="W89" s="30" t="s">
        <v>89</v>
      </c>
      <c r="X89" s="30" t="s">
        <v>90</v>
      </c>
      <c r="Y89" s="30" t="s">
        <v>91</v>
      </c>
      <c r="Z89" s="30" t="s">
        <v>92</v>
      </c>
      <c r="AA89" s="30" t="s">
        <v>93</v>
      </c>
      <c r="AB89" s="30" t="s">
        <v>94</v>
      </c>
      <c r="AC89" s="44" t="s">
        <v>111</v>
      </c>
    </row>
    <row r="90" spans="1:31" x14ac:dyDescent="0.15">
      <c r="A90" s="150" t="s">
        <v>148</v>
      </c>
      <c r="B90" s="205">
        <v>15000</v>
      </c>
      <c r="C90" s="151">
        <v>1400.0696</v>
      </c>
      <c r="D90" s="151">
        <v>1464.63</v>
      </c>
      <c r="E90" s="151">
        <v>1689.01</v>
      </c>
      <c r="F90" s="151">
        <v>1756.77</v>
      </c>
      <c r="G90" s="151"/>
      <c r="H90" s="208"/>
      <c r="I90" s="151"/>
      <c r="J90" s="151"/>
      <c r="K90" s="151"/>
      <c r="L90" s="151"/>
      <c r="M90" s="151"/>
      <c r="N90" s="151"/>
      <c r="O90" s="212">
        <f t="shared" ref="O90:O102" si="34">SUM(C90:N90)</f>
        <v>6310.4796000000006</v>
      </c>
      <c r="P90" s="85">
        <v>14407.5</v>
      </c>
      <c r="Q90" s="85">
        <v>1357.1015</v>
      </c>
      <c r="R90" s="85">
        <v>1422.866</v>
      </c>
      <c r="S90" s="85">
        <v>1646.7471</v>
      </c>
      <c r="T90" s="85">
        <v>1709.3267000000001</v>
      </c>
      <c r="U90" s="85"/>
      <c r="V90" s="85"/>
      <c r="W90" s="85"/>
      <c r="X90" s="85"/>
      <c r="Y90" s="85"/>
      <c r="Z90" s="85"/>
      <c r="AA90" s="85"/>
      <c r="AB90" s="85"/>
      <c r="AC90" s="45">
        <f>SUM(Q90:AB90)</f>
        <v>6136.041299999999</v>
      </c>
    </row>
    <row r="91" spans="1:31" x14ac:dyDescent="0.15">
      <c r="A91" s="150" t="s">
        <v>149</v>
      </c>
      <c r="B91" s="205">
        <v>16000</v>
      </c>
      <c r="C91" s="151">
        <v>1311.97</v>
      </c>
      <c r="D91" s="151">
        <v>981.6893</v>
      </c>
      <c r="E91" s="208">
        <v>1256.6400000000001</v>
      </c>
      <c r="F91" s="151">
        <v>1460.4691</v>
      </c>
      <c r="G91" s="151"/>
      <c r="H91" s="151"/>
      <c r="I91" s="151"/>
      <c r="J91" s="151"/>
      <c r="K91" s="151"/>
      <c r="L91" s="151"/>
      <c r="M91" s="151"/>
      <c r="N91" s="151"/>
      <c r="O91" s="212">
        <f t="shared" si="34"/>
        <v>5010.7684000000008</v>
      </c>
      <c r="P91" s="85">
        <v>15444</v>
      </c>
      <c r="Q91" s="85">
        <v>1272.018</v>
      </c>
      <c r="R91" s="85">
        <v>962.28</v>
      </c>
      <c r="S91" s="85">
        <v>1165.4299999999901</v>
      </c>
      <c r="T91" s="85">
        <v>1428.8339999999901</v>
      </c>
      <c r="U91" s="85"/>
      <c r="V91" s="85"/>
      <c r="W91" s="85"/>
      <c r="X91" s="85"/>
      <c r="Y91" s="85"/>
      <c r="Z91" s="85"/>
      <c r="AA91" s="85"/>
      <c r="AB91" s="85"/>
      <c r="AC91" s="45">
        <f>SUM(Q91:AB91)</f>
        <v>4828.5619999999799</v>
      </c>
    </row>
    <row r="92" spans="1:31" x14ac:dyDescent="0.15">
      <c r="A92" s="150" t="s">
        <v>150</v>
      </c>
      <c r="B92" s="104">
        <v>30000</v>
      </c>
      <c r="C92" s="151">
        <v>2321.2192</v>
      </c>
      <c r="D92" s="151">
        <v>1894.74</v>
      </c>
      <c r="E92" s="208">
        <v>2137.06</v>
      </c>
      <c r="F92" s="151">
        <v>2903.41</v>
      </c>
      <c r="G92" s="151"/>
      <c r="H92" s="151"/>
      <c r="I92" s="151"/>
      <c r="J92" s="151"/>
      <c r="K92" s="151"/>
      <c r="L92" s="151"/>
      <c r="M92" s="151"/>
      <c r="N92" s="151"/>
      <c r="O92" s="213">
        <f t="shared" si="34"/>
        <v>9256.4292000000005</v>
      </c>
      <c r="P92" s="85">
        <v>29106</v>
      </c>
      <c r="Q92" s="85">
        <v>2266.9699999999998</v>
      </c>
      <c r="R92" s="85">
        <v>1858.82</v>
      </c>
      <c r="S92" s="85">
        <v>2096.16</v>
      </c>
      <c r="T92" s="85">
        <v>2854.1</v>
      </c>
      <c r="U92" s="85"/>
      <c r="V92" s="85"/>
      <c r="W92" s="85"/>
      <c r="X92" s="85"/>
      <c r="Y92" s="85"/>
      <c r="Z92" s="85"/>
      <c r="AA92" s="85"/>
      <c r="AB92" s="85"/>
      <c r="AC92" s="45">
        <f>SUM(Q92:AB92)</f>
        <v>9076.0499999999993</v>
      </c>
    </row>
    <row r="93" spans="1:31" x14ac:dyDescent="0.15">
      <c r="A93" s="150" t="s">
        <v>151</v>
      </c>
      <c r="B93" s="104">
        <v>22500</v>
      </c>
      <c r="C93" s="151">
        <v>1706.7639999999999</v>
      </c>
      <c r="D93" s="151">
        <v>1512.7</v>
      </c>
      <c r="E93" s="208">
        <v>1442.8975</v>
      </c>
      <c r="F93" s="85">
        <v>2637.5389</v>
      </c>
      <c r="G93" s="151"/>
      <c r="H93" s="151"/>
      <c r="I93" s="151"/>
      <c r="J93" s="151"/>
      <c r="K93" s="151"/>
      <c r="L93" s="151"/>
      <c r="M93" s="151"/>
      <c r="N93" s="151"/>
      <c r="O93" s="212">
        <f t="shared" si="34"/>
        <v>7299.9004000000004</v>
      </c>
      <c r="P93" s="85">
        <v>21600</v>
      </c>
      <c r="Q93" s="85">
        <v>1628</v>
      </c>
      <c r="R93" s="85">
        <v>1448.5</v>
      </c>
      <c r="S93" s="85">
        <v>1377.2</v>
      </c>
      <c r="T93" s="85">
        <v>2405.04</v>
      </c>
      <c r="U93" s="85"/>
      <c r="V93" s="85"/>
      <c r="W93" s="85"/>
      <c r="X93" s="85"/>
      <c r="Y93" s="85"/>
      <c r="Z93" s="85"/>
      <c r="AA93" s="85"/>
      <c r="AB93" s="151"/>
      <c r="AC93" s="212">
        <f>SUM(Q93:AB93)</f>
        <v>6858.74</v>
      </c>
    </row>
    <row r="94" spans="1:31" x14ac:dyDescent="0.15">
      <c r="A94" s="150" t="s">
        <v>152</v>
      </c>
      <c r="B94" s="104">
        <f>SUM(B95:B98)</f>
        <v>49720</v>
      </c>
      <c r="C94" s="151">
        <v>5865.67</v>
      </c>
      <c r="D94" s="151">
        <v>2460</v>
      </c>
      <c r="E94" s="151">
        <f t="shared" ref="E94:N94" si="35">SUM(E95:E98)</f>
        <v>5774.6072000000004</v>
      </c>
      <c r="F94" s="151">
        <f t="shared" si="35"/>
        <v>5609.1162999999997</v>
      </c>
      <c r="G94" s="151">
        <f t="shared" si="35"/>
        <v>0</v>
      </c>
      <c r="H94" s="151">
        <f t="shared" si="35"/>
        <v>0</v>
      </c>
      <c r="I94" s="151">
        <f t="shared" si="35"/>
        <v>0</v>
      </c>
      <c r="J94" s="151">
        <f t="shared" si="35"/>
        <v>0</v>
      </c>
      <c r="K94" s="151">
        <f t="shared" si="35"/>
        <v>0</v>
      </c>
      <c r="L94" s="151">
        <f t="shared" si="35"/>
        <v>0</v>
      </c>
      <c r="M94" s="151">
        <f t="shared" si="35"/>
        <v>0</v>
      </c>
      <c r="N94" s="151">
        <f t="shared" si="35"/>
        <v>0</v>
      </c>
      <c r="O94" s="212">
        <f t="shared" si="34"/>
        <v>19709.393499999998</v>
      </c>
      <c r="P94" s="151">
        <f>SUM(P95:P98)</f>
        <v>47656.961799999997</v>
      </c>
      <c r="Q94" s="151">
        <f>SUM(Q95:Q98)</f>
        <v>5672.17</v>
      </c>
      <c r="R94" s="151">
        <v>2353.5</v>
      </c>
      <c r="S94" s="151">
        <f t="shared" ref="S94:AB94" si="36">SUM(S95:S98)</f>
        <v>5598.7449999999999</v>
      </c>
      <c r="T94" s="151">
        <f t="shared" si="36"/>
        <v>5435.26</v>
      </c>
      <c r="U94" s="151">
        <f t="shared" si="36"/>
        <v>0</v>
      </c>
      <c r="V94" s="151">
        <f t="shared" si="36"/>
        <v>0</v>
      </c>
      <c r="W94" s="151">
        <f t="shared" si="36"/>
        <v>0</v>
      </c>
      <c r="X94" s="151">
        <f t="shared" si="36"/>
        <v>0</v>
      </c>
      <c r="Y94" s="151">
        <f t="shared" si="36"/>
        <v>0</v>
      </c>
      <c r="Z94" s="151">
        <f t="shared" si="36"/>
        <v>0</v>
      </c>
      <c r="AA94" s="151">
        <f t="shared" si="36"/>
        <v>0</v>
      </c>
      <c r="AB94" s="151">
        <f t="shared" si="36"/>
        <v>0</v>
      </c>
      <c r="AC94" s="45">
        <f t="shared" ref="AC94:AC99" si="37">SUM(Q94:AB94)</f>
        <v>19059.675000000003</v>
      </c>
    </row>
    <row r="95" spans="1:31" x14ac:dyDescent="0.15">
      <c r="A95" s="150" t="s">
        <v>153</v>
      </c>
      <c r="B95" s="205">
        <v>8670</v>
      </c>
      <c r="C95" s="151">
        <v>986.52919999999995</v>
      </c>
      <c r="D95" s="151">
        <v>694.49839999999995</v>
      </c>
      <c r="E95" s="208">
        <v>962.02809999999999</v>
      </c>
      <c r="F95" s="151">
        <v>814.14300000000003</v>
      </c>
      <c r="G95" s="151"/>
      <c r="H95" s="151"/>
      <c r="I95" s="151"/>
      <c r="J95" s="151"/>
      <c r="K95" s="151"/>
      <c r="L95" s="151"/>
      <c r="M95" s="151"/>
      <c r="N95" s="151"/>
      <c r="O95" s="212">
        <f t="shared" si="34"/>
        <v>3457.1986999999999</v>
      </c>
      <c r="P95" s="85">
        <v>8309.2412999999997</v>
      </c>
      <c r="Q95" s="85">
        <v>947.76</v>
      </c>
      <c r="R95" s="85">
        <v>667.26</v>
      </c>
      <c r="S95" s="85">
        <v>927.3</v>
      </c>
      <c r="T95" s="85">
        <v>783.42</v>
      </c>
      <c r="U95" s="85"/>
      <c r="V95" s="85"/>
      <c r="W95" s="85"/>
      <c r="X95" s="151"/>
      <c r="Y95" s="151"/>
      <c r="Z95" s="151"/>
      <c r="AA95" s="151"/>
      <c r="AB95" s="85"/>
      <c r="AC95" s="45">
        <f t="shared" si="37"/>
        <v>3325.74</v>
      </c>
    </row>
    <row r="96" spans="1:31" x14ac:dyDescent="0.15">
      <c r="A96" s="150" t="s">
        <v>186</v>
      </c>
      <c r="B96" s="205">
        <v>5050</v>
      </c>
      <c r="C96" s="151">
        <v>137.11600000000001</v>
      </c>
      <c r="D96" s="151">
        <v>150.24549999999999</v>
      </c>
      <c r="E96" s="208">
        <v>337.69029999999998</v>
      </c>
      <c r="F96" s="151">
        <v>537.7835</v>
      </c>
      <c r="G96" s="151"/>
      <c r="H96" s="151"/>
      <c r="I96" s="151"/>
      <c r="J96" s="151"/>
      <c r="K96" s="151"/>
      <c r="L96" s="151"/>
      <c r="M96" s="151"/>
      <c r="N96" s="151"/>
      <c r="O96" s="212">
        <f t="shared" si="34"/>
        <v>1162.8353</v>
      </c>
      <c r="P96" s="85">
        <v>4832.9004999999997</v>
      </c>
      <c r="Q96" s="85">
        <v>131.25</v>
      </c>
      <c r="R96" s="85">
        <v>144.37</v>
      </c>
      <c r="S96" s="85">
        <v>327.60000000000002</v>
      </c>
      <c r="T96" s="85">
        <v>524.47500000000002</v>
      </c>
      <c r="U96" s="85"/>
      <c r="V96" s="85"/>
      <c r="W96" s="85"/>
      <c r="X96" s="85"/>
      <c r="Y96" s="85"/>
      <c r="Z96" s="85"/>
      <c r="AA96" s="85"/>
      <c r="AB96" s="85"/>
      <c r="AC96" s="45">
        <f t="shared" si="37"/>
        <v>1127.6950000000002</v>
      </c>
    </row>
    <row r="97" spans="1:29" x14ac:dyDescent="0.15">
      <c r="A97" s="150" t="s">
        <v>155</v>
      </c>
      <c r="B97" s="205">
        <v>18000</v>
      </c>
      <c r="C97" s="151">
        <v>2462.4349000000002</v>
      </c>
      <c r="D97" s="151">
        <v>761.92349999999999</v>
      </c>
      <c r="E97" s="208">
        <v>2433.4672999999998</v>
      </c>
      <c r="F97" s="151">
        <v>2196.0079999999998</v>
      </c>
      <c r="G97" s="210"/>
      <c r="H97" s="151"/>
      <c r="I97" s="151"/>
      <c r="J97" s="151"/>
      <c r="K97" s="151"/>
      <c r="L97" s="151"/>
      <c r="M97" s="151"/>
      <c r="N97" s="151"/>
      <c r="O97" s="212">
        <f t="shared" si="34"/>
        <v>7853.8336999999992</v>
      </c>
      <c r="P97" s="85">
        <v>17226</v>
      </c>
      <c r="Q97" s="85">
        <v>2381.5</v>
      </c>
      <c r="R97" s="85">
        <v>718.85</v>
      </c>
      <c r="S97" s="85">
        <v>2352.625</v>
      </c>
      <c r="T97" s="85">
        <v>2118.3249999999998</v>
      </c>
      <c r="U97" s="85"/>
      <c r="V97" s="85"/>
      <c r="W97" s="85"/>
      <c r="X97" s="85"/>
      <c r="Y97" s="85"/>
      <c r="Z97" s="85"/>
      <c r="AA97" s="85"/>
      <c r="AB97" s="85"/>
      <c r="AC97" s="45">
        <f t="shared" si="37"/>
        <v>7571.3</v>
      </c>
    </row>
    <row r="98" spans="1:29" x14ac:dyDescent="0.15">
      <c r="A98" s="150" t="s">
        <v>156</v>
      </c>
      <c r="B98" s="205">
        <v>18000</v>
      </c>
      <c r="C98" s="151">
        <v>2279.5909999999999</v>
      </c>
      <c r="D98" s="151">
        <v>853.36789999999996</v>
      </c>
      <c r="E98" s="208">
        <v>2041.4214999999999</v>
      </c>
      <c r="F98" s="151">
        <v>2061.1817999999998</v>
      </c>
      <c r="G98" s="210"/>
      <c r="H98" s="151"/>
      <c r="I98" s="151"/>
      <c r="J98" s="151"/>
      <c r="K98" s="151"/>
      <c r="L98" s="151"/>
      <c r="M98" s="151"/>
      <c r="N98" s="151"/>
      <c r="O98" s="212">
        <f t="shared" si="34"/>
        <v>7235.5622000000003</v>
      </c>
      <c r="P98" s="85">
        <v>17288.82</v>
      </c>
      <c r="Q98" s="85">
        <v>2211.66</v>
      </c>
      <c r="R98" s="85">
        <v>823.02</v>
      </c>
      <c r="S98" s="85">
        <v>1991.22</v>
      </c>
      <c r="T98" s="85">
        <v>2009.04</v>
      </c>
      <c r="U98" s="46"/>
      <c r="V98" s="85"/>
      <c r="W98" s="85"/>
      <c r="X98" s="85"/>
      <c r="Y98" s="85"/>
      <c r="Z98" s="85"/>
      <c r="AA98" s="85"/>
      <c r="AB98" s="85"/>
      <c r="AC98" s="45">
        <f t="shared" si="37"/>
        <v>7034.94</v>
      </c>
    </row>
    <row r="99" spans="1:29" x14ac:dyDescent="0.15">
      <c r="A99" s="150" t="s">
        <v>157</v>
      </c>
      <c r="B99" s="205">
        <v>8930</v>
      </c>
      <c r="C99" s="151">
        <v>344.03</v>
      </c>
      <c r="D99" s="151">
        <v>310.24</v>
      </c>
      <c r="E99" s="151">
        <v>701.97670000000005</v>
      </c>
      <c r="F99" s="151">
        <v>857.28949999999998</v>
      </c>
      <c r="G99" s="151"/>
      <c r="H99" s="151"/>
      <c r="I99" s="151"/>
      <c r="J99" s="151"/>
      <c r="K99" s="151"/>
      <c r="L99" s="151"/>
      <c r="M99" s="151"/>
      <c r="N99" s="151"/>
      <c r="O99" s="212">
        <f t="shared" si="34"/>
        <v>2213.5362</v>
      </c>
      <c r="P99" s="85">
        <v>8586.1949999999997</v>
      </c>
      <c r="Q99" s="85">
        <v>327.47000000000003</v>
      </c>
      <c r="R99" s="85">
        <v>292.48</v>
      </c>
      <c r="S99" s="85">
        <v>677.77599999999995</v>
      </c>
      <c r="T99" s="85">
        <v>829.94119999999998</v>
      </c>
      <c r="U99" s="85"/>
      <c r="V99" s="85"/>
      <c r="W99" s="85"/>
      <c r="X99" s="85"/>
      <c r="Y99" s="85"/>
      <c r="Z99" s="85"/>
      <c r="AA99" s="85"/>
      <c r="AB99" s="85"/>
      <c r="AC99" s="212">
        <f t="shared" si="37"/>
        <v>2127.6671999999999</v>
      </c>
    </row>
    <row r="100" spans="1:29" x14ac:dyDescent="0.15">
      <c r="A100" s="150" t="s">
        <v>158</v>
      </c>
      <c r="B100" s="205">
        <v>4050</v>
      </c>
      <c r="C100" s="151">
        <v>294.17</v>
      </c>
      <c r="D100" s="151">
        <v>373.28</v>
      </c>
      <c r="E100" s="151">
        <v>408.8</v>
      </c>
      <c r="F100" s="151">
        <v>313.39999999999998</v>
      </c>
      <c r="G100" s="151"/>
      <c r="H100" s="151"/>
      <c r="I100" s="151"/>
      <c r="J100" s="151"/>
      <c r="K100" s="151"/>
      <c r="L100" s="151"/>
      <c r="M100" s="151"/>
      <c r="N100" s="151"/>
      <c r="O100" s="212">
        <f t="shared" si="34"/>
        <v>1389.65</v>
      </c>
      <c r="P100" s="85">
        <v>3908.25</v>
      </c>
      <c r="Q100" s="85">
        <v>287.95999999999998</v>
      </c>
      <c r="R100" s="110">
        <v>364.03</v>
      </c>
      <c r="S100" s="110">
        <v>401.35</v>
      </c>
      <c r="T100" s="85">
        <v>294.5</v>
      </c>
      <c r="U100" s="85"/>
      <c r="V100" s="85"/>
      <c r="W100" s="85"/>
      <c r="X100" s="85"/>
      <c r="Y100" s="85"/>
      <c r="Z100" s="85"/>
      <c r="AA100" s="85"/>
      <c r="AB100" s="85"/>
      <c r="AC100" s="212">
        <f t="shared" ref="AC100:AC108" si="38">SUM(Q100:AB100)</f>
        <v>1347.8400000000001</v>
      </c>
    </row>
    <row r="101" spans="1:29" x14ac:dyDescent="0.15">
      <c r="A101" s="150" t="s">
        <v>159</v>
      </c>
      <c r="B101" s="205">
        <v>8000</v>
      </c>
      <c r="C101" s="151">
        <v>590.55999999999995</v>
      </c>
      <c r="D101" s="151">
        <v>647.1</v>
      </c>
      <c r="E101" s="151">
        <v>702.01089999999999</v>
      </c>
      <c r="F101" s="151">
        <v>820.18</v>
      </c>
      <c r="G101" s="151"/>
      <c r="H101" s="151"/>
      <c r="I101" s="151"/>
      <c r="J101" s="151"/>
      <c r="K101" s="151"/>
      <c r="L101" s="151"/>
      <c r="M101" s="151"/>
      <c r="N101" s="151"/>
      <c r="O101" s="212">
        <f t="shared" si="34"/>
        <v>2759.8508999999999</v>
      </c>
      <c r="P101" s="85">
        <v>7781.28</v>
      </c>
      <c r="Q101" s="85">
        <v>560.24</v>
      </c>
      <c r="R101" s="85">
        <v>633.67999999999995</v>
      </c>
      <c r="S101" s="85">
        <v>690.22900000000004</v>
      </c>
      <c r="T101" s="85">
        <v>790.89</v>
      </c>
      <c r="U101" s="85"/>
      <c r="V101" s="85"/>
      <c r="W101" s="85"/>
      <c r="X101" s="85"/>
      <c r="Y101" s="85"/>
      <c r="Z101" s="85"/>
      <c r="AA101" s="85"/>
      <c r="AB101" s="85"/>
      <c r="AC101" s="212">
        <f t="shared" si="38"/>
        <v>2675.0390000000002</v>
      </c>
    </row>
    <row r="102" spans="1:29" x14ac:dyDescent="0.15">
      <c r="A102" s="150" t="s">
        <v>160</v>
      </c>
      <c r="B102" s="205">
        <v>4150</v>
      </c>
      <c r="C102" s="151">
        <v>317.13</v>
      </c>
      <c r="D102" s="151">
        <v>332.49</v>
      </c>
      <c r="E102" s="151">
        <v>416.08</v>
      </c>
      <c r="F102" s="151">
        <v>416.11</v>
      </c>
      <c r="G102" s="151"/>
      <c r="H102" s="151"/>
      <c r="I102" s="151"/>
      <c r="J102" s="151"/>
      <c r="K102" s="151"/>
      <c r="L102" s="151"/>
      <c r="M102" s="151"/>
      <c r="N102" s="151"/>
      <c r="O102" s="212">
        <f t="shared" si="34"/>
        <v>1481.81</v>
      </c>
      <c r="P102" s="85">
        <v>4006.5345000000002</v>
      </c>
      <c r="Q102" s="85">
        <v>310.60000000000002</v>
      </c>
      <c r="R102" s="85">
        <v>328.14</v>
      </c>
      <c r="S102" s="85">
        <v>410.5</v>
      </c>
      <c r="T102" s="85">
        <v>399.5</v>
      </c>
      <c r="U102" s="85"/>
      <c r="V102" s="85"/>
      <c r="W102" s="85"/>
      <c r="X102" s="85"/>
      <c r="Y102" s="85"/>
      <c r="Z102" s="85"/>
      <c r="AA102" s="85"/>
      <c r="AB102" s="85"/>
      <c r="AC102" s="212">
        <f t="shared" si="38"/>
        <v>1448.74</v>
      </c>
    </row>
    <row r="103" spans="1:29" x14ac:dyDescent="0.15">
      <c r="A103" s="150" t="s">
        <v>176</v>
      </c>
      <c r="B103" s="212">
        <f t="shared" ref="B103:N103" si="39">SUM(B90:B93,B95:B102)</f>
        <v>158350</v>
      </c>
      <c r="C103" s="212">
        <f t="shared" si="39"/>
        <v>14151.5839</v>
      </c>
      <c r="D103" s="212">
        <f t="shared" si="39"/>
        <v>9976.9045999999998</v>
      </c>
      <c r="E103" s="212">
        <f t="shared" si="39"/>
        <v>14529.082299999998</v>
      </c>
      <c r="F103" s="212">
        <f t="shared" si="39"/>
        <v>16774.283800000001</v>
      </c>
      <c r="G103" s="212">
        <f t="shared" si="39"/>
        <v>0</v>
      </c>
      <c r="H103" s="212">
        <f t="shared" si="39"/>
        <v>0</v>
      </c>
      <c r="I103" s="212">
        <f t="shared" si="39"/>
        <v>0</v>
      </c>
      <c r="J103" s="212">
        <f t="shared" si="39"/>
        <v>0</v>
      </c>
      <c r="K103" s="212">
        <f t="shared" si="39"/>
        <v>0</v>
      </c>
      <c r="L103" s="212">
        <f t="shared" si="39"/>
        <v>0</v>
      </c>
      <c r="M103" s="212">
        <f t="shared" si="39"/>
        <v>0</v>
      </c>
      <c r="N103" s="212">
        <f t="shared" si="39"/>
        <v>0</v>
      </c>
      <c r="O103" s="212">
        <f>SUM(O90:O93,O94,O99:O102)</f>
        <v>55431.818200000002</v>
      </c>
      <c r="P103" s="45">
        <f>SUM(P90:P93,P94,P99:P102)</f>
        <v>152496.7213</v>
      </c>
      <c r="Q103" s="45">
        <f>SUM(Q90:Q93,Q94,Q99:Q102)</f>
        <v>13682.529499999999</v>
      </c>
      <c r="R103" s="45">
        <f t="shared" ref="R103:AB103" si="40">SUM(R90:R93,R94,R99:R102)</f>
        <v>9664.2960000000003</v>
      </c>
      <c r="S103" s="45">
        <f t="shared" si="40"/>
        <v>14064.137099999989</v>
      </c>
      <c r="T103" s="45">
        <f t="shared" si="40"/>
        <v>16147.391899999988</v>
      </c>
      <c r="U103" s="45">
        <f t="shared" si="40"/>
        <v>0</v>
      </c>
      <c r="V103" s="45">
        <f t="shared" si="40"/>
        <v>0</v>
      </c>
      <c r="W103" s="45">
        <f t="shared" si="40"/>
        <v>0</v>
      </c>
      <c r="X103" s="45">
        <f t="shared" si="40"/>
        <v>0</v>
      </c>
      <c r="Y103" s="45">
        <f t="shared" si="40"/>
        <v>0</v>
      </c>
      <c r="Z103" s="45">
        <f t="shared" si="40"/>
        <v>0</v>
      </c>
      <c r="AA103" s="45">
        <f t="shared" si="40"/>
        <v>0</v>
      </c>
      <c r="AB103" s="45">
        <f t="shared" si="40"/>
        <v>0</v>
      </c>
      <c r="AC103" s="212">
        <f t="shared" si="38"/>
        <v>53558.354499999972</v>
      </c>
    </row>
    <row r="104" spans="1:29" x14ac:dyDescent="0.15">
      <c r="A104" s="231" t="s">
        <v>171</v>
      </c>
      <c r="B104" s="100">
        <f>SUM(B90:B94,B99)</f>
        <v>142150</v>
      </c>
      <c r="C104" s="100">
        <f>SUM(C90:C94,C99)</f>
        <v>12949.722800000001</v>
      </c>
      <c r="D104" s="100">
        <f t="shared" ref="D104:AB104" si="41">SUM(D90:D94,D99)</f>
        <v>8623.9992999999995</v>
      </c>
      <c r="E104" s="100">
        <f t="shared" si="41"/>
        <v>13002.1914</v>
      </c>
      <c r="F104" s="100">
        <f t="shared" si="41"/>
        <v>15224.593800000001</v>
      </c>
      <c r="G104" s="100">
        <f t="shared" si="41"/>
        <v>0</v>
      </c>
      <c r="H104" s="100">
        <f t="shared" si="41"/>
        <v>0</v>
      </c>
      <c r="I104" s="100">
        <f t="shared" si="41"/>
        <v>0</v>
      </c>
      <c r="J104" s="100">
        <f t="shared" si="41"/>
        <v>0</v>
      </c>
      <c r="K104" s="100">
        <f t="shared" si="41"/>
        <v>0</v>
      </c>
      <c r="L104" s="100">
        <f t="shared" si="41"/>
        <v>0</v>
      </c>
      <c r="M104" s="100">
        <f t="shared" si="41"/>
        <v>0</v>
      </c>
      <c r="N104" s="100">
        <f t="shared" si="41"/>
        <v>0</v>
      </c>
      <c r="O104" s="100">
        <f t="shared" si="41"/>
        <v>49800.507300000005</v>
      </c>
      <c r="P104" s="100">
        <f t="shared" si="41"/>
        <v>136800.6568</v>
      </c>
      <c r="Q104" s="100">
        <f t="shared" si="41"/>
        <v>12523.729499999999</v>
      </c>
      <c r="R104" s="100">
        <f t="shared" si="41"/>
        <v>8338.4459999999999</v>
      </c>
      <c r="S104" s="100">
        <f t="shared" si="41"/>
        <v>12562.058099999989</v>
      </c>
      <c r="T104" s="100">
        <f t="shared" si="41"/>
        <v>14662.501899999988</v>
      </c>
      <c r="U104" s="100">
        <f t="shared" si="41"/>
        <v>0</v>
      </c>
      <c r="V104" s="100">
        <f t="shared" si="41"/>
        <v>0</v>
      </c>
      <c r="W104" s="100">
        <f t="shared" si="41"/>
        <v>0</v>
      </c>
      <c r="X104" s="100">
        <f t="shared" si="41"/>
        <v>0</v>
      </c>
      <c r="Y104" s="100">
        <f t="shared" si="41"/>
        <v>0</v>
      </c>
      <c r="Z104" s="100">
        <f t="shared" si="41"/>
        <v>0</v>
      </c>
      <c r="AA104" s="100">
        <f t="shared" si="41"/>
        <v>0</v>
      </c>
      <c r="AB104" s="100">
        <f t="shared" si="41"/>
        <v>0</v>
      </c>
      <c r="AC104" s="100">
        <f t="shared" si="38"/>
        <v>48086.735499999973</v>
      </c>
    </row>
    <row r="105" spans="1:29" x14ac:dyDescent="0.15">
      <c r="A105" s="231" t="s">
        <v>172</v>
      </c>
      <c r="B105" s="100">
        <f>SUM(B100:B102)</f>
        <v>16200</v>
      </c>
      <c r="C105" s="100">
        <f>SUM(C100:C102)</f>
        <v>1201.8600000000001</v>
      </c>
      <c r="D105" s="100">
        <f t="shared" ref="D105:AB105" si="42">SUM(D100:D102)</f>
        <v>1352.87</v>
      </c>
      <c r="E105" s="100">
        <f t="shared" si="42"/>
        <v>1526.8908999999999</v>
      </c>
      <c r="F105" s="100">
        <f t="shared" si="42"/>
        <v>1549.69</v>
      </c>
      <c r="G105" s="100">
        <f t="shared" si="42"/>
        <v>0</v>
      </c>
      <c r="H105" s="100">
        <f t="shared" si="42"/>
        <v>0</v>
      </c>
      <c r="I105" s="100">
        <f t="shared" si="42"/>
        <v>0</v>
      </c>
      <c r="J105" s="100">
        <f t="shared" si="42"/>
        <v>0</v>
      </c>
      <c r="K105" s="100">
        <f t="shared" si="42"/>
        <v>0</v>
      </c>
      <c r="L105" s="100">
        <f t="shared" si="42"/>
        <v>0</v>
      </c>
      <c r="M105" s="100">
        <f t="shared" si="42"/>
        <v>0</v>
      </c>
      <c r="N105" s="100">
        <f t="shared" si="42"/>
        <v>0</v>
      </c>
      <c r="O105" s="100">
        <f t="shared" si="42"/>
        <v>5631.3109000000004</v>
      </c>
      <c r="P105" s="100">
        <f t="shared" si="42"/>
        <v>15696.064499999999</v>
      </c>
      <c r="Q105" s="100">
        <f t="shared" si="42"/>
        <v>1158.8000000000002</v>
      </c>
      <c r="R105" s="100">
        <f t="shared" si="42"/>
        <v>1325.85</v>
      </c>
      <c r="S105" s="100">
        <f t="shared" si="42"/>
        <v>1502.0790000000002</v>
      </c>
      <c r="T105" s="100">
        <f t="shared" si="42"/>
        <v>1484.8899999999999</v>
      </c>
      <c r="U105" s="100">
        <f t="shared" si="42"/>
        <v>0</v>
      </c>
      <c r="V105" s="100">
        <f t="shared" si="42"/>
        <v>0</v>
      </c>
      <c r="W105" s="100">
        <f t="shared" si="42"/>
        <v>0</v>
      </c>
      <c r="X105" s="100">
        <f t="shared" si="42"/>
        <v>0</v>
      </c>
      <c r="Y105" s="100">
        <f t="shared" si="42"/>
        <v>0</v>
      </c>
      <c r="Z105" s="100">
        <f t="shared" si="42"/>
        <v>0</v>
      </c>
      <c r="AA105" s="100">
        <f t="shared" si="42"/>
        <v>0</v>
      </c>
      <c r="AB105" s="100">
        <f t="shared" si="42"/>
        <v>0</v>
      </c>
      <c r="AC105" s="100">
        <f t="shared" si="38"/>
        <v>5471.6190000000006</v>
      </c>
    </row>
    <row r="106" spans="1:29" x14ac:dyDescent="0.15">
      <c r="A106" s="38" t="s">
        <v>163</v>
      </c>
      <c r="B106" s="222"/>
      <c r="C106" s="85">
        <v>3809.36</v>
      </c>
      <c r="D106" s="85">
        <v>2397.33</v>
      </c>
      <c r="E106" s="85">
        <v>3027.72</v>
      </c>
      <c r="F106" s="85">
        <v>2572.67</v>
      </c>
      <c r="G106" s="86"/>
      <c r="H106" s="86"/>
      <c r="I106" s="86"/>
      <c r="J106" s="86"/>
      <c r="K106" s="86"/>
      <c r="L106" s="86"/>
      <c r="M106" s="86"/>
      <c r="N106" s="86"/>
      <c r="O106" s="48">
        <f>SUM(C106:N106)</f>
        <v>11807.08</v>
      </c>
      <c r="P106" s="233"/>
      <c r="Q106" s="85">
        <v>3597.7022000000002</v>
      </c>
      <c r="R106" s="85">
        <v>2399.8101999999999</v>
      </c>
      <c r="S106" s="85">
        <v>2873.5871999999999</v>
      </c>
      <c r="T106" s="85">
        <v>2502.6275999999998</v>
      </c>
      <c r="U106" s="86"/>
      <c r="V106" s="86"/>
      <c r="W106" s="86"/>
      <c r="X106" s="86"/>
      <c r="Y106" s="86"/>
      <c r="Z106" s="86"/>
      <c r="AA106" s="86"/>
      <c r="AB106" s="86"/>
      <c r="AC106" s="48">
        <f t="shared" si="38"/>
        <v>11373.727199999999</v>
      </c>
    </row>
    <row r="107" spans="1:29" x14ac:dyDescent="0.15">
      <c r="A107" s="38" t="s">
        <v>164</v>
      </c>
      <c r="B107" s="222"/>
      <c r="C107" s="85">
        <v>2013.0066999999999</v>
      </c>
      <c r="D107" s="85">
        <v>1840.5011</v>
      </c>
      <c r="E107" s="85">
        <v>1737.21</v>
      </c>
      <c r="F107" s="85">
        <v>1519.1392000000001</v>
      </c>
      <c r="G107" s="86"/>
      <c r="H107" s="86"/>
      <c r="I107" s="86"/>
      <c r="J107" s="86"/>
      <c r="K107" s="86"/>
      <c r="L107" s="86"/>
      <c r="M107" s="86"/>
      <c r="N107" s="86"/>
      <c r="O107" s="48">
        <f>SUM(C107:N107)</f>
        <v>7109.857</v>
      </c>
      <c r="P107" s="233"/>
      <c r="Q107" s="85">
        <v>1943.9996000000001</v>
      </c>
      <c r="R107" s="85">
        <v>1789.7457999999999</v>
      </c>
      <c r="S107" s="85">
        <v>1693.15</v>
      </c>
      <c r="T107" s="85">
        <v>1482.2503999999999</v>
      </c>
      <c r="U107" s="86"/>
      <c r="V107" s="86"/>
      <c r="W107" s="86"/>
      <c r="X107" s="86"/>
      <c r="Y107" s="86"/>
      <c r="Z107" s="86"/>
      <c r="AA107" s="86"/>
      <c r="AB107" s="86"/>
      <c r="AC107" s="48">
        <f t="shared" si="38"/>
        <v>6909.1457999999993</v>
      </c>
    </row>
    <row r="108" spans="1:29" x14ac:dyDescent="0.15">
      <c r="A108" s="38" t="s">
        <v>165</v>
      </c>
      <c r="B108" s="222"/>
      <c r="C108" s="86">
        <v>302.65499999999997</v>
      </c>
      <c r="D108" s="86">
        <v>296.17500000000001</v>
      </c>
      <c r="E108" s="86">
        <v>327.065</v>
      </c>
      <c r="F108" s="86">
        <v>306.54000000000002</v>
      </c>
      <c r="G108" s="86"/>
      <c r="H108" s="86"/>
      <c r="I108" s="86"/>
      <c r="J108" s="86"/>
      <c r="K108" s="86"/>
      <c r="L108" s="86"/>
      <c r="M108" s="86"/>
      <c r="N108" s="86"/>
      <c r="O108" s="48">
        <f>SUM(C108:N108)</f>
        <v>1232.4349999999999</v>
      </c>
      <c r="P108" s="234"/>
      <c r="Q108" s="86">
        <v>282.49759999999998</v>
      </c>
      <c r="R108" s="86">
        <v>282.13920000000002</v>
      </c>
      <c r="S108" s="86">
        <v>310.67959999999999</v>
      </c>
      <c r="T108" s="86">
        <v>291.19439999999997</v>
      </c>
      <c r="U108" s="86"/>
      <c r="V108" s="86"/>
      <c r="W108" s="86"/>
      <c r="X108" s="86"/>
      <c r="Y108" s="86"/>
      <c r="Z108" s="86"/>
      <c r="AA108" s="86"/>
      <c r="AB108" s="86"/>
      <c r="AC108" s="48">
        <f t="shared" si="38"/>
        <v>1166.5108</v>
      </c>
    </row>
    <row r="109" spans="1:29" x14ac:dyDescent="0.15">
      <c r="A109" s="38" t="s">
        <v>176</v>
      </c>
      <c r="B109" s="223">
        <f>SUM(B106:B108)</f>
        <v>0</v>
      </c>
      <c r="C109" s="48">
        <f>SUM(C106:C108)</f>
        <v>6125.0217000000002</v>
      </c>
      <c r="D109" s="48">
        <f t="shared" ref="D109:O109" si="43">SUM(D106:D108)</f>
        <v>4534.0060999999996</v>
      </c>
      <c r="E109" s="48">
        <f t="shared" si="43"/>
        <v>5091.9949999999999</v>
      </c>
      <c r="F109" s="48">
        <f t="shared" si="43"/>
        <v>4398.3492000000006</v>
      </c>
      <c r="G109" s="48">
        <f t="shared" si="43"/>
        <v>0</v>
      </c>
      <c r="H109" s="48">
        <f t="shared" si="43"/>
        <v>0</v>
      </c>
      <c r="I109" s="48">
        <f t="shared" si="43"/>
        <v>0</v>
      </c>
      <c r="J109" s="48">
        <f t="shared" si="43"/>
        <v>0</v>
      </c>
      <c r="K109" s="48">
        <f t="shared" si="43"/>
        <v>0</v>
      </c>
      <c r="L109" s="48">
        <f t="shared" si="43"/>
        <v>0</v>
      </c>
      <c r="M109" s="48">
        <f t="shared" si="43"/>
        <v>0</v>
      </c>
      <c r="N109" s="48">
        <f t="shared" si="43"/>
        <v>0</v>
      </c>
      <c r="O109" s="48">
        <f t="shared" si="43"/>
        <v>20149.371999999999</v>
      </c>
      <c r="P109" s="234"/>
      <c r="Q109" s="48">
        <f>SUM(Q106:Q108)</f>
        <v>5824.1994000000004</v>
      </c>
      <c r="R109" s="48">
        <f t="shared" ref="R109:AC109" si="44">SUM(R106:R108)</f>
        <v>4471.6951999999992</v>
      </c>
      <c r="S109" s="48">
        <f t="shared" si="44"/>
        <v>4877.4168</v>
      </c>
      <c r="T109" s="48">
        <f t="shared" si="44"/>
        <v>4276.0724</v>
      </c>
      <c r="U109" s="48">
        <f t="shared" si="44"/>
        <v>0</v>
      </c>
      <c r="V109" s="48">
        <f t="shared" si="44"/>
        <v>0</v>
      </c>
      <c r="W109" s="48">
        <f t="shared" si="44"/>
        <v>0</v>
      </c>
      <c r="X109" s="48">
        <f t="shared" si="44"/>
        <v>0</v>
      </c>
      <c r="Y109" s="48">
        <f t="shared" si="44"/>
        <v>0</v>
      </c>
      <c r="Z109" s="48">
        <f t="shared" si="44"/>
        <v>0</v>
      </c>
      <c r="AA109" s="48">
        <f t="shared" si="44"/>
        <v>0</v>
      </c>
      <c r="AB109" s="48">
        <f t="shared" si="44"/>
        <v>0</v>
      </c>
      <c r="AC109" s="48">
        <f t="shared" si="44"/>
        <v>19449.3838</v>
      </c>
    </row>
    <row r="110" spans="1:29" x14ac:dyDescent="0.15">
      <c r="A110" s="38" t="s">
        <v>180</v>
      </c>
      <c r="B110" s="223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>
        <f>SUM(C110:N110)</f>
        <v>0</v>
      </c>
      <c r="P110" s="235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 spans="1:29" x14ac:dyDescent="0.15">
      <c r="A111" s="224" t="s">
        <v>203</v>
      </c>
      <c r="B111" s="224"/>
      <c r="C111" s="225">
        <f>SUM(C103,C109:C110)</f>
        <v>20276.605599999999</v>
      </c>
      <c r="D111" s="225">
        <f t="shared" ref="D111:AC111" si="45">SUM(D103,D109:D110)</f>
        <v>14510.9107</v>
      </c>
      <c r="E111" s="225">
        <f t="shared" si="45"/>
        <v>19621.077299999997</v>
      </c>
      <c r="F111" s="225">
        <f t="shared" si="45"/>
        <v>21172.633000000002</v>
      </c>
      <c r="G111" s="225">
        <f t="shared" si="45"/>
        <v>0</v>
      </c>
      <c r="H111" s="225">
        <f t="shared" si="45"/>
        <v>0</v>
      </c>
      <c r="I111" s="225">
        <f t="shared" si="45"/>
        <v>0</v>
      </c>
      <c r="J111" s="225">
        <f t="shared" si="45"/>
        <v>0</v>
      </c>
      <c r="K111" s="225">
        <f t="shared" si="45"/>
        <v>0</v>
      </c>
      <c r="L111" s="225">
        <f t="shared" si="45"/>
        <v>0</v>
      </c>
      <c r="M111" s="225">
        <f t="shared" si="45"/>
        <v>0</v>
      </c>
      <c r="N111" s="225">
        <f t="shared" si="45"/>
        <v>0</v>
      </c>
      <c r="O111" s="225">
        <f t="shared" si="45"/>
        <v>75581.190199999997</v>
      </c>
      <c r="P111" s="225"/>
      <c r="Q111" s="225">
        <f t="shared" si="45"/>
        <v>19506.728899999998</v>
      </c>
      <c r="R111" s="225">
        <f t="shared" si="45"/>
        <v>14135.9912</v>
      </c>
      <c r="S111" s="225">
        <f t="shared" si="45"/>
        <v>18941.553899999988</v>
      </c>
      <c r="T111" s="225">
        <f t="shared" si="45"/>
        <v>20423.464299999989</v>
      </c>
      <c r="U111" s="225">
        <f t="shared" si="45"/>
        <v>0</v>
      </c>
      <c r="V111" s="225">
        <f t="shared" si="45"/>
        <v>0</v>
      </c>
      <c r="W111" s="225">
        <f t="shared" si="45"/>
        <v>0</v>
      </c>
      <c r="X111" s="225">
        <f t="shared" si="45"/>
        <v>0</v>
      </c>
      <c r="Y111" s="225">
        <f t="shared" si="45"/>
        <v>0</v>
      </c>
      <c r="Z111" s="225">
        <f t="shared" si="45"/>
        <v>0</v>
      </c>
      <c r="AA111" s="225">
        <f t="shared" si="45"/>
        <v>0</v>
      </c>
      <c r="AB111" s="225">
        <f t="shared" si="45"/>
        <v>0</v>
      </c>
      <c r="AC111" s="225">
        <f t="shared" si="45"/>
        <v>73007.738299999968</v>
      </c>
    </row>
    <row r="112" spans="1:29" x14ac:dyDescent="0.15">
      <c r="A112" s="78" t="s">
        <v>211</v>
      </c>
      <c r="B112" s="81"/>
      <c r="C112" s="85">
        <v>783.57270000000005</v>
      </c>
      <c r="D112" s="85">
        <v>668.19389999999999</v>
      </c>
      <c r="E112" s="232">
        <v>654.57680000000005</v>
      </c>
      <c r="F112" s="232">
        <v>1250.1552999999999</v>
      </c>
      <c r="G112" s="81"/>
      <c r="H112" s="81"/>
      <c r="I112" s="81"/>
      <c r="J112" s="81"/>
      <c r="K112" s="81"/>
      <c r="L112" s="81"/>
      <c r="M112" s="81"/>
      <c r="N112" s="81"/>
      <c r="O112" s="48">
        <f>SUM(C112:N112)</f>
        <v>3356.4986999999996</v>
      </c>
      <c r="P112" s="222"/>
      <c r="Q112" s="86">
        <v>744.18</v>
      </c>
      <c r="R112" s="85">
        <v>657.48</v>
      </c>
      <c r="S112" s="232">
        <v>642.20000000000005</v>
      </c>
      <c r="T112" s="232">
        <v>1111.44</v>
      </c>
      <c r="U112" s="81"/>
      <c r="V112" s="81"/>
      <c r="W112" s="81"/>
      <c r="X112" s="81"/>
      <c r="Y112" s="81"/>
      <c r="Z112" s="81"/>
      <c r="AA112" s="81"/>
      <c r="AB112" s="81"/>
      <c r="AC112" s="81"/>
    </row>
    <row r="113" spans="1:29" x14ac:dyDescent="0.15">
      <c r="A113" s="78" t="s">
        <v>212</v>
      </c>
      <c r="B113" s="81"/>
      <c r="C113" s="85">
        <v>923.19129999999996</v>
      </c>
      <c r="D113" s="85">
        <v>844.48500000000001</v>
      </c>
      <c r="E113" s="232">
        <v>788.32069999999999</v>
      </c>
      <c r="F113" s="232">
        <v>1387.3835999999999</v>
      </c>
      <c r="G113" s="81"/>
      <c r="H113" s="81"/>
      <c r="I113" s="81"/>
      <c r="J113" s="81"/>
      <c r="K113" s="81"/>
      <c r="L113" s="81"/>
      <c r="M113" s="81"/>
      <c r="N113" s="81"/>
      <c r="O113" s="48">
        <f>SUM(C113:N113)</f>
        <v>3943.3806000000004</v>
      </c>
      <c r="P113" s="81"/>
      <c r="Q113" s="85">
        <v>883.82</v>
      </c>
      <c r="R113" s="85">
        <v>791</v>
      </c>
      <c r="S113" s="232">
        <v>735</v>
      </c>
      <c r="T113" s="232">
        <v>1293.5999999999999</v>
      </c>
      <c r="U113" s="81"/>
      <c r="V113" s="81"/>
      <c r="W113" s="81"/>
      <c r="X113" s="81"/>
      <c r="Y113" s="81"/>
      <c r="Z113" s="81"/>
      <c r="AA113" s="81"/>
      <c r="AB113" s="81"/>
      <c r="AC113" s="81"/>
    </row>
    <row r="115" spans="1:29" x14ac:dyDescent="0.15">
      <c r="B115" s="78" t="s">
        <v>119</v>
      </c>
      <c r="C115" s="93"/>
    </row>
    <row r="116" spans="1:29" x14ac:dyDescent="0.15">
      <c r="A116" s="145" t="s">
        <v>213</v>
      </c>
      <c r="B116" s="145" t="s">
        <v>183</v>
      </c>
      <c r="C116" s="145" t="s">
        <v>184</v>
      </c>
      <c r="D116" s="145" t="s">
        <v>111</v>
      </c>
      <c r="E116" s="145" t="s">
        <v>112</v>
      </c>
      <c r="F116" s="145" t="s">
        <v>185</v>
      </c>
      <c r="G116" s="145" t="s">
        <v>114</v>
      </c>
    </row>
    <row r="117" spans="1:29" x14ac:dyDescent="0.15">
      <c r="A117" s="146" t="s">
        <v>214</v>
      </c>
      <c r="B117" s="85">
        <f t="shared" ref="B117:B130" si="46">D90</f>
        <v>1464.63</v>
      </c>
      <c r="C117" s="85">
        <f t="shared" ref="C117:C130" si="47">C90</f>
        <v>1400.0696</v>
      </c>
      <c r="D117" s="85">
        <f t="shared" ref="D117:D130" si="48">O90</f>
        <v>6310.4796000000006</v>
      </c>
      <c r="E117" s="85">
        <f t="shared" ref="E117:E130" si="49">P57</f>
        <v>3568.7692999999999</v>
      </c>
      <c r="F117" s="148">
        <f>(B117-C117)/C117</f>
        <v>4.6112278989558858E-2</v>
      </c>
      <c r="G117" s="148">
        <f>(D117-E117)/E117</f>
        <v>0.76825092056244726</v>
      </c>
    </row>
    <row r="118" spans="1:29" x14ac:dyDescent="0.15">
      <c r="A118" s="146" t="s">
        <v>215</v>
      </c>
      <c r="B118" s="85">
        <f t="shared" si="46"/>
        <v>981.6893</v>
      </c>
      <c r="C118" s="85">
        <f t="shared" si="47"/>
        <v>1311.97</v>
      </c>
      <c r="D118" s="85">
        <f t="shared" si="48"/>
        <v>5010.7684000000008</v>
      </c>
      <c r="E118" s="85">
        <f t="shared" si="49"/>
        <v>2942.2139999999999</v>
      </c>
      <c r="F118" s="147">
        <f t="shared" ref="F118:F130" si="50">(B118-C118)/C118</f>
        <v>-0.25174409475826431</v>
      </c>
      <c r="G118" s="147">
        <f t="shared" ref="G118:G129" si="51">(D118-E118)/E118</f>
        <v>0.70306048438352919</v>
      </c>
    </row>
    <row r="119" spans="1:29" x14ac:dyDescent="0.15">
      <c r="A119" s="146" t="s">
        <v>216</v>
      </c>
      <c r="B119" s="85">
        <f t="shared" si="46"/>
        <v>1894.74</v>
      </c>
      <c r="C119" s="85">
        <f t="shared" si="47"/>
        <v>2321.2192</v>
      </c>
      <c r="D119" s="85">
        <f t="shared" si="48"/>
        <v>9256.4292000000005</v>
      </c>
      <c r="E119" s="85">
        <f t="shared" si="49"/>
        <v>5383.4276</v>
      </c>
      <c r="F119" s="147">
        <f t="shared" si="50"/>
        <v>-0.18373068773513504</v>
      </c>
      <c r="G119" s="147">
        <f t="shared" si="51"/>
        <v>0.7194304238437238</v>
      </c>
    </row>
    <row r="120" spans="1:29" x14ac:dyDescent="0.15">
      <c r="A120" s="146" t="s">
        <v>217</v>
      </c>
      <c r="B120" s="85">
        <f t="shared" si="46"/>
        <v>1512.7</v>
      </c>
      <c r="C120" s="85">
        <f t="shared" si="47"/>
        <v>1706.7639999999999</v>
      </c>
      <c r="D120" s="85">
        <f t="shared" si="48"/>
        <v>7299.9004000000004</v>
      </c>
      <c r="E120" s="85">
        <f t="shared" si="49"/>
        <v>2623.3163</v>
      </c>
      <c r="F120" s="147">
        <f t="shared" si="50"/>
        <v>-0.11370289038203282</v>
      </c>
      <c r="G120" s="148">
        <f>(D120-E120-C113)/E120</f>
        <v>1.4307816407804121</v>
      </c>
    </row>
    <row r="121" spans="1:29" hidden="1" x14ac:dyDescent="0.15">
      <c r="A121" s="146" t="s">
        <v>152</v>
      </c>
      <c r="B121" s="85">
        <f t="shared" si="46"/>
        <v>2460</v>
      </c>
      <c r="C121" s="85">
        <f t="shared" si="47"/>
        <v>5865.67</v>
      </c>
      <c r="D121" s="85">
        <f t="shared" si="48"/>
        <v>19709.393499999998</v>
      </c>
      <c r="E121" s="85">
        <f t="shared" si="49"/>
        <v>2058.3433</v>
      </c>
      <c r="F121" s="148">
        <f t="shared" si="50"/>
        <v>-0.58061056963654623</v>
      </c>
      <c r="G121" s="147">
        <f>(D121-E121-D124-D125)/E121</f>
        <v>1.2445223787499384</v>
      </c>
    </row>
    <row r="122" spans="1:29" x14ac:dyDescent="0.15">
      <c r="A122" s="146" t="s">
        <v>218</v>
      </c>
      <c r="B122" s="85">
        <f t="shared" si="46"/>
        <v>694.49839999999995</v>
      </c>
      <c r="C122" s="85">
        <f t="shared" si="47"/>
        <v>986.52919999999995</v>
      </c>
      <c r="D122" s="85">
        <f t="shared" si="48"/>
        <v>3457.1986999999999</v>
      </c>
      <c r="E122" s="85">
        <f t="shared" si="49"/>
        <v>1616.6280000000002</v>
      </c>
      <c r="F122" s="147">
        <f t="shared" si="50"/>
        <v>-0.29601840472638824</v>
      </c>
      <c r="G122" s="147">
        <f t="shared" si="51"/>
        <v>1.1385245708969531</v>
      </c>
      <c r="I122" s="78">
        <f>D122/4.95</f>
        <v>698.42397979797977</v>
      </c>
    </row>
    <row r="123" spans="1:29" x14ac:dyDescent="0.15">
      <c r="A123" s="200" t="s">
        <v>219</v>
      </c>
      <c r="B123" s="85">
        <f t="shared" si="46"/>
        <v>150.24549999999999</v>
      </c>
      <c r="C123" s="85">
        <f t="shared" si="47"/>
        <v>137.11600000000001</v>
      </c>
      <c r="D123" s="85">
        <f t="shared" si="48"/>
        <v>1162.8353</v>
      </c>
      <c r="E123" s="85">
        <f t="shared" si="49"/>
        <v>441.71320000000003</v>
      </c>
      <c r="F123" s="147">
        <f t="shared" si="50"/>
        <v>9.5754689460019096E-2</v>
      </c>
      <c r="G123" s="147">
        <f t="shared" si="51"/>
        <v>1.6325572792481635</v>
      </c>
      <c r="I123" s="78">
        <f>D123/4.95</f>
        <v>234.91622222222222</v>
      </c>
    </row>
    <row r="124" spans="1:29" x14ac:dyDescent="0.15">
      <c r="A124" s="200" t="s">
        <v>116</v>
      </c>
      <c r="B124" s="85">
        <f t="shared" si="46"/>
        <v>761.92349999999999</v>
      </c>
      <c r="C124" s="85">
        <f t="shared" si="47"/>
        <v>2462.4349000000002</v>
      </c>
      <c r="D124" s="85">
        <f t="shared" si="48"/>
        <v>7853.8336999999992</v>
      </c>
      <c r="E124" s="85">
        <f t="shared" si="49"/>
        <v>0</v>
      </c>
      <c r="F124" s="147">
        <f t="shared" si="50"/>
        <v>-0.69058126166096823</v>
      </c>
      <c r="G124" s="148" t="e">
        <f t="shared" si="51"/>
        <v>#DIV/0!</v>
      </c>
      <c r="I124" s="78">
        <f>D124/10</f>
        <v>785.3833699999999</v>
      </c>
    </row>
    <row r="125" spans="1:29" x14ac:dyDescent="0.15">
      <c r="A125" s="200" t="s">
        <v>117</v>
      </c>
      <c r="B125" s="85">
        <f t="shared" si="46"/>
        <v>853.36789999999996</v>
      </c>
      <c r="C125" s="85">
        <f t="shared" si="47"/>
        <v>2279.5909999999999</v>
      </c>
      <c r="D125" s="85">
        <f t="shared" si="48"/>
        <v>7235.5622000000003</v>
      </c>
      <c r="E125" s="85">
        <f t="shared" si="49"/>
        <v>0</v>
      </c>
      <c r="F125" s="147">
        <f t="shared" si="50"/>
        <v>-0.62564867996057183</v>
      </c>
      <c r="G125" s="148" t="e">
        <f t="shared" si="51"/>
        <v>#DIV/0!</v>
      </c>
      <c r="I125" s="78">
        <f>D125/10</f>
        <v>723.55622000000005</v>
      </c>
    </row>
    <row r="126" spans="1:29" x14ac:dyDescent="0.15">
      <c r="A126" s="146" t="s">
        <v>220</v>
      </c>
      <c r="B126" s="85">
        <f t="shared" si="46"/>
        <v>310.24</v>
      </c>
      <c r="C126" s="85">
        <f t="shared" si="47"/>
        <v>344.03</v>
      </c>
      <c r="D126" s="85">
        <f t="shared" si="48"/>
        <v>2213.5362</v>
      </c>
      <c r="E126" s="85">
        <f t="shared" si="49"/>
        <v>1045.03</v>
      </c>
      <c r="F126" s="147">
        <f t="shared" si="50"/>
        <v>-9.8218178647210899E-2</v>
      </c>
      <c r="G126" s="147">
        <f t="shared" si="51"/>
        <v>1.1181556510339417</v>
      </c>
    </row>
    <row r="127" spans="1:29" x14ac:dyDescent="0.15">
      <c r="A127" s="146" t="s">
        <v>221</v>
      </c>
      <c r="B127" s="85">
        <f t="shared" si="46"/>
        <v>373.28</v>
      </c>
      <c r="C127" s="85">
        <f t="shared" si="47"/>
        <v>294.17</v>
      </c>
      <c r="D127" s="85">
        <f t="shared" si="48"/>
        <v>1389.65</v>
      </c>
      <c r="E127" s="85">
        <f t="shared" si="49"/>
        <v>877.67000000000007</v>
      </c>
      <c r="F127" s="148">
        <f t="shared" si="50"/>
        <v>0.26892613114865538</v>
      </c>
      <c r="G127" s="148">
        <f t="shared" si="51"/>
        <v>0.58333997971902873</v>
      </c>
    </row>
    <row r="128" spans="1:29" x14ac:dyDescent="0.15">
      <c r="A128" s="146" t="s">
        <v>222</v>
      </c>
      <c r="B128" s="85">
        <f t="shared" si="46"/>
        <v>647.1</v>
      </c>
      <c r="C128" s="85">
        <f t="shared" si="47"/>
        <v>590.55999999999995</v>
      </c>
      <c r="D128" s="85">
        <f t="shared" si="48"/>
        <v>2759.8508999999999</v>
      </c>
      <c r="E128" s="85">
        <f t="shared" si="49"/>
        <v>1757.45</v>
      </c>
      <c r="F128" s="148">
        <f t="shared" si="50"/>
        <v>9.5739636954754945E-2</v>
      </c>
      <c r="G128" s="148">
        <f t="shared" si="51"/>
        <v>0.57037235767731642</v>
      </c>
    </row>
    <row r="129" spans="1:8" x14ac:dyDescent="0.15">
      <c r="A129" s="146" t="s">
        <v>223</v>
      </c>
      <c r="B129" s="85">
        <f t="shared" si="46"/>
        <v>332.49</v>
      </c>
      <c r="C129" s="85">
        <f t="shared" si="47"/>
        <v>317.13</v>
      </c>
      <c r="D129" s="85">
        <f t="shared" si="48"/>
        <v>1481.81</v>
      </c>
      <c r="E129" s="85">
        <f t="shared" si="49"/>
        <v>956.37</v>
      </c>
      <c r="F129" s="148">
        <f t="shared" si="50"/>
        <v>4.8434395989026623E-2</v>
      </c>
      <c r="G129" s="147">
        <f t="shared" si="51"/>
        <v>0.54941079289396355</v>
      </c>
    </row>
    <row r="130" spans="1:8" x14ac:dyDescent="0.15">
      <c r="A130" s="150" t="s">
        <v>95</v>
      </c>
      <c r="B130" s="85">
        <f t="shared" si="46"/>
        <v>9976.9045999999998</v>
      </c>
      <c r="C130" s="85">
        <f t="shared" si="47"/>
        <v>14151.5839</v>
      </c>
      <c r="D130" s="85">
        <f t="shared" si="48"/>
        <v>55431.818200000002</v>
      </c>
      <c r="E130" s="85">
        <f t="shared" si="49"/>
        <v>21212.588400000001</v>
      </c>
      <c r="F130" s="148">
        <f t="shared" si="50"/>
        <v>-0.29499731828604714</v>
      </c>
      <c r="G130" s="148">
        <f>(D130-E130-D125-D124-C113)/E130</f>
        <v>0.8582942475798947</v>
      </c>
    </row>
    <row r="131" spans="1:8" x14ac:dyDescent="0.15">
      <c r="A131" s="38" t="s">
        <v>163</v>
      </c>
      <c r="B131" s="85">
        <f t="shared" ref="B131:B136" si="52">D106</f>
        <v>2397.33</v>
      </c>
      <c r="C131" s="85">
        <f t="shared" ref="C131:C136" si="53">C106</f>
        <v>3809.36</v>
      </c>
      <c r="D131" s="85">
        <f t="shared" ref="D131:D136" si="54">O106</f>
        <v>11807.08</v>
      </c>
      <c r="E131" s="85">
        <f t="shared" ref="E131:E136" si="55">P73</f>
        <v>6505.0661</v>
      </c>
      <c r="F131" s="148">
        <f t="shared" ref="F131:F136" si="56">(B131-C131)/C131</f>
        <v>-0.3706738139740009</v>
      </c>
      <c r="G131" s="148">
        <f>(D131-E131)/E131</f>
        <v>0.81505918902192243</v>
      </c>
      <c r="H131" s="78">
        <f>D131/9.6</f>
        <v>1229.9041666666667</v>
      </c>
    </row>
    <row r="132" spans="1:8" x14ac:dyDescent="0.15">
      <c r="A132" s="38" t="s">
        <v>164</v>
      </c>
      <c r="B132" s="85">
        <f t="shared" si="52"/>
        <v>1840.5011</v>
      </c>
      <c r="C132" s="85">
        <f t="shared" si="53"/>
        <v>2013.0066999999999</v>
      </c>
      <c r="D132" s="85">
        <f t="shared" si="54"/>
        <v>7109.857</v>
      </c>
      <c r="E132" s="85">
        <f t="shared" si="55"/>
        <v>4957.5219999999999</v>
      </c>
      <c r="F132" s="148">
        <f t="shared" si="56"/>
        <v>-8.5695492220666705E-2</v>
      </c>
      <c r="G132" s="148">
        <f>(D132-E132)/E132</f>
        <v>0.43415541070720415</v>
      </c>
      <c r="H132" s="78">
        <f>D132/4.8</f>
        <v>1481.2202083333334</v>
      </c>
    </row>
    <row r="133" spans="1:8" x14ac:dyDescent="0.15">
      <c r="A133" s="38" t="s">
        <v>165</v>
      </c>
      <c r="B133" s="85">
        <f t="shared" si="52"/>
        <v>296.17500000000001</v>
      </c>
      <c r="C133" s="85">
        <f t="shared" si="53"/>
        <v>302.65499999999997</v>
      </c>
      <c r="D133" s="85">
        <f t="shared" si="54"/>
        <v>1232.4349999999999</v>
      </c>
      <c r="E133" s="85">
        <f t="shared" si="55"/>
        <v>968.53</v>
      </c>
      <c r="F133" s="148">
        <f t="shared" si="56"/>
        <v>-2.1410516925211748E-2</v>
      </c>
      <c r="G133" s="148">
        <f>(D133-E133)/E133</f>
        <v>0.27247994383240581</v>
      </c>
      <c r="H133" s="78">
        <f>D133/2</f>
        <v>616.21749999999997</v>
      </c>
    </row>
    <row r="134" spans="1:8" x14ac:dyDescent="0.15">
      <c r="A134" s="38" t="s">
        <v>176</v>
      </c>
      <c r="B134" s="85">
        <f t="shared" si="52"/>
        <v>4534.0060999999996</v>
      </c>
      <c r="C134" s="85">
        <f t="shared" si="53"/>
        <v>6125.0217000000002</v>
      </c>
      <c r="D134" s="85">
        <f t="shared" si="54"/>
        <v>20149.371999999999</v>
      </c>
      <c r="E134" s="85">
        <f t="shared" si="55"/>
        <v>12431.1181</v>
      </c>
      <c r="F134" s="148">
        <f t="shared" si="56"/>
        <v>-0.25975672869861027</v>
      </c>
      <c r="G134" s="148">
        <f>(D134-E134)/E134</f>
        <v>0.6208817129651435</v>
      </c>
      <c r="H134" s="93"/>
    </row>
    <row r="135" spans="1:8" x14ac:dyDescent="0.15">
      <c r="A135" s="38" t="s">
        <v>180</v>
      </c>
      <c r="B135" s="85">
        <f t="shared" si="52"/>
        <v>0</v>
      </c>
      <c r="C135" s="85">
        <f t="shared" si="53"/>
        <v>0</v>
      </c>
      <c r="D135" s="85">
        <f t="shared" si="54"/>
        <v>0</v>
      </c>
      <c r="E135" s="85">
        <f t="shared" si="55"/>
        <v>0</v>
      </c>
      <c r="F135" s="148" t="e">
        <f t="shared" si="56"/>
        <v>#DIV/0!</v>
      </c>
      <c r="G135" s="148" t="e">
        <f>(D135-E135)/E135</f>
        <v>#DIV/0!</v>
      </c>
    </row>
    <row r="136" spans="1:8" x14ac:dyDescent="0.15">
      <c r="A136" s="224" t="s">
        <v>203</v>
      </c>
      <c r="B136" s="85">
        <f t="shared" si="52"/>
        <v>14510.9107</v>
      </c>
      <c r="C136" s="85">
        <f t="shared" si="53"/>
        <v>20276.605599999999</v>
      </c>
      <c r="D136" s="85">
        <f t="shared" si="54"/>
        <v>75581.190199999997</v>
      </c>
      <c r="E136" s="85">
        <f t="shared" si="55"/>
        <v>33643.7065</v>
      </c>
      <c r="F136" s="148">
        <f t="shared" si="56"/>
        <v>-0.28435207616801494</v>
      </c>
      <c r="G136" s="148">
        <f>(D136-E136-D125-D124-O113)/E136</f>
        <v>0.68080213456861527</v>
      </c>
    </row>
    <row r="139" spans="1:8" x14ac:dyDescent="0.15">
      <c r="E139" s="93">
        <f>SUM(D117:D119,O112,D122:D123,D126:D129)</f>
        <v>36399.057000000001</v>
      </c>
      <c r="F139" s="93">
        <f>E139-E130</f>
        <v>15186.4686</v>
      </c>
      <c r="G139" s="93">
        <f>D134-E134</f>
        <v>7718.2538999999997</v>
      </c>
    </row>
    <row r="140" spans="1:8" x14ac:dyDescent="0.15">
      <c r="C140" s="78" t="s">
        <v>170</v>
      </c>
      <c r="D140" s="192">
        <v>43101</v>
      </c>
    </row>
    <row r="141" spans="1:8" x14ac:dyDescent="0.15">
      <c r="B141" s="78" t="s">
        <v>224</v>
      </c>
      <c r="C141" s="78">
        <v>12524</v>
      </c>
      <c r="D141" s="78">
        <v>1012</v>
      </c>
    </row>
    <row r="142" spans="1:8" x14ac:dyDescent="0.15">
      <c r="C142" s="93">
        <f>SUM(AC57:AC59)</f>
        <v>53744.625799999994</v>
      </c>
      <c r="D142" s="93">
        <f>SUM(O90:O92)</f>
        <v>20577.677200000002</v>
      </c>
    </row>
    <row r="143" spans="1:8" x14ac:dyDescent="0.15">
      <c r="C143" s="109">
        <f>C141/C142</f>
        <v>0.23302795048951669</v>
      </c>
      <c r="D143" s="239">
        <f>D141/D142</f>
        <v>4.9179506032877213E-2</v>
      </c>
    </row>
  </sheetData>
  <mergeCells count="11">
    <mergeCell ref="C35:N35"/>
    <mergeCell ref="Q35:AB35"/>
    <mergeCell ref="C55:N55"/>
    <mergeCell ref="Q55:AB55"/>
    <mergeCell ref="C88:N88"/>
    <mergeCell ref="Q88:AB88"/>
    <mergeCell ref="C1:N1"/>
    <mergeCell ref="Q1:AB1"/>
    <mergeCell ref="C16:N16"/>
    <mergeCell ref="Q16:AB16"/>
    <mergeCell ref="A34:C34"/>
  </mergeCells>
  <phoneticPr fontId="3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6:O56"/>
  <sheetViews>
    <sheetView topLeftCell="A7" workbookViewId="0">
      <selection activeCell="M34" sqref="M34"/>
    </sheetView>
  </sheetViews>
  <sheetFormatPr defaultColWidth="9" defaultRowHeight="13.5" x14ac:dyDescent="0.15"/>
  <cols>
    <col min="2" max="15" width="11" customWidth="1"/>
  </cols>
  <sheetData>
    <row r="6" spans="1:15" ht="27" x14ac:dyDescent="0.15">
      <c r="A6" s="78"/>
      <c r="B6" s="191" t="s">
        <v>225</v>
      </c>
      <c r="C6" s="192" t="s">
        <v>84</v>
      </c>
      <c r="D6" s="192" t="s">
        <v>85</v>
      </c>
      <c r="E6" s="192" t="s">
        <v>86</v>
      </c>
      <c r="F6" s="192" t="s">
        <v>87</v>
      </c>
      <c r="G6" s="192" t="s">
        <v>88</v>
      </c>
      <c r="H6" s="192" t="s">
        <v>89</v>
      </c>
      <c r="I6" s="192" t="s">
        <v>90</v>
      </c>
      <c r="J6" s="192" t="s">
        <v>91</v>
      </c>
      <c r="K6" s="192" t="s">
        <v>92</v>
      </c>
      <c r="L6" s="192" t="s">
        <v>93</v>
      </c>
      <c r="M6" s="192" t="s">
        <v>94</v>
      </c>
      <c r="N6" s="191" t="s">
        <v>226</v>
      </c>
      <c r="O6" s="192" t="s">
        <v>84</v>
      </c>
    </row>
    <row r="7" spans="1:15" x14ac:dyDescent="0.15">
      <c r="A7" s="78" t="s">
        <v>227</v>
      </c>
      <c r="B7" s="193">
        <f>结算电量表!C70</f>
        <v>6104.7106999999996</v>
      </c>
      <c r="C7" s="193">
        <f>结算电量表!D70</f>
        <v>6372.0288999999993</v>
      </c>
      <c r="D7" s="193">
        <f>结算电量表!E70</f>
        <v>8735.8487999999998</v>
      </c>
      <c r="E7" s="193">
        <f>结算电量表!F70</f>
        <v>11198.252</v>
      </c>
      <c r="F7" s="193">
        <f>结算电量表!G70</f>
        <v>15656.7443</v>
      </c>
      <c r="G7" s="193">
        <f>结算电量表!H70</f>
        <v>11662.853299999999</v>
      </c>
      <c r="H7" s="193">
        <f>结算电量表!I70</f>
        <v>13695.955199999999</v>
      </c>
      <c r="I7" s="193">
        <f>结算电量表!J70</f>
        <v>13630.6525</v>
      </c>
      <c r="J7" s="193">
        <f>结算电量表!K70</f>
        <v>11292.9015</v>
      </c>
      <c r="K7" s="193">
        <f>结算电量表!L70</f>
        <v>12073.6176</v>
      </c>
      <c r="L7" s="193">
        <f>结算电量表!M70</f>
        <v>9958.5338000000011</v>
      </c>
      <c r="M7" s="193">
        <f>结算电量表!N70</f>
        <v>12586.602000000001</v>
      </c>
      <c r="N7" s="193">
        <f>结算电量表!C103</f>
        <v>14151.5839</v>
      </c>
      <c r="O7" s="193">
        <f>结算电量表!D103</f>
        <v>9976.9045999999998</v>
      </c>
    </row>
    <row r="8" spans="1:15" x14ac:dyDescent="0.15">
      <c r="N8">
        <v>9986</v>
      </c>
    </row>
    <row r="9" spans="1:15" x14ac:dyDescent="0.15">
      <c r="N9" s="195">
        <f>N7-N8</f>
        <v>4165.5838999999996</v>
      </c>
    </row>
    <row r="10" spans="1:15" x14ac:dyDescent="0.15">
      <c r="N10">
        <f>N9/N8</f>
        <v>0.41714238934508308</v>
      </c>
    </row>
    <row r="12" spans="1:15" ht="27" x14ac:dyDescent="0.15">
      <c r="A12" s="78"/>
      <c r="B12" s="191" t="s">
        <v>225</v>
      </c>
      <c r="C12" s="192" t="s">
        <v>84</v>
      </c>
      <c r="D12" s="192" t="s">
        <v>85</v>
      </c>
      <c r="E12" s="192" t="s">
        <v>86</v>
      </c>
      <c r="F12" s="192" t="s">
        <v>87</v>
      </c>
      <c r="G12" s="192" t="s">
        <v>88</v>
      </c>
      <c r="H12" s="192" t="s">
        <v>89</v>
      </c>
      <c r="I12" s="192" t="s">
        <v>90</v>
      </c>
      <c r="J12" s="192" t="s">
        <v>91</v>
      </c>
      <c r="K12" s="192" t="s">
        <v>92</v>
      </c>
      <c r="L12" s="192" t="s">
        <v>93</v>
      </c>
      <c r="M12" s="192" t="s">
        <v>94</v>
      </c>
      <c r="N12" s="191" t="s">
        <v>226</v>
      </c>
      <c r="O12" s="192"/>
    </row>
    <row r="13" spans="1:15" x14ac:dyDescent="0.15">
      <c r="A13" s="78" t="s">
        <v>228</v>
      </c>
      <c r="B13" s="194">
        <f>电价!C54</f>
        <v>0.57098744377103205</v>
      </c>
      <c r="C13" s="194">
        <f>电价!D54</f>
        <v>0.60381187936484704</v>
      </c>
      <c r="D13" s="194">
        <f>电价!E54</f>
        <v>0.59736573783357405</v>
      </c>
      <c r="E13" s="194">
        <f>电价!F54</f>
        <v>0.58172752021304497</v>
      </c>
      <c r="F13" s="194">
        <f>电价!G54</f>
        <v>0.571710744474619</v>
      </c>
      <c r="G13" s="194">
        <f>电价!H54</f>
        <v>0.552389807780306</v>
      </c>
      <c r="H13" s="194">
        <f>电价!I54</f>
        <v>0.53328112944497696</v>
      </c>
      <c r="I13" s="194">
        <f>电价!J54</f>
        <v>0.52888787236995505</v>
      </c>
      <c r="J13" s="194">
        <f>电价!K54</f>
        <v>0.57212011332302304</v>
      </c>
      <c r="K13" s="194">
        <f>电价!L54</f>
        <v>0.50779541031894904</v>
      </c>
      <c r="L13" s="194">
        <f>电价!M54</f>
        <v>0.52924134808632906</v>
      </c>
      <c r="M13" s="194">
        <f>电价!N54</f>
        <v>0.49974855554971698</v>
      </c>
      <c r="N13" s="194">
        <f>电价!C77</f>
        <v>0.52821971210220942</v>
      </c>
      <c r="O13" s="194"/>
    </row>
    <row r="22" spans="1:15" ht="27" x14ac:dyDescent="0.15">
      <c r="B22" s="191" t="s">
        <v>225</v>
      </c>
      <c r="C22" s="192" t="s">
        <v>84</v>
      </c>
      <c r="D22" s="192" t="s">
        <v>85</v>
      </c>
      <c r="E22" s="192" t="s">
        <v>86</v>
      </c>
      <c r="F22" s="192" t="s">
        <v>87</v>
      </c>
      <c r="G22" s="192" t="s">
        <v>88</v>
      </c>
      <c r="H22" s="192" t="s">
        <v>89</v>
      </c>
      <c r="I22" s="192" t="s">
        <v>90</v>
      </c>
      <c r="J22" s="192" t="s">
        <v>91</v>
      </c>
      <c r="K22" s="192" t="s">
        <v>92</v>
      </c>
      <c r="L22" s="192" t="s">
        <v>93</v>
      </c>
      <c r="M22" s="192" t="s">
        <v>94</v>
      </c>
      <c r="N22" s="191" t="s">
        <v>226</v>
      </c>
      <c r="O22" s="192"/>
    </row>
    <row r="23" spans="1:15" x14ac:dyDescent="0.15">
      <c r="A23" t="s">
        <v>229</v>
      </c>
      <c r="B23" s="195">
        <f>营业总收入!C56</f>
        <v>2808.9637499999999</v>
      </c>
      <c r="C23" s="195">
        <f>营业总收入!D56</f>
        <v>3178.0728939999999</v>
      </c>
      <c r="D23" s="195">
        <f>营业总收入!E56</f>
        <v>4418.4544560000004</v>
      </c>
      <c r="E23" s="195">
        <f>营业总收入!F56</f>
        <v>4969.8667569999998</v>
      </c>
      <c r="F23" s="195">
        <f>营业总收入!G56</f>
        <v>6385.4931329999899</v>
      </c>
      <c r="G23" s="195">
        <f>营业总收入!H56</f>
        <v>4502.0067499999996</v>
      </c>
      <c r="H23" s="195">
        <f>营业总收入!I56</f>
        <v>5471.2076189999998</v>
      </c>
      <c r="I23" s="195">
        <f>营业总收入!J56</f>
        <v>5543.5024309999899</v>
      </c>
      <c r="J23" s="195">
        <f>营业总收入!K56</f>
        <v>4927.7342900000003</v>
      </c>
      <c r="K23" s="195">
        <f>营业总收入!L56</f>
        <v>5230.2430779999904</v>
      </c>
      <c r="L23" s="195">
        <f>营业总收入!M56</f>
        <v>4538.7743440000004</v>
      </c>
      <c r="M23" s="195">
        <f>营业总收入!N56</f>
        <v>5269.3576159999902</v>
      </c>
      <c r="N23" s="195">
        <f>营业总收入!C85</f>
        <v>6177.2493959999892</v>
      </c>
    </row>
    <row r="24" spans="1:15" x14ac:dyDescent="0.15">
      <c r="A24" t="s">
        <v>122</v>
      </c>
      <c r="B24" s="195">
        <f>营业总成本!C16</f>
        <v>4171.3627100000003</v>
      </c>
      <c r="C24" s="195">
        <f>营业总成本!D16</f>
        <v>3737.9540270000002</v>
      </c>
      <c r="D24" s="195">
        <f>营业总成本!E16</f>
        <v>4064.1322709999999</v>
      </c>
      <c r="E24" s="195">
        <f>营业总成本!F16</f>
        <v>4285.2561249999999</v>
      </c>
      <c r="F24" s="195">
        <f>营业总成本!G16</f>
        <v>4261.0316579999999</v>
      </c>
      <c r="G24" s="195">
        <f>营业总成本!H16</f>
        <v>4138.1782730000004</v>
      </c>
      <c r="H24" s="195">
        <f>营业总成本!I16</f>
        <v>4480.5217599999996</v>
      </c>
      <c r="I24" s="195">
        <f>营业总成本!J16</f>
        <v>4478.6790250000004</v>
      </c>
      <c r="J24" s="195">
        <f>营业总成本!K16</f>
        <v>4512.9879959999998</v>
      </c>
      <c r="K24" s="195">
        <f>营业总成本!L16</f>
        <v>5093.2378120000003</v>
      </c>
      <c r="L24" s="195">
        <f>营业总成本!M16</f>
        <v>5115.2369349999899</v>
      </c>
      <c r="M24" s="195">
        <f>营业总成本!N16</f>
        <v>7911.0824029999903</v>
      </c>
      <c r="N24" s="195">
        <f>营业总成本!C37</f>
        <v>5382.3266559999993</v>
      </c>
    </row>
    <row r="25" spans="1:15" x14ac:dyDescent="0.15">
      <c r="A25" t="s">
        <v>141</v>
      </c>
      <c r="B25" s="195">
        <f>利润!C67</f>
        <v>-1362.39896</v>
      </c>
      <c r="C25" s="195">
        <f>利润!D67</f>
        <v>-559.88113300000009</v>
      </c>
      <c r="D25" s="195">
        <f>利润!E67</f>
        <v>354.32218500000005</v>
      </c>
      <c r="E25" s="195">
        <f>利润!F67</f>
        <v>684.61063200000001</v>
      </c>
      <c r="F25" s="195">
        <f>利润!G67</f>
        <v>2124.4614750000028</v>
      </c>
      <c r="G25" s="195">
        <f>利润!H67</f>
        <v>363.82847699999388</v>
      </c>
      <c r="H25" s="195">
        <f>利润!I67</f>
        <v>990.68585900000289</v>
      </c>
      <c r="I25" s="202">
        <f>利润!J67</f>
        <v>1147.5355369999968</v>
      </c>
      <c r="J25" s="202">
        <f>利润!K67</f>
        <v>439.13661500000143</v>
      </c>
      <c r="K25" s="195">
        <f>利润!L67</f>
        <v>137.00526600000128</v>
      </c>
      <c r="L25" s="202">
        <f>利润!M67</f>
        <v>-694.04528799999855</v>
      </c>
      <c r="M25" s="202">
        <f>利润!N67</f>
        <v>-2514.549276000002</v>
      </c>
      <c r="N25" s="195">
        <f>利润!C92</f>
        <v>794.92273999999907</v>
      </c>
    </row>
    <row r="26" spans="1:15" x14ac:dyDescent="0.15">
      <c r="N26" s="195"/>
    </row>
    <row r="27" spans="1:15" x14ac:dyDescent="0.15">
      <c r="I27" s="195"/>
      <c r="J27" s="195"/>
      <c r="K27" s="195"/>
      <c r="L27" s="195"/>
      <c r="M27" s="195"/>
    </row>
    <row r="32" spans="1:15" ht="27" x14ac:dyDescent="0.15">
      <c r="B32" s="191" t="s">
        <v>225</v>
      </c>
      <c r="C32" s="192" t="s">
        <v>84</v>
      </c>
      <c r="D32" s="192" t="s">
        <v>85</v>
      </c>
      <c r="E32" s="192" t="s">
        <v>86</v>
      </c>
      <c r="F32" s="192" t="s">
        <v>87</v>
      </c>
      <c r="G32" s="192" t="s">
        <v>88</v>
      </c>
      <c r="H32" s="192" t="s">
        <v>89</v>
      </c>
      <c r="I32" s="192" t="s">
        <v>90</v>
      </c>
      <c r="J32" s="192" t="s">
        <v>91</v>
      </c>
      <c r="K32" s="192" t="s">
        <v>92</v>
      </c>
      <c r="L32" s="192" t="s">
        <v>93</v>
      </c>
      <c r="M32" s="192" t="s">
        <v>94</v>
      </c>
      <c r="N32" s="191" t="s">
        <v>226</v>
      </c>
      <c r="O32" s="192" t="s">
        <v>84</v>
      </c>
    </row>
    <row r="33" spans="1:15" hidden="1" x14ac:dyDescent="0.15">
      <c r="A33" t="s">
        <v>230</v>
      </c>
      <c r="B33" s="195">
        <f>交易电量!C36</f>
        <v>2979.8214000000003</v>
      </c>
      <c r="C33" s="195">
        <f>交易电量!D36</f>
        <v>2644.6196</v>
      </c>
      <c r="D33" s="195">
        <f>交易电量!E36</f>
        <v>3155.7559999999999</v>
      </c>
      <c r="E33" s="195">
        <f>交易电量!F36</f>
        <v>5747.8205000000007</v>
      </c>
      <c r="F33" s="195">
        <f>交易电量!G36</f>
        <v>4895.6306999999997</v>
      </c>
      <c r="G33" s="195">
        <f>交易电量!H36</f>
        <v>5089.1101000000008</v>
      </c>
      <c r="H33" s="195">
        <f>交易电量!I36</f>
        <v>6132.7199999999993</v>
      </c>
      <c r="I33" s="195">
        <f>交易电量!J36</f>
        <v>4250.2205000000004</v>
      </c>
      <c r="J33" s="195">
        <f>交易电量!K36</f>
        <v>2944.14</v>
      </c>
      <c r="K33" s="195">
        <f>交易电量!L36</f>
        <v>5142.12</v>
      </c>
      <c r="L33" s="195">
        <f>交易电量!M36</f>
        <v>6056.6800000000012</v>
      </c>
      <c r="M33" s="195">
        <f>交易电量!N36</f>
        <v>5571.38</v>
      </c>
      <c r="N33" s="195">
        <f>交易电量!C58</f>
        <v>4108.7130000000006</v>
      </c>
      <c r="O33" s="195">
        <f>交易电量!D58</f>
        <v>3466.2089000000005</v>
      </c>
    </row>
    <row r="34" spans="1:15" x14ac:dyDescent="0.15">
      <c r="A34" t="s">
        <v>173</v>
      </c>
      <c r="B34" s="196">
        <f>电价!Q57</f>
        <v>0.11941859800205901</v>
      </c>
      <c r="C34" s="196">
        <f>电价!R57</f>
        <v>0.13634897452290101</v>
      </c>
      <c r="D34" s="196">
        <f>电价!S57</f>
        <v>0.11662547229082</v>
      </c>
      <c r="E34" s="196">
        <f>电价!T57</f>
        <v>0.111729894375054</v>
      </c>
      <c r="F34" s="196">
        <f>电价!U57</f>
        <v>0.111247797320814</v>
      </c>
      <c r="G34" s="196">
        <f>电价!V57</f>
        <v>0.151242685456769</v>
      </c>
      <c r="H34" s="196">
        <f>电价!W57</f>
        <v>0.14822813096019999</v>
      </c>
      <c r="I34" s="196">
        <f>电价!X57</f>
        <v>0.18070686872312999</v>
      </c>
      <c r="J34" s="196">
        <f>电价!Y57</f>
        <v>0.187649526046066</v>
      </c>
      <c r="K34" s="196">
        <f>电价!Z57</f>
        <v>0.214097914089911</v>
      </c>
      <c r="L34" s="196">
        <f>电价!AA57</f>
        <v>0.209238320516662</v>
      </c>
      <c r="M34" s="196">
        <f>电价!AB57</f>
        <v>0.244857565525258</v>
      </c>
      <c r="N34" s="196">
        <f>电价!Q80</f>
        <v>0.17678442498649499</v>
      </c>
      <c r="O34" s="196">
        <f>电价!R80</f>
        <v>0.19217264620353799</v>
      </c>
    </row>
    <row r="35" spans="1:15" x14ac:dyDescent="0.15">
      <c r="A35" t="s">
        <v>174</v>
      </c>
      <c r="B35" s="196">
        <f>电价!Q58</f>
        <v>0.23</v>
      </c>
      <c r="C35" s="196">
        <f>电价!R58</f>
        <v>0.216604683677036</v>
      </c>
      <c r="D35" s="196">
        <f>电价!S58</f>
        <v>0.20343401331910199</v>
      </c>
      <c r="E35" s="196">
        <f>电价!T58</f>
        <v>0.21977830249008801</v>
      </c>
      <c r="F35" s="196">
        <f>电价!U58</f>
        <v>0.22202612250905601</v>
      </c>
      <c r="G35" s="196">
        <f>电价!V58</f>
        <v>0.228689404294867</v>
      </c>
      <c r="H35" s="196">
        <f>电价!W58</f>
        <v>0.21766273487451401</v>
      </c>
      <c r="I35" s="196">
        <f>电价!X58</f>
        <v>0.219249009422392</v>
      </c>
      <c r="J35" s="196">
        <f>电价!Y58</f>
        <v>0.226860217453908</v>
      </c>
      <c r="K35" s="196">
        <f>电价!Z58</f>
        <v>0.17879264043898699</v>
      </c>
      <c r="L35" s="196">
        <f>电价!AA58</f>
        <v>0.232194090656859</v>
      </c>
      <c r="M35" s="196">
        <f>电价!AB58</f>
        <v>0.15122804769197001</v>
      </c>
      <c r="N35" s="196">
        <f>电价!Q81</f>
        <v>0.15003953928823099</v>
      </c>
      <c r="O35" s="196">
        <f>电价!R81</f>
        <v>0.19106413609782</v>
      </c>
    </row>
    <row r="36" spans="1:15" x14ac:dyDescent="0.15">
      <c r="A36" t="s">
        <v>175</v>
      </c>
      <c r="B36" s="196">
        <f>电价!Q59</f>
        <v>7.8303808612940506E-2</v>
      </c>
      <c r="C36" s="196">
        <f>电价!R59</f>
        <v>7.7664963910390794E-2</v>
      </c>
      <c r="D36" s="196">
        <f>电价!S59</f>
        <v>6.2049590306995098E-2</v>
      </c>
      <c r="E36" s="196">
        <f>电价!T59</f>
        <v>5.6217765976009401E-2</v>
      </c>
      <c r="F36" s="196">
        <f>电价!U59</f>
        <v>5.5736939778551299E-2</v>
      </c>
      <c r="G36" s="196">
        <f>电价!V59</f>
        <v>0.11660636139300901</v>
      </c>
      <c r="H36" s="196">
        <f>电价!W59</f>
        <v>9.9675952509868201E-2</v>
      </c>
      <c r="I36" s="196">
        <f>电价!X59</f>
        <v>0.10173400843802</v>
      </c>
      <c r="J36" s="196">
        <f>电价!Y59</f>
        <v>0.11993375068202899</v>
      </c>
      <c r="K36" s="196">
        <f>电价!Z59</f>
        <v>9.9319064587663403E-2</v>
      </c>
      <c r="L36" s="196">
        <f>电价!AA59</f>
        <v>8.2787979871666001E-2</v>
      </c>
      <c r="M36" s="196">
        <f>电价!AB59</f>
        <v>7.0736201184628297E-2</v>
      </c>
      <c r="N36" s="196">
        <f>电价!Q82</f>
        <v>3.7202300992789802E-2</v>
      </c>
      <c r="O36" s="196">
        <f>电价!R82</f>
        <v>2.8840000000000001E-2</v>
      </c>
    </row>
    <row r="37" spans="1:15" x14ac:dyDescent="0.15">
      <c r="A37" t="s">
        <v>177</v>
      </c>
      <c r="B37" s="196">
        <f>电价!Q60</f>
        <v>2.7349999999999999E-2</v>
      </c>
      <c r="C37" s="196">
        <f>电价!R60</f>
        <v>5.8584299719888003E-2</v>
      </c>
      <c r="D37" s="196">
        <f>电价!S60</f>
        <v>8.2116666666666699E-2</v>
      </c>
      <c r="E37" s="196">
        <f>电价!T60</f>
        <v>5.8329214137214098E-2</v>
      </c>
      <c r="F37" s="196">
        <f>电价!U60</f>
        <v>5.0625133928571403E-2</v>
      </c>
      <c r="G37" s="196">
        <f>电价!V60</f>
        <v>5.81117063313875E-2</v>
      </c>
      <c r="H37" s="196">
        <f>电价!W60</f>
        <v>4.48360163339383E-2</v>
      </c>
      <c r="I37" s="196">
        <f>电价!X60</f>
        <v>7.4966021194605006E-2</v>
      </c>
      <c r="J37" s="196">
        <f>电价!Y60</f>
        <v>8.5176164658634507E-2</v>
      </c>
      <c r="K37" s="196">
        <f>电价!Z60</f>
        <v>6.3727945205479405E-2</v>
      </c>
      <c r="L37" s="196">
        <f>电价!AA60</f>
        <v>2.3433812982296898E-2</v>
      </c>
      <c r="M37" s="196">
        <f>电价!AB60</f>
        <v>2.5745360501567401E-2</v>
      </c>
      <c r="N37" s="196">
        <f>电价!Q83</f>
        <v>5.97633915892955E-2</v>
      </c>
      <c r="O37" s="196">
        <f>电价!R83</f>
        <v>5.7208713099630999E-2</v>
      </c>
    </row>
    <row r="38" spans="1:15" x14ac:dyDescent="0.15">
      <c r="A38" t="s">
        <v>231</v>
      </c>
      <c r="B38" s="197">
        <f>电价!Q54</f>
        <v>0.104</v>
      </c>
      <c r="C38" s="197">
        <f>电价!R54</f>
        <v>0.100157915361438</v>
      </c>
      <c r="D38" s="197">
        <f>电价!S54</f>
        <v>0.10256872117282401</v>
      </c>
      <c r="E38" s="197">
        <f>电价!T54</f>
        <v>9.9162880552271904E-2</v>
      </c>
      <c r="F38" s="197">
        <f>电价!U54</f>
        <v>9.6852692400679494E-2</v>
      </c>
      <c r="G38" s="197">
        <f>电价!V54</f>
        <v>0.149979381666071</v>
      </c>
      <c r="H38" s="197">
        <f>电价!W54</f>
        <v>0.14379986012236401</v>
      </c>
      <c r="I38" s="197">
        <f>电价!X54</f>
        <v>0.16907014097046599</v>
      </c>
      <c r="J38" s="197">
        <f>电价!Y54</f>
        <v>0.162059373391819</v>
      </c>
      <c r="K38" s="197">
        <f>电价!Z54</f>
        <v>0.17236234446353699</v>
      </c>
      <c r="L38" s="197">
        <f>电价!AA54</f>
        <v>0.17925383096820199</v>
      </c>
      <c r="M38" s="197">
        <f>电价!AB54</f>
        <v>0.18576926780667</v>
      </c>
      <c r="N38" s="197">
        <f>电价!Q77</f>
        <v>0.15024000000000001</v>
      </c>
      <c r="O38" s="197">
        <f>电价!R77</f>
        <v>0.15575</v>
      </c>
    </row>
    <row r="40" spans="1:15" x14ac:dyDescent="0.15">
      <c r="A40" t="s">
        <v>119</v>
      </c>
      <c r="F40" t="s">
        <v>232</v>
      </c>
      <c r="H40" t="s">
        <v>233</v>
      </c>
    </row>
    <row r="41" spans="1:15" x14ac:dyDescent="0.15">
      <c r="A41" s="145" t="s">
        <v>213</v>
      </c>
      <c r="B41" s="145" t="s">
        <v>183</v>
      </c>
      <c r="C41" s="145" t="s">
        <v>234</v>
      </c>
      <c r="D41" s="145" t="s">
        <v>111</v>
      </c>
      <c r="E41" s="145" t="s">
        <v>112</v>
      </c>
      <c r="F41" s="198" t="s">
        <v>114</v>
      </c>
      <c r="G41" s="198" t="s">
        <v>235</v>
      </c>
      <c r="H41" s="198" t="s">
        <v>114</v>
      </c>
      <c r="I41" s="198" t="s">
        <v>235</v>
      </c>
    </row>
    <row r="42" spans="1:15" x14ac:dyDescent="0.15">
      <c r="A42" s="146" t="s">
        <v>214</v>
      </c>
      <c r="B42" s="85">
        <f>结算电量表!D90</f>
        <v>1464.63</v>
      </c>
      <c r="C42" s="85">
        <f>结算电量表!D57</f>
        <v>985.03219999999999</v>
      </c>
      <c r="D42" s="85">
        <f>结算电量表!O90</f>
        <v>6310.4796000000006</v>
      </c>
      <c r="E42" s="85">
        <f>结算电量表!P57</f>
        <v>3568.7692999999999</v>
      </c>
      <c r="F42" s="156">
        <f>G42/C42</f>
        <v>0.48688540334011426</v>
      </c>
      <c r="G42" s="199">
        <f>B42-C42</f>
        <v>479.59780000000012</v>
      </c>
      <c r="H42" s="156">
        <f>I42/E42</f>
        <v>0.76825092056244726</v>
      </c>
      <c r="I42" s="76">
        <f>D42-E42</f>
        <v>2741.7103000000006</v>
      </c>
    </row>
    <row r="43" spans="1:15" x14ac:dyDescent="0.15">
      <c r="A43" s="146" t="s">
        <v>215</v>
      </c>
      <c r="B43" s="85">
        <f>结算电量表!D91</f>
        <v>981.6893</v>
      </c>
      <c r="C43" s="85">
        <f>结算电量表!D58</f>
        <v>973.94</v>
      </c>
      <c r="D43" s="85">
        <f>结算电量表!O91</f>
        <v>5010.7684000000008</v>
      </c>
      <c r="E43" s="85">
        <f>结算电量表!P58</f>
        <v>2942.2139999999999</v>
      </c>
      <c r="F43" s="156">
        <f t="shared" ref="F43:F55" si="0">G43/C43</f>
        <v>7.9566503070003774E-3</v>
      </c>
      <c r="G43" s="76">
        <f>B43-C43</f>
        <v>7.7492999999999483</v>
      </c>
      <c r="H43" s="156">
        <f t="shared" ref="H43:H55" si="1">I43/E43</f>
        <v>0.70306048438352919</v>
      </c>
      <c r="I43" s="76">
        <f t="shared" ref="I43:I55" si="2">D43-E43</f>
        <v>2068.5544000000009</v>
      </c>
    </row>
    <row r="44" spans="1:15" x14ac:dyDescent="0.15">
      <c r="A44" s="146" t="s">
        <v>216</v>
      </c>
      <c r="B44" s="85">
        <f>结算电量表!D92</f>
        <v>1894.74</v>
      </c>
      <c r="C44" s="85">
        <f>结算电量表!D59</f>
        <v>1306.4630999999999</v>
      </c>
      <c r="D44" s="85">
        <f>结算电量表!O92</f>
        <v>9256.4292000000005</v>
      </c>
      <c r="E44" s="85">
        <f>结算电量表!P59</f>
        <v>5383.4276</v>
      </c>
      <c r="F44" s="156">
        <f t="shared" si="0"/>
        <v>0.4502820630754899</v>
      </c>
      <c r="G44" s="199">
        <f>B44-C44</f>
        <v>588.27690000000007</v>
      </c>
      <c r="H44" s="156">
        <f t="shared" si="1"/>
        <v>0.7194304238437238</v>
      </c>
      <c r="I44" s="76">
        <f t="shared" si="2"/>
        <v>3873.0016000000005</v>
      </c>
    </row>
    <row r="45" spans="1:15" x14ac:dyDescent="0.15">
      <c r="A45" s="146" t="s">
        <v>217</v>
      </c>
      <c r="B45" s="85">
        <f>结算电量表!D93</f>
        <v>1512.7</v>
      </c>
      <c r="C45" s="85">
        <f>结算电量表!D60</f>
        <v>1141.9749999999999</v>
      </c>
      <c r="D45" s="85">
        <f>结算电量表!O93</f>
        <v>7299.9004000000004</v>
      </c>
      <c r="E45" s="85">
        <f>结算电量表!P60</f>
        <v>2623.3163</v>
      </c>
      <c r="F45" s="156">
        <f t="shared" si="0"/>
        <v>-0.41486022023249186</v>
      </c>
      <c r="G45" s="199">
        <f>B45-结算电量表!D113-C45</f>
        <v>-473.75999999999988</v>
      </c>
      <c r="H45" s="156">
        <f t="shared" si="1"/>
        <v>1.7826992879204082</v>
      </c>
      <c r="I45" s="76">
        <f t="shared" si="2"/>
        <v>4676.5841</v>
      </c>
    </row>
    <row r="46" spans="1:15" hidden="1" x14ac:dyDescent="0.15">
      <c r="A46" s="146" t="s">
        <v>152</v>
      </c>
      <c r="B46" s="85">
        <f>结算电量表!D94</f>
        <v>2460</v>
      </c>
      <c r="C46" s="85">
        <f>结算电量表!D61</f>
        <v>575.35349999999994</v>
      </c>
      <c r="D46" s="85">
        <f>结算电量表!O94</f>
        <v>19709.393499999998</v>
      </c>
      <c r="E46" s="85">
        <f>结算电量表!P61</f>
        <v>2058.3433</v>
      </c>
      <c r="F46" s="156">
        <f t="shared" si="0"/>
        <v>3.2756322851951021</v>
      </c>
      <c r="G46" s="76">
        <f>B46-C46</f>
        <v>1884.6465000000001</v>
      </c>
      <c r="H46" s="156">
        <f t="shared" si="1"/>
        <v>8.575367481216567</v>
      </c>
      <c r="I46" s="76">
        <f t="shared" si="2"/>
        <v>17651.050199999998</v>
      </c>
    </row>
    <row r="47" spans="1:15" x14ac:dyDescent="0.15">
      <c r="A47" s="146" t="s">
        <v>218</v>
      </c>
      <c r="B47" s="85">
        <f>结算电量表!D95</f>
        <v>694.49839999999995</v>
      </c>
      <c r="C47" s="85">
        <f>结算电量表!D62</f>
        <v>478.5</v>
      </c>
      <c r="D47" s="85">
        <f>结算电量表!O95</f>
        <v>3457.1986999999999</v>
      </c>
      <c r="E47" s="85">
        <f>结算电量表!P62</f>
        <v>1616.6280000000002</v>
      </c>
      <c r="F47" s="156">
        <f t="shared" si="0"/>
        <v>0.45140731452455579</v>
      </c>
      <c r="G47" s="76">
        <f>B47-C47</f>
        <v>215.99839999999995</v>
      </c>
      <c r="H47" s="156">
        <f t="shared" si="1"/>
        <v>1.1385245708969531</v>
      </c>
      <c r="I47" s="76">
        <f t="shared" si="2"/>
        <v>1840.5706999999998</v>
      </c>
    </row>
    <row r="48" spans="1:15" x14ac:dyDescent="0.15">
      <c r="A48" s="200" t="s">
        <v>219</v>
      </c>
      <c r="B48" s="85">
        <f>结算电量表!D96</f>
        <v>150.24549999999999</v>
      </c>
      <c r="C48" s="85">
        <f>结算电量表!D63</f>
        <v>96.853499999999997</v>
      </c>
      <c r="D48" s="85">
        <f>结算电量表!O96</f>
        <v>1162.8353</v>
      </c>
      <c r="E48" s="85">
        <f>结算电量表!P63</f>
        <v>441.71320000000003</v>
      </c>
      <c r="F48" s="156">
        <f t="shared" si="0"/>
        <v>0.55126557119773678</v>
      </c>
      <c r="G48" s="76">
        <f>B48-C48</f>
        <v>53.391999999999996</v>
      </c>
      <c r="H48" s="156">
        <f t="shared" si="1"/>
        <v>1.6325572792481635</v>
      </c>
      <c r="I48" s="76">
        <f t="shared" si="2"/>
        <v>721.12209999999993</v>
      </c>
    </row>
    <row r="49" spans="1:9" x14ac:dyDescent="0.15">
      <c r="A49" s="200" t="s">
        <v>116</v>
      </c>
      <c r="B49" s="85">
        <f>结算电量表!D97</f>
        <v>761.92349999999999</v>
      </c>
      <c r="C49" s="85">
        <f>结算电量表!D64</f>
        <v>0</v>
      </c>
      <c r="D49" s="85">
        <f>结算电量表!O97</f>
        <v>7853.8336999999992</v>
      </c>
      <c r="E49" s="85">
        <f>结算电量表!P64</f>
        <v>0</v>
      </c>
      <c r="F49" s="156"/>
      <c r="G49" s="76"/>
      <c r="H49" s="156" t="e">
        <f t="shared" si="1"/>
        <v>#DIV/0!</v>
      </c>
      <c r="I49" s="76">
        <f t="shared" si="2"/>
        <v>7853.8336999999992</v>
      </c>
    </row>
    <row r="50" spans="1:9" x14ac:dyDescent="0.15">
      <c r="A50" s="200" t="s">
        <v>117</v>
      </c>
      <c r="B50" s="85">
        <f>结算电量表!D98</f>
        <v>853.36789999999996</v>
      </c>
      <c r="C50" s="85">
        <f>结算电量表!D65</f>
        <v>0</v>
      </c>
      <c r="D50" s="85">
        <f>结算电量表!O98</f>
        <v>7235.5622000000003</v>
      </c>
      <c r="E50" s="85">
        <f>结算电量表!P65</f>
        <v>0</v>
      </c>
      <c r="F50" s="156"/>
      <c r="G50" s="76"/>
      <c r="H50" s="156" t="e">
        <f t="shared" si="1"/>
        <v>#DIV/0!</v>
      </c>
      <c r="I50" s="76">
        <f t="shared" si="2"/>
        <v>7235.5622000000003</v>
      </c>
    </row>
    <row r="51" spans="1:9" x14ac:dyDescent="0.15">
      <c r="A51" s="146" t="s">
        <v>220</v>
      </c>
      <c r="B51" s="85">
        <f>结算电量表!D99</f>
        <v>310.24</v>
      </c>
      <c r="C51" s="85">
        <f>结算电量表!D66</f>
        <v>260.6651</v>
      </c>
      <c r="D51" s="85">
        <f>结算电量表!O99</f>
        <v>2213.5362</v>
      </c>
      <c r="E51" s="85">
        <f>结算电量表!P66</f>
        <v>1045.03</v>
      </c>
      <c r="F51" s="156">
        <f t="shared" si="0"/>
        <v>0.19018618142589866</v>
      </c>
      <c r="G51" s="76">
        <f>B51-C51</f>
        <v>49.574900000000014</v>
      </c>
      <c r="H51" s="156">
        <f t="shared" si="1"/>
        <v>1.1181556510339417</v>
      </c>
      <c r="I51" s="76">
        <f t="shared" si="2"/>
        <v>1168.5062</v>
      </c>
    </row>
    <row r="52" spans="1:9" x14ac:dyDescent="0.15">
      <c r="A52" s="146" t="s">
        <v>221</v>
      </c>
      <c r="B52" s="85">
        <f>结算电量表!D100</f>
        <v>373.28</v>
      </c>
      <c r="C52" s="85">
        <f>结算电量表!D67</f>
        <v>255.86</v>
      </c>
      <c r="D52" s="85">
        <f>结算电量表!O100</f>
        <v>1389.65</v>
      </c>
      <c r="E52" s="85">
        <f>结算电量表!P67</f>
        <v>877.67000000000007</v>
      </c>
      <c r="F52" s="156">
        <f t="shared" si="0"/>
        <v>0.45892284843273645</v>
      </c>
      <c r="G52" s="76">
        <f>B52-C52</f>
        <v>117.41999999999996</v>
      </c>
      <c r="H52" s="156">
        <f t="shared" si="1"/>
        <v>0.58333997971902873</v>
      </c>
      <c r="I52" s="76">
        <f t="shared" si="2"/>
        <v>511.98</v>
      </c>
    </row>
    <row r="53" spans="1:9" x14ac:dyDescent="0.15">
      <c r="A53" s="146" t="s">
        <v>222</v>
      </c>
      <c r="B53" s="85">
        <f>结算电量表!D101</f>
        <v>647.1</v>
      </c>
      <c r="C53" s="85">
        <f>结算电量表!D68</f>
        <v>559</v>
      </c>
      <c r="D53" s="85">
        <f>结算电量表!O101</f>
        <v>2759.8508999999999</v>
      </c>
      <c r="E53" s="85">
        <f>结算电量表!P68</f>
        <v>1757.45</v>
      </c>
      <c r="F53" s="156">
        <f t="shared" si="0"/>
        <v>0.15760286225402509</v>
      </c>
      <c r="G53" s="76">
        <f>B53-C53</f>
        <v>88.100000000000023</v>
      </c>
      <c r="H53" s="156">
        <f t="shared" si="1"/>
        <v>0.57037235767731642</v>
      </c>
      <c r="I53" s="76">
        <f t="shared" si="2"/>
        <v>1002.4008999999999</v>
      </c>
    </row>
    <row r="54" spans="1:9" x14ac:dyDescent="0.15">
      <c r="A54" s="146" t="s">
        <v>223</v>
      </c>
      <c r="B54" s="85">
        <f>结算电量表!D102</f>
        <v>332.49</v>
      </c>
      <c r="C54" s="85">
        <f>结算电量表!D69</f>
        <v>313.74</v>
      </c>
      <c r="D54" s="85">
        <f>结算电量表!O102</f>
        <v>1481.81</v>
      </c>
      <c r="E54" s="85">
        <f>结算电量表!P69</f>
        <v>956.37</v>
      </c>
      <c r="F54" s="156">
        <f t="shared" si="0"/>
        <v>5.9762860967680242E-2</v>
      </c>
      <c r="G54" s="76">
        <f>B54-C54</f>
        <v>18.75</v>
      </c>
      <c r="H54" s="156">
        <f t="shared" si="1"/>
        <v>0.54941079289396355</v>
      </c>
      <c r="I54" s="76">
        <f t="shared" si="2"/>
        <v>525.43999999999994</v>
      </c>
    </row>
    <row r="55" spans="1:9" x14ac:dyDescent="0.15">
      <c r="A55" s="150" t="s">
        <v>95</v>
      </c>
      <c r="B55" s="85">
        <f>结算电量表!D103</f>
        <v>9976.9045999999998</v>
      </c>
      <c r="C55" s="85">
        <f>结算电量表!D70</f>
        <v>6372.0288999999993</v>
      </c>
      <c r="D55" s="85">
        <f>结算电量表!O103</f>
        <v>55431.818200000002</v>
      </c>
      <c r="E55" s="85">
        <f>结算电量表!P70</f>
        <v>21212.588400000001</v>
      </c>
      <c r="F55" s="156">
        <f t="shared" si="0"/>
        <v>0.17970717301674524</v>
      </c>
      <c r="G55" s="76">
        <f>B55-B50-B49-B56-C55</f>
        <v>1145.0993000000008</v>
      </c>
      <c r="H55" s="156">
        <f t="shared" si="1"/>
        <v>1.6131567329143104</v>
      </c>
      <c r="I55" s="76">
        <f t="shared" si="2"/>
        <v>34219.229800000001</v>
      </c>
    </row>
    <row r="56" spans="1:9" x14ac:dyDescent="0.15">
      <c r="A56" s="201" t="s">
        <v>115</v>
      </c>
      <c r="B56" s="195">
        <f>结算电量表!D113</f>
        <v>844.48500000000001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98"/>
  <sheetViews>
    <sheetView workbookViewId="0">
      <pane xSplit="2" ySplit="2" topLeftCell="C48" activePane="bottomRight" state="frozenSplit"/>
      <selection pane="topRight"/>
      <selection pane="bottomLeft"/>
      <selection pane="bottomRight" activeCell="L71" sqref="L71"/>
    </sheetView>
  </sheetViews>
  <sheetFormatPr defaultColWidth="9" defaultRowHeight="12" x14ac:dyDescent="0.15"/>
  <cols>
    <col min="1" max="1" width="15.5" style="162" customWidth="1"/>
    <col min="2" max="2" width="12.25" style="162" customWidth="1"/>
    <col min="3" max="3" width="7.375" style="162" customWidth="1"/>
    <col min="4" max="4" width="8.5" style="162" customWidth="1"/>
    <col min="5" max="5" width="8.875" style="162" customWidth="1"/>
    <col min="6" max="7" width="8.75" style="163" customWidth="1"/>
    <col min="8" max="8" width="8.5" style="163" customWidth="1"/>
    <col min="9" max="9" width="7.375" style="162" customWidth="1"/>
    <col min="10" max="10" width="7" style="162" customWidth="1"/>
    <col min="11" max="11" width="7.375" style="162" customWidth="1"/>
    <col min="12" max="12" width="8.5" style="162" customWidth="1"/>
    <col min="13" max="13" width="7.375" style="162" customWidth="1"/>
    <col min="14" max="14" width="8.5" style="162" customWidth="1"/>
    <col min="15" max="15" width="11.75" style="162" customWidth="1"/>
    <col min="16" max="16384" width="9" style="162"/>
  </cols>
  <sheetData>
    <row r="1" spans="1:15" s="161" customFormat="1" ht="22.5" customHeight="1" x14ac:dyDescent="0.15">
      <c r="A1" s="164"/>
      <c r="B1" s="164"/>
      <c r="C1" s="380" t="s">
        <v>230</v>
      </c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26"/>
    </row>
    <row r="2" spans="1:15" s="161" customFormat="1" ht="18.75" customHeight="1" x14ac:dyDescent="0.15">
      <c r="A2" s="165" t="s">
        <v>162</v>
      </c>
      <c r="B2" s="28" t="s">
        <v>0</v>
      </c>
      <c r="C2" s="166" t="s">
        <v>83</v>
      </c>
      <c r="D2" s="167" t="s">
        <v>84</v>
      </c>
      <c r="E2" s="167" t="s">
        <v>85</v>
      </c>
      <c r="F2" s="167" t="s">
        <v>86</v>
      </c>
      <c r="G2" s="167" t="s">
        <v>87</v>
      </c>
      <c r="H2" s="167" t="s">
        <v>88</v>
      </c>
      <c r="I2" s="167" t="s">
        <v>89</v>
      </c>
      <c r="J2" s="167" t="s">
        <v>90</v>
      </c>
      <c r="K2" s="167" t="s">
        <v>91</v>
      </c>
      <c r="L2" s="167" t="s">
        <v>92</v>
      </c>
      <c r="M2" s="167" t="s">
        <v>93</v>
      </c>
      <c r="N2" s="167" t="s">
        <v>94</v>
      </c>
      <c r="O2" s="44" t="s">
        <v>111</v>
      </c>
    </row>
    <row r="3" spans="1:15" s="161" customFormat="1" ht="18.75" customHeight="1" x14ac:dyDescent="0.15">
      <c r="A3" s="31" t="s">
        <v>148</v>
      </c>
      <c r="B3" s="28" t="s">
        <v>236</v>
      </c>
      <c r="C3" s="168"/>
      <c r="D3" s="169"/>
      <c r="E3" s="170"/>
      <c r="F3" s="170">
        <v>517.80999999999995</v>
      </c>
      <c r="G3" s="170">
        <v>0.79</v>
      </c>
      <c r="H3" s="170">
        <v>90</v>
      </c>
      <c r="I3" s="179">
        <v>31.63</v>
      </c>
      <c r="J3" s="179">
        <v>910.54</v>
      </c>
      <c r="K3" s="179">
        <v>1143.28</v>
      </c>
      <c r="L3" s="179">
        <v>1321.28</v>
      </c>
      <c r="M3" s="179">
        <v>1020.23</v>
      </c>
      <c r="N3" s="179">
        <v>1445.07</v>
      </c>
      <c r="O3" s="173">
        <f>SUM(C3:N3)</f>
        <v>6480.6299999999992</v>
      </c>
    </row>
    <row r="4" spans="1:15" s="161" customFormat="1" ht="18.75" customHeight="1" x14ac:dyDescent="0.15">
      <c r="A4" s="31" t="s">
        <v>149</v>
      </c>
      <c r="B4" s="28" t="s">
        <v>236</v>
      </c>
      <c r="C4" s="168"/>
      <c r="D4" s="169"/>
      <c r="E4" s="170"/>
      <c r="F4" s="170">
        <v>543.59</v>
      </c>
      <c r="G4" s="170">
        <v>0.85</v>
      </c>
      <c r="H4" s="170">
        <v>94</v>
      </c>
      <c r="I4" s="179">
        <v>17.55</v>
      </c>
      <c r="J4" s="179">
        <v>802.57</v>
      </c>
      <c r="K4" s="179">
        <v>1303.1199999999999</v>
      </c>
      <c r="L4" s="179">
        <v>1221.1600000000001</v>
      </c>
      <c r="M4" s="179">
        <v>840.7</v>
      </c>
      <c r="N4" s="179">
        <v>1595.43</v>
      </c>
      <c r="O4" s="173">
        <f t="shared" ref="O4:O15" si="0">SUM(C4:N4)</f>
        <v>6418.97</v>
      </c>
    </row>
    <row r="5" spans="1:15" s="161" customFormat="1" ht="18.75" customHeight="1" x14ac:dyDescent="0.15">
      <c r="A5" s="31" t="s">
        <v>150</v>
      </c>
      <c r="B5" s="28" t="s">
        <v>236</v>
      </c>
      <c r="C5" s="168"/>
      <c r="D5" s="169"/>
      <c r="E5" s="170"/>
      <c r="F5" s="170">
        <v>1103.73</v>
      </c>
      <c r="G5" s="170">
        <v>1.77</v>
      </c>
      <c r="H5" s="170">
        <v>191</v>
      </c>
      <c r="I5" s="179">
        <v>35.11</v>
      </c>
      <c r="J5" s="179">
        <v>1786.22</v>
      </c>
      <c r="K5" s="179">
        <v>2130.31</v>
      </c>
      <c r="L5" s="179">
        <v>2080.9</v>
      </c>
      <c r="M5" s="179">
        <v>484.8</v>
      </c>
      <c r="N5" s="179">
        <v>2590.4</v>
      </c>
      <c r="O5" s="173">
        <f t="shared" si="0"/>
        <v>10404.24</v>
      </c>
    </row>
    <row r="6" spans="1:15" s="161" customFormat="1" ht="18.75" customHeight="1" x14ac:dyDescent="0.15">
      <c r="A6" s="31" t="s">
        <v>151</v>
      </c>
      <c r="B6" s="28" t="s">
        <v>236</v>
      </c>
      <c r="C6" s="168"/>
      <c r="D6" s="169"/>
      <c r="E6" s="170"/>
      <c r="F6" s="170"/>
      <c r="G6" s="170"/>
      <c r="H6" s="170"/>
      <c r="I6" s="179">
        <v>0</v>
      </c>
      <c r="J6" s="179">
        <v>0</v>
      </c>
      <c r="K6" s="179">
        <v>0</v>
      </c>
      <c r="L6" s="179">
        <v>0</v>
      </c>
      <c r="M6" s="179">
        <v>0</v>
      </c>
      <c r="N6" s="179">
        <v>0</v>
      </c>
      <c r="O6" s="173">
        <f t="shared" si="0"/>
        <v>0</v>
      </c>
    </row>
    <row r="7" spans="1:15" s="161" customFormat="1" ht="18.75" customHeight="1" x14ac:dyDescent="0.15">
      <c r="A7" s="31" t="s">
        <v>152</v>
      </c>
      <c r="B7" s="28" t="s">
        <v>236</v>
      </c>
      <c r="C7" s="168"/>
      <c r="D7" s="169"/>
      <c r="E7" s="170"/>
      <c r="F7" s="170"/>
      <c r="G7" s="170"/>
      <c r="H7" s="170"/>
      <c r="I7" s="179"/>
      <c r="J7" s="179"/>
      <c r="K7" s="179"/>
      <c r="L7" s="179"/>
      <c r="M7" s="179"/>
      <c r="N7" s="179">
        <v>0</v>
      </c>
      <c r="O7" s="173">
        <f t="shared" si="0"/>
        <v>0</v>
      </c>
    </row>
    <row r="8" spans="1:15" s="161" customFormat="1" ht="18.75" hidden="1" customHeight="1" x14ac:dyDescent="0.15">
      <c r="A8" s="171" t="s">
        <v>218</v>
      </c>
      <c r="B8" s="28" t="s">
        <v>236</v>
      </c>
      <c r="C8" s="168"/>
      <c r="D8" s="169"/>
      <c r="E8" s="170"/>
      <c r="F8" s="170"/>
      <c r="G8" s="170"/>
      <c r="H8" s="170"/>
      <c r="I8" s="179"/>
      <c r="J8" s="179"/>
      <c r="K8" s="179"/>
      <c r="L8" s="179"/>
      <c r="M8" s="179"/>
      <c r="N8" s="179">
        <v>0</v>
      </c>
      <c r="O8" s="173">
        <f t="shared" si="0"/>
        <v>0</v>
      </c>
    </row>
    <row r="9" spans="1:15" s="161" customFormat="1" ht="18.75" hidden="1" customHeight="1" x14ac:dyDescent="0.15">
      <c r="A9" s="171" t="s">
        <v>219</v>
      </c>
      <c r="B9" s="28" t="s">
        <v>236</v>
      </c>
      <c r="C9" s="168"/>
      <c r="D9" s="169"/>
      <c r="E9" s="170"/>
      <c r="F9" s="170"/>
      <c r="G9" s="170"/>
      <c r="H9" s="170"/>
      <c r="I9" s="179"/>
      <c r="J9" s="179"/>
      <c r="K9" s="179"/>
      <c r="L9" s="179"/>
      <c r="M9" s="179"/>
      <c r="N9" s="179">
        <v>0</v>
      </c>
      <c r="O9" s="173">
        <f t="shared" si="0"/>
        <v>0</v>
      </c>
    </row>
    <row r="10" spans="1:15" s="161" customFormat="1" ht="18.75" hidden="1" customHeight="1" x14ac:dyDescent="0.15">
      <c r="A10" s="171" t="s">
        <v>117</v>
      </c>
      <c r="B10" s="28" t="s">
        <v>236</v>
      </c>
      <c r="C10" s="168"/>
      <c r="D10" s="169"/>
      <c r="E10" s="170"/>
      <c r="F10" s="170"/>
      <c r="G10" s="170"/>
      <c r="H10" s="170"/>
      <c r="I10" s="179"/>
      <c r="J10" s="179"/>
      <c r="K10" s="179"/>
      <c r="L10" s="179"/>
      <c r="M10" s="179"/>
      <c r="N10" s="179">
        <v>0</v>
      </c>
      <c r="O10" s="173">
        <f t="shared" si="0"/>
        <v>0</v>
      </c>
    </row>
    <row r="11" spans="1:15" s="161" customFormat="1" ht="18.75" hidden="1" customHeight="1" x14ac:dyDescent="0.15">
      <c r="A11" s="171" t="s">
        <v>116</v>
      </c>
      <c r="B11" s="28" t="s">
        <v>236</v>
      </c>
      <c r="C11" s="168"/>
      <c r="D11" s="169"/>
      <c r="E11" s="170"/>
      <c r="F11" s="170"/>
      <c r="G11" s="170"/>
      <c r="H11" s="170"/>
      <c r="I11" s="179"/>
      <c r="J11" s="179"/>
      <c r="K11" s="179"/>
      <c r="L11" s="179"/>
      <c r="M11" s="179"/>
      <c r="N11" s="179">
        <v>0</v>
      </c>
      <c r="O11" s="173">
        <f t="shared" si="0"/>
        <v>0</v>
      </c>
    </row>
    <row r="12" spans="1:15" s="161" customFormat="1" ht="18.75" customHeight="1" x14ac:dyDescent="0.15">
      <c r="A12" s="31" t="s">
        <v>157</v>
      </c>
      <c r="B12" s="28" t="s">
        <v>236</v>
      </c>
      <c r="C12" s="168"/>
      <c r="D12" s="169"/>
      <c r="E12" s="170"/>
      <c r="F12" s="170">
        <v>101.27</v>
      </c>
      <c r="G12" s="170">
        <v>426.6</v>
      </c>
      <c r="H12" s="170">
        <v>658.76</v>
      </c>
      <c r="I12" s="179">
        <v>322.48</v>
      </c>
      <c r="J12" s="179">
        <v>462.25</v>
      </c>
      <c r="K12" s="179">
        <v>240.74</v>
      </c>
      <c r="L12" s="179">
        <v>229.58</v>
      </c>
      <c r="M12" s="179">
        <v>149.99</v>
      </c>
      <c r="N12" s="179">
        <v>147.6</v>
      </c>
      <c r="O12" s="173">
        <f t="shared" si="0"/>
        <v>2739.27</v>
      </c>
    </row>
    <row r="13" spans="1:15" s="161" customFormat="1" ht="18.75" customHeight="1" x14ac:dyDescent="0.15">
      <c r="A13" s="31" t="s">
        <v>158</v>
      </c>
      <c r="B13" s="28" t="s">
        <v>236</v>
      </c>
      <c r="C13" s="168"/>
      <c r="D13" s="169"/>
      <c r="E13" s="170"/>
      <c r="F13" s="170">
        <v>286.63</v>
      </c>
      <c r="G13" s="170">
        <v>50</v>
      </c>
      <c r="H13" s="170">
        <v>50</v>
      </c>
      <c r="I13" s="179">
        <v>50</v>
      </c>
      <c r="J13" s="179">
        <v>195.37</v>
      </c>
      <c r="K13" s="179">
        <v>180.2</v>
      </c>
      <c r="L13" s="179">
        <v>165.7</v>
      </c>
      <c r="M13" s="179">
        <v>116.1</v>
      </c>
      <c r="N13" s="179">
        <v>132.05000000000001</v>
      </c>
      <c r="O13" s="173">
        <f t="shared" si="0"/>
        <v>1226.05</v>
      </c>
    </row>
    <row r="14" spans="1:15" s="161" customFormat="1" ht="18.75" customHeight="1" x14ac:dyDescent="0.15">
      <c r="A14" s="31" t="s">
        <v>159</v>
      </c>
      <c r="B14" s="28" t="s">
        <v>236</v>
      </c>
      <c r="C14" s="168"/>
      <c r="D14" s="169"/>
      <c r="E14" s="170"/>
      <c r="F14" s="170">
        <v>119.04</v>
      </c>
      <c r="G14" s="170">
        <v>61</v>
      </c>
      <c r="H14" s="170">
        <v>37.897799999999997</v>
      </c>
      <c r="I14" s="179">
        <v>0</v>
      </c>
      <c r="J14" s="179">
        <v>0</v>
      </c>
      <c r="K14" s="179">
        <v>0</v>
      </c>
      <c r="L14" s="179">
        <v>30.97</v>
      </c>
      <c r="M14" s="179">
        <v>22.8</v>
      </c>
      <c r="N14" s="179">
        <v>2.1999999999593499E-3</v>
      </c>
      <c r="O14" s="173">
        <f t="shared" si="0"/>
        <v>271.70999999999998</v>
      </c>
    </row>
    <row r="15" spans="1:15" s="161" customFormat="1" ht="18.75" customHeight="1" x14ac:dyDescent="0.15">
      <c r="A15" s="31" t="s">
        <v>160</v>
      </c>
      <c r="B15" s="28" t="s">
        <v>236</v>
      </c>
      <c r="C15" s="168"/>
      <c r="D15" s="169"/>
      <c r="E15" s="170"/>
      <c r="F15" s="170">
        <v>72.599999999999994</v>
      </c>
      <c r="G15" s="170">
        <v>110.7</v>
      </c>
      <c r="H15" s="170">
        <v>174.8</v>
      </c>
      <c r="I15" s="179">
        <v>118.6</v>
      </c>
      <c r="J15" s="179">
        <v>111.2</v>
      </c>
      <c r="K15" s="179">
        <v>110</v>
      </c>
      <c r="L15" s="179">
        <v>198</v>
      </c>
      <c r="M15" s="179">
        <v>117.2</v>
      </c>
      <c r="N15" s="179">
        <v>123.7</v>
      </c>
      <c r="O15" s="173">
        <f t="shared" si="0"/>
        <v>1136.8000000000002</v>
      </c>
    </row>
    <row r="16" spans="1:15" s="161" customFormat="1" ht="18.75" customHeight="1" x14ac:dyDescent="0.15">
      <c r="A16" s="31" t="s">
        <v>95</v>
      </c>
      <c r="B16" s="28">
        <f t="shared" ref="B16:O16" si="1">SUM(B3:B6,B12:B15)</f>
        <v>0</v>
      </c>
      <c r="C16" s="172">
        <f t="shared" si="1"/>
        <v>0</v>
      </c>
      <c r="D16" s="173">
        <f t="shared" si="1"/>
        <v>0</v>
      </c>
      <c r="E16" s="173">
        <f t="shared" si="1"/>
        <v>0</v>
      </c>
      <c r="F16" s="173">
        <f t="shared" si="1"/>
        <v>2744.67</v>
      </c>
      <c r="G16" s="173">
        <f t="shared" si="1"/>
        <v>651.71</v>
      </c>
      <c r="H16" s="173">
        <f t="shared" si="1"/>
        <v>1296.4577999999999</v>
      </c>
      <c r="I16" s="173">
        <f t="shared" si="1"/>
        <v>575.37</v>
      </c>
      <c r="J16" s="173">
        <f t="shared" si="1"/>
        <v>4268.1499999999996</v>
      </c>
      <c r="K16" s="173">
        <f t="shared" si="1"/>
        <v>5107.6499999999987</v>
      </c>
      <c r="L16" s="173">
        <f t="shared" si="1"/>
        <v>5247.59</v>
      </c>
      <c r="M16" s="173">
        <f t="shared" si="1"/>
        <v>2751.82</v>
      </c>
      <c r="N16" s="173">
        <f t="shared" si="1"/>
        <v>6034.2521999999999</v>
      </c>
      <c r="O16" s="173">
        <f t="shared" si="1"/>
        <v>28677.669999999995</v>
      </c>
    </row>
    <row r="17" spans="1:16" s="161" customFormat="1" ht="18.75" customHeight="1" x14ac:dyDescent="0.15">
      <c r="A17" s="35" t="s">
        <v>163</v>
      </c>
      <c r="B17" s="174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>
        <f>SUM(C17:N17)</f>
        <v>0</v>
      </c>
    </row>
    <row r="18" spans="1:16" s="161" customFormat="1" ht="18.75" customHeight="1" x14ac:dyDescent="0.15">
      <c r="A18" s="35" t="s">
        <v>164</v>
      </c>
      <c r="B18" s="174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>
        <f>SUM(C18:N18)</f>
        <v>0</v>
      </c>
    </row>
    <row r="19" spans="1:16" s="161" customFormat="1" ht="18.75" customHeight="1" x14ac:dyDescent="0.15">
      <c r="A19" s="35" t="s">
        <v>165</v>
      </c>
      <c r="B19" s="174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>
        <f>SUM(C19:N19)</f>
        <v>0</v>
      </c>
    </row>
    <row r="20" spans="1:16" ht="18.75" customHeight="1" x14ac:dyDescent="0.15">
      <c r="O20" s="180">
        <f>SUM(C16:H16)</f>
        <v>4692.8378000000002</v>
      </c>
    </row>
    <row r="21" spans="1:16" s="161" customFormat="1" ht="22.5" customHeight="1" x14ac:dyDescent="0.15">
      <c r="A21" s="164"/>
      <c r="B21" s="164"/>
      <c r="C21" s="380" t="s">
        <v>230</v>
      </c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26"/>
    </row>
    <row r="22" spans="1:16" s="161" customFormat="1" ht="18.75" customHeight="1" x14ac:dyDescent="0.15">
      <c r="A22" s="165" t="s">
        <v>170</v>
      </c>
      <c r="B22" s="28" t="s">
        <v>0</v>
      </c>
      <c r="C22" s="166" t="s">
        <v>83</v>
      </c>
      <c r="D22" s="167" t="s">
        <v>84</v>
      </c>
      <c r="E22" s="167" t="s">
        <v>85</v>
      </c>
      <c r="F22" s="167" t="s">
        <v>86</v>
      </c>
      <c r="G22" s="167" t="s">
        <v>87</v>
      </c>
      <c r="H22" s="167" t="s">
        <v>88</v>
      </c>
      <c r="I22" s="167" t="s">
        <v>89</v>
      </c>
      <c r="J22" s="167" t="s">
        <v>90</v>
      </c>
      <c r="K22" s="167" t="s">
        <v>91</v>
      </c>
      <c r="L22" s="167" t="s">
        <v>92</v>
      </c>
      <c r="M22" s="167" t="s">
        <v>93</v>
      </c>
      <c r="N22" s="167" t="s">
        <v>94</v>
      </c>
      <c r="O22" s="44" t="s">
        <v>111</v>
      </c>
    </row>
    <row r="23" spans="1:16" s="161" customFormat="1" ht="18.75" customHeight="1" x14ac:dyDescent="0.15">
      <c r="A23" s="31" t="s">
        <v>148</v>
      </c>
      <c r="B23" s="28" t="s">
        <v>236</v>
      </c>
      <c r="C23" s="168">
        <v>336.31849999999997</v>
      </c>
      <c r="D23" s="169">
        <v>157.1174</v>
      </c>
      <c r="E23" s="170">
        <v>530.20100000000002</v>
      </c>
      <c r="F23" s="170">
        <v>571.61869999999999</v>
      </c>
      <c r="G23" s="170">
        <v>506.01870000000002</v>
      </c>
      <c r="H23" s="170">
        <v>1330.14</v>
      </c>
      <c r="I23" s="179">
        <v>1510.92</v>
      </c>
      <c r="J23" s="179">
        <v>667.90930000000003</v>
      </c>
      <c r="K23" s="179">
        <v>177.49</v>
      </c>
      <c r="L23" s="179">
        <v>546.08000000000004</v>
      </c>
      <c r="M23" s="179">
        <v>963.46</v>
      </c>
      <c r="N23" s="179">
        <v>859.06</v>
      </c>
      <c r="O23" s="173">
        <f>SUM(C23:N23)</f>
        <v>8156.3335999999999</v>
      </c>
      <c r="P23" s="181">
        <f>SUM(C23:D23)</f>
        <v>493.43589999999995</v>
      </c>
    </row>
    <row r="24" spans="1:16" s="161" customFormat="1" ht="18.75" customHeight="1" x14ac:dyDescent="0.15">
      <c r="A24" s="31" t="s">
        <v>149</v>
      </c>
      <c r="B24" s="28" t="s">
        <v>236</v>
      </c>
      <c r="C24" s="168">
        <v>405.95650000000001</v>
      </c>
      <c r="D24" s="169">
        <v>174.90170000000001</v>
      </c>
      <c r="E24" s="170">
        <v>474.28</v>
      </c>
      <c r="F24" s="170">
        <v>600.37630000000001</v>
      </c>
      <c r="G24" s="170">
        <v>325.71640000000002</v>
      </c>
      <c r="H24" s="170">
        <v>883.26</v>
      </c>
      <c r="I24" s="179">
        <v>999.68</v>
      </c>
      <c r="J24" s="179">
        <v>628.80240000000003</v>
      </c>
      <c r="K24" s="179">
        <v>201.67</v>
      </c>
      <c r="L24" s="179">
        <v>1176.04</v>
      </c>
      <c r="M24" s="179">
        <v>1017.62</v>
      </c>
      <c r="N24" s="179">
        <v>1102.1600000000001</v>
      </c>
      <c r="O24" s="173">
        <f t="shared" ref="O24:O41" si="2">SUM(C24:N24)</f>
        <v>7990.4632999999994</v>
      </c>
      <c r="P24" s="181">
        <f t="shared" ref="P24:P38" si="3">SUM(C24:D24)</f>
        <v>580.85820000000001</v>
      </c>
    </row>
    <row r="25" spans="1:16" s="161" customFormat="1" ht="18.75" customHeight="1" x14ac:dyDescent="0.15">
      <c r="A25" s="31" t="s">
        <v>150</v>
      </c>
      <c r="B25" s="28" t="s">
        <v>236</v>
      </c>
      <c r="C25" s="168">
        <v>767.46640000000002</v>
      </c>
      <c r="D25" s="169">
        <v>361.27050000000003</v>
      </c>
      <c r="E25" s="170">
        <v>390.45</v>
      </c>
      <c r="F25" s="170">
        <v>1227.8293000000001</v>
      </c>
      <c r="G25" s="170">
        <v>907.99339999999995</v>
      </c>
      <c r="H25" s="170">
        <v>792.24</v>
      </c>
      <c r="I25" s="179">
        <v>1634.06</v>
      </c>
      <c r="J25" s="179">
        <v>1196.2233000000001</v>
      </c>
      <c r="K25" s="179">
        <v>557.94000000000005</v>
      </c>
      <c r="L25" s="179">
        <v>1289.21</v>
      </c>
      <c r="M25" s="179">
        <v>2242.35</v>
      </c>
      <c r="N25" s="179">
        <v>1564.23</v>
      </c>
      <c r="O25" s="173">
        <f t="shared" si="2"/>
        <v>12931.2629</v>
      </c>
      <c r="P25" s="181">
        <f t="shared" si="3"/>
        <v>1128.7369000000001</v>
      </c>
    </row>
    <row r="26" spans="1:16" s="161" customFormat="1" ht="18.75" customHeight="1" x14ac:dyDescent="0.15">
      <c r="A26" s="31" t="s">
        <v>151</v>
      </c>
      <c r="B26" s="28" t="s">
        <v>236</v>
      </c>
      <c r="C26" s="168">
        <v>764.96640000000002</v>
      </c>
      <c r="D26" s="169">
        <v>1096.1676</v>
      </c>
      <c r="E26" s="170">
        <v>690.23</v>
      </c>
      <c r="F26" s="170">
        <v>1563.2760000000001</v>
      </c>
      <c r="G26" s="170">
        <v>1359.5472</v>
      </c>
      <c r="H26" s="170">
        <v>568.57010000000002</v>
      </c>
      <c r="I26" s="179">
        <v>575.88</v>
      </c>
      <c r="J26" s="179">
        <v>324.75830000000002</v>
      </c>
      <c r="K26" s="179">
        <v>847.82</v>
      </c>
      <c r="L26" s="179">
        <v>995.43</v>
      </c>
      <c r="M26" s="179">
        <v>685.89</v>
      </c>
      <c r="N26" s="179">
        <v>883.97</v>
      </c>
      <c r="O26" s="173">
        <f t="shared" si="2"/>
        <v>10356.505599999999</v>
      </c>
      <c r="P26" s="181">
        <f t="shared" si="3"/>
        <v>1861.134</v>
      </c>
    </row>
    <row r="27" spans="1:16" s="161" customFormat="1" ht="18.75" customHeight="1" x14ac:dyDescent="0.15">
      <c r="A27" s="31" t="s">
        <v>152</v>
      </c>
      <c r="B27" s="28">
        <v>564.55999999999995</v>
      </c>
      <c r="C27" s="168"/>
      <c r="D27" s="169"/>
      <c r="E27" s="170"/>
      <c r="F27" s="170"/>
      <c r="G27" s="170"/>
      <c r="H27" s="170"/>
      <c r="I27" s="179"/>
      <c r="J27" s="179"/>
      <c r="K27" s="179"/>
      <c r="L27" s="179"/>
      <c r="M27" s="179"/>
      <c r="N27" s="179"/>
      <c r="O27" s="173">
        <f t="shared" si="2"/>
        <v>0</v>
      </c>
      <c r="P27" s="181">
        <f t="shared" si="3"/>
        <v>0</v>
      </c>
    </row>
    <row r="28" spans="1:16" s="161" customFormat="1" ht="18.75" customHeight="1" x14ac:dyDescent="0.15">
      <c r="A28" s="171" t="s">
        <v>218</v>
      </c>
      <c r="B28" s="28" t="s">
        <v>236</v>
      </c>
      <c r="C28" s="168"/>
      <c r="D28" s="169"/>
      <c r="E28" s="170"/>
      <c r="F28" s="170"/>
      <c r="G28" s="170"/>
      <c r="H28" s="170"/>
      <c r="I28" s="179"/>
      <c r="J28" s="179"/>
      <c r="K28" s="179"/>
      <c r="L28" s="179"/>
      <c r="M28" s="179"/>
      <c r="N28" s="179"/>
      <c r="O28" s="173">
        <f t="shared" si="2"/>
        <v>0</v>
      </c>
      <c r="P28" s="181">
        <f t="shared" si="3"/>
        <v>0</v>
      </c>
    </row>
    <row r="29" spans="1:16" s="161" customFormat="1" ht="18.75" customHeight="1" x14ac:dyDescent="0.15">
      <c r="A29" s="171" t="s">
        <v>219</v>
      </c>
      <c r="B29" s="28" t="s">
        <v>236</v>
      </c>
      <c r="C29" s="168"/>
      <c r="D29" s="169"/>
      <c r="E29" s="170"/>
      <c r="F29" s="170"/>
      <c r="G29" s="170"/>
      <c r="H29" s="170"/>
      <c r="I29" s="179"/>
      <c r="J29" s="179"/>
      <c r="K29" s="179"/>
      <c r="L29" s="179"/>
      <c r="M29" s="179"/>
      <c r="N29" s="179"/>
      <c r="O29" s="173">
        <f t="shared" si="2"/>
        <v>0</v>
      </c>
      <c r="P29" s="181">
        <f t="shared" si="3"/>
        <v>0</v>
      </c>
    </row>
    <row r="30" spans="1:16" s="161" customFormat="1" ht="18.75" customHeight="1" x14ac:dyDescent="0.15">
      <c r="A30" s="171" t="s">
        <v>117</v>
      </c>
      <c r="B30" s="28" t="s">
        <v>236</v>
      </c>
      <c r="C30" s="168"/>
      <c r="D30" s="169"/>
      <c r="E30" s="170"/>
      <c r="F30" s="170"/>
      <c r="G30" s="170"/>
      <c r="H30" s="170"/>
      <c r="I30" s="179"/>
      <c r="J30" s="179"/>
      <c r="K30" s="179"/>
      <c r="L30" s="179"/>
      <c r="M30" s="179"/>
      <c r="N30" s="179"/>
      <c r="O30" s="173">
        <f t="shared" si="2"/>
        <v>0</v>
      </c>
      <c r="P30" s="181">
        <f t="shared" si="3"/>
        <v>0</v>
      </c>
    </row>
    <row r="31" spans="1:16" s="161" customFormat="1" ht="18.75" customHeight="1" x14ac:dyDescent="0.15">
      <c r="A31" s="171" t="s">
        <v>116</v>
      </c>
      <c r="B31" s="28" t="s">
        <v>236</v>
      </c>
      <c r="C31" s="168"/>
      <c r="D31" s="169"/>
      <c r="E31" s="170"/>
      <c r="F31" s="170"/>
      <c r="G31" s="170"/>
      <c r="H31" s="170"/>
      <c r="I31" s="179"/>
      <c r="J31" s="179"/>
      <c r="K31" s="179"/>
      <c r="L31" s="179"/>
      <c r="M31" s="179"/>
      <c r="N31" s="179"/>
      <c r="O31" s="173">
        <f t="shared" si="2"/>
        <v>0</v>
      </c>
      <c r="P31" s="181">
        <f t="shared" si="3"/>
        <v>0</v>
      </c>
    </row>
    <row r="32" spans="1:16" s="161" customFormat="1" ht="18.75" customHeight="1" x14ac:dyDescent="0.15">
      <c r="A32" s="31" t="s">
        <v>157</v>
      </c>
      <c r="B32" s="28" t="s">
        <v>236</v>
      </c>
      <c r="C32" s="168">
        <v>75.900000000000006</v>
      </c>
      <c r="D32" s="169">
        <v>143.05000000000001</v>
      </c>
      <c r="E32" s="170">
        <v>332.60500000000002</v>
      </c>
      <c r="F32" s="170">
        <v>660.67949999999996</v>
      </c>
      <c r="G32" s="170">
        <v>611.46500000000003</v>
      </c>
      <c r="H32" s="170">
        <v>639.47</v>
      </c>
      <c r="I32" s="179">
        <v>641.80999999999995</v>
      </c>
      <c r="J32" s="179">
        <v>693.03</v>
      </c>
      <c r="K32" s="179">
        <v>608.39</v>
      </c>
      <c r="L32" s="179">
        <v>316.07</v>
      </c>
      <c r="M32" s="179">
        <v>285.81</v>
      </c>
      <c r="N32" s="179">
        <v>199.76</v>
      </c>
      <c r="O32" s="173">
        <f t="shared" si="2"/>
        <v>5208.0395000000008</v>
      </c>
      <c r="P32" s="181">
        <f t="shared" si="3"/>
        <v>218.95000000000002</v>
      </c>
    </row>
    <row r="33" spans="1:16" s="161" customFormat="1" ht="18.75" customHeight="1" x14ac:dyDescent="0.15">
      <c r="A33" s="31" t="s">
        <v>158</v>
      </c>
      <c r="B33" s="28" t="s">
        <v>236</v>
      </c>
      <c r="C33" s="168">
        <v>60.255200000000002</v>
      </c>
      <c r="D33" s="169">
        <v>28.1112</v>
      </c>
      <c r="E33" s="170">
        <v>77.22</v>
      </c>
      <c r="F33" s="170">
        <v>91.017200000000003</v>
      </c>
      <c r="G33" s="170">
        <v>77.34</v>
      </c>
      <c r="H33" s="170">
        <v>204.64</v>
      </c>
      <c r="I33" s="179">
        <v>117.99</v>
      </c>
      <c r="J33" s="179">
        <v>170.12</v>
      </c>
      <c r="K33" s="179">
        <v>36.01</v>
      </c>
      <c r="L33" s="179">
        <v>107.82</v>
      </c>
      <c r="M33" s="179">
        <v>162.77000000000001</v>
      </c>
      <c r="N33" s="179">
        <v>128.87</v>
      </c>
      <c r="O33" s="173">
        <f t="shared" si="2"/>
        <v>1262.1635999999999</v>
      </c>
      <c r="P33" s="181">
        <f t="shared" si="3"/>
        <v>88.366399999999999</v>
      </c>
    </row>
    <row r="34" spans="1:16" s="161" customFormat="1" ht="18.75" customHeight="1" x14ac:dyDescent="0.15">
      <c r="A34" s="31" t="s">
        <v>159</v>
      </c>
      <c r="B34" s="28" t="s">
        <v>236</v>
      </c>
      <c r="C34" s="168">
        <v>566.25840000000005</v>
      </c>
      <c r="D34" s="169">
        <v>541.20119999999997</v>
      </c>
      <c r="E34" s="170">
        <v>635.87</v>
      </c>
      <c r="F34" s="170">
        <v>792.52350000000001</v>
      </c>
      <c r="G34" s="170">
        <v>861.15</v>
      </c>
      <c r="H34" s="170">
        <v>448.09</v>
      </c>
      <c r="I34" s="179">
        <v>431.98</v>
      </c>
      <c r="J34" s="179">
        <v>361.77719999999999</v>
      </c>
      <c r="K34" s="179">
        <v>315.62</v>
      </c>
      <c r="L34" s="179">
        <v>499.77</v>
      </c>
      <c r="M34" s="179">
        <v>478.48</v>
      </c>
      <c r="N34" s="179">
        <v>578.13</v>
      </c>
      <c r="O34" s="173">
        <f t="shared" si="2"/>
        <v>6510.8502999999992</v>
      </c>
      <c r="P34" s="181">
        <f t="shared" si="3"/>
        <v>1107.4596000000001</v>
      </c>
    </row>
    <row r="35" spans="1:16" s="161" customFormat="1" ht="18.75" customHeight="1" x14ac:dyDescent="0.15">
      <c r="A35" s="31" t="s">
        <v>160</v>
      </c>
      <c r="B35" s="28" t="s">
        <v>236</v>
      </c>
      <c r="C35" s="168">
        <v>2.7</v>
      </c>
      <c r="D35" s="169">
        <v>142.80000000000001</v>
      </c>
      <c r="E35" s="170">
        <v>24.9</v>
      </c>
      <c r="F35" s="170">
        <v>240.5</v>
      </c>
      <c r="G35" s="170">
        <v>246.4</v>
      </c>
      <c r="H35" s="170">
        <v>222.7</v>
      </c>
      <c r="I35" s="179">
        <v>220.4</v>
      </c>
      <c r="J35" s="179">
        <v>207.6</v>
      </c>
      <c r="K35" s="179">
        <v>199.2</v>
      </c>
      <c r="L35" s="179">
        <v>211.7</v>
      </c>
      <c r="M35" s="179">
        <v>220.3</v>
      </c>
      <c r="N35" s="179">
        <v>255.2</v>
      </c>
      <c r="O35" s="173">
        <f t="shared" si="2"/>
        <v>2194.4</v>
      </c>
      <c r="P35" s="181">
        <f t="shared" si="3"/>
        <v>145.5</v>
      </c>
    </row>
    <row r="36" spans="1:16" s="161" customFormat="1" ht="18.75" customHeight="1" x14ac:dyDescent="0.15">
      <c r="A36" s="31" t="s">
        <v>176</v>
      </c>
      <c r="B36" s="28">
        <f t="shared" ref="B36:N36" si="4">SUM(B23:B26,B32:B35)</f>
        <v>0</v>
      </c>
      <c r="C36" s="172">
        <f t="shared" si="4"/>
        <v>2979.8214000000003</v>
      </c>
      <c r="D36" s="173">
        <f t="shared" si="4"/>
        <v>2644.6196</v>
      </c>
      <c r="E36" s="173">
        <f t="shared" si="4"/>
        <v>3155.7559999999999</v>
      </c>
      <c r="F36" s="173">
        <f t="shared" si="4"/>
        <v>5747.8205000000007</v>
      </c>
      <c r="G36" s="173">
        <f t="shared" si="4"/>
        <v>4895.6306999999997</v>
      </c>
      <c r="H36" s="173">
        <f t="shared" si="4"/>
        <v>5089.1101000000008</v>
      </c>
      <c r="I36" s="173">
        <f t="shared" si="4"/>
        <v>6132.7199999999993</v>
      </c>
      <c r="J36" s="173">
        <f t="shared" si="4"/>
        <v>4250.2205000000004</v>
      </c>
      <c r="K36" s="173">
        <f t="shared" si="4"/>
        <v>2944.14</v>
      </c>
      <c r="L36" s="173">
        <f t="shared" si="4"/>
        <v>5142.12</v>
      </c>
      <c r="M36" s="173">
        <f t="shared" si="4"/>
        <v>6056.6800000000012</v>
      </c>
      <c r="N36" s="173">
        <f t="shared" si="4"/>
        <v>5571.38</v>
      </c>
      <c r="O36" s="182">
        <f t="shared" si="2"/>
        <v>54610.018800000005</v>
      </c>
      <c r="P36" s="181">
        <f t="shared" si="3"/>
        <v>5624.4410000000007</v>
      </c>
    </row>
    <row r="37" spans="1:16" ht="17.25" customHeight="1" x14ac:dyDescent="0.15">
      <c r="A37" s="36" t="s">
        <v>163</v>
      </c>
      <c r="C37" s="170">
        <v>0</v>
      </c>
      <c r="D37" s="170">
        <v>1645</v>
      </c>
      <c r="E37" s="170">
        <v>2346</v>
      </c>
      <c r="F37" s="170">
        <v>1890.7152000000001</v>
      </c>
      <c r="G37" s="170">
        <v>1274</v>
      </c>
      <c r="H37" s="170">
        <v>0</v>
      </c>
      <c r="I37" s="170">
        <v>0</v>
      </c>
      <c r="J37" s="183"/>
      <c r="K37" s="183"/>
      <c r="L37" s="183"/>
      <c r="M37" s="184">
        <v>2008.6784</v>
      </c>
      <c r="N37" s="184">
        <v>2720.1069000000002</v>
      </c>
      <c r="O37" s="173">
        <f t="shared" si="2"/>
        <v>11884.500500000002</v>
      </c>
      <c r="P37" s="181">
        <f t="shared" si="3"/>
        <v>1645</v>
      </c>
    </row>
    <row r="38" spans="1:16" ht="17.25" customHeight="1" x14ac:dyDescent="0.15">
      <c r="A38" s="36" t="s">
        <v>164</v>
      </c>
      <c r="C38" s="170">
        <v>0</v>
      </c>
      <c r="D38" s="170">
        <v>1427</v>
      </c>
      <c r="E38" s="170">
        <v>1851</v>
      </c>
      <c r="F38" s="170">
        <v>1486.2869000000001</v>
      </c>
      <c r="G38" s="170">
        <v>824</v>
      </c>
      <c r="H38" s="170">
        <v>0</v>
      </c>
      <c r="I38" s="170">
        <v>0</v>
      </c>
      <c r="J38" s="183"/>
      <c r="K38" s="183"/>
      <c r="L38" s="183"/>
      <c r="M38" s="184">
        <v>294.12560000000002</v>
      </c>
      <c r="N38" s="184">
        <v>799.11450000000002</v>
      </c>
      <c r="O38" s="173">
        <f t="shared" si="2"/>
        <v>6681.527</v>
      </c>
      <c r="P38" s="181">
        <f t="shared" si="3"/>
        <v>1427</v>
      </c>
    </row>
    <row r="39" spans="1:16" ht="17.25" customHeight="1" x14ac:dyDescent="0.15">
      <c r="A39" s="36" t="s">
        <v>165</v>
      </c>
      <c r="C39" s="170">
        <v>0</v>
      </c>
      <c r="D39" s="170">
        <v>249</v>
      </c>
      <c r="E39" s="170">
        <v>257</v>
      </c>
      <c r="F39" s="170">
        <v>222</v>
      </c>
      <c r="G39" s="170">
        <v>156.83619999999999</v>
      </c>
      <c r="H39" s="170">
        <v>0</v>
      </c>
      <c r="I39" s="170">
        <v>0</v>
      </c>
      <c r="J39" s="183"/>
      <c r="K39" s="183"/>
      <c r="L39" s="183"/>
      <c r="M39" s="175">
        <v>154.1832</v>
      </c>
      <c r="N39" s="184">
        <v>227.67</v>
      </c>
      <c r="O39" s="173">
        <f t="shared" si="2"/>
        <v>1266.6894</v>
      </c>
    </row>
    <row r="40" spans="1:16" ht="17.25" customHeight="1" x14ac:dyDescent="0.15">
      <c r="A40" s="36" t="s">
        <v>176</v>
      </c>
      <c r="B40" s="175">
        <f t="shared" ref="B40:N40" si="5">SUM(B37:B39)</f>
        <v>0</v>
      </c>
      <c r="C40" s="175">
        <f t="shared" si="5"/>
        <v>0</v>
      </c>
      <c r="D40" s="175">
        <f t="shared" si="5"/>
        <v>3321</v>
      </c>
      <c r="E40" s="175">
        <f t="shared" si="5"/>
        <v>4454</v>
      </c>
      <c r="F40" s="175">
        <f t="shared" si="5"/>
        <v>3599.0021000000002</v>
      </c>
      <c r="G40" s="175">
        <f t="shared" si="5"/>
        <v>2254.8362000000002</v>
      </c>
      <c r="H40" s="175">
        <f t="shared" si="5"/>
        <v>0</v>
      </c>
      <c r="I40" s="175">
        <f t="shared" si="5"/>
        <v>0</v>
      </c>
      <c r="J40" s="175">
        <f t="shared" si="5"/>
        <v>0</v>
      </c>
      <c r="K40" s="175">
        <f t="shared" si="5"/>
        <v>0</v>
      </c>
      <c r="L40" s="175">
        <f t="shared" si="5"/>
        <v>0</v>
      </c>
      <c r="M40" s="175">
        <f t="shared" si="5"/>
        <v>2456.9872</v>
      </c>
      <c r="N40" s="184">
        <f t="shared" si="5"/>
        <v>3746.8914000000004</v>
      </c>
      <c r="O40" s="173">
        <f t="shared" si="2"/>
        <v>19832.716899999999</v>
      </c>
    </row>
    <row r="41" spans="1:16" ht="17.25" customHeight="1" x14ac:dyDescent="0.15">
      <c r="A41" s="176" t="s">
        <v>95</v>
      </c>
      <c r="B41" s="176">
        <f t="shared" ref="B41:N41" si="6">SUM(B36,B40)</f>
        <v>0</v>
      </c>
      <c r="C41" s="176">
        <f t="shared" si="6"/>
        <v>2979.8214000000003</v>
      </c>
      <c r="D41" s="176">
        <f t="shared" si="6"/>
        <v>5965.6196</v>
      </c>
      <c r="E41" s="176">
        <f t="shared" si="6"/>
        <v>7609.7559999999994</v>
      </c>
      <c r="F41" s="176">
        <f t="shared" si="6"/>
        <v>9346.8226000000013</v>
      </c>
      <c r="G41" s="176">
        <f t="shared" si="6"/>
        <v>7150.4668999999994</v>
      </c>
      <c r="H41" s="176">
        <f t="shared" si="6"/>
        <v>5089.1101000000008</v>
      </c>
      <c r="I41" s="176">
        <f t="shared" si="6"/>
        <v>6132.7199999999993</v>
      </c>
      <c r="J41" s="176">
        <f t="shared" si="6"/>
        <v>4250.2205000000004</v>
      </c>
      <c r="K41" s="176">
        <f t="shared" si="6"/>
        <v>2944.14</v>
      </c>
      <c r="L41" s="176">
        <f t="shared" si="6"/>
        <v>5142.12</v>
      </c>
      <c r="M41" s="176">
        <f t="shared" si="6"/>
        <v>8513.6672000000017</v>
      </c>
      <c r="N41" s="176">
        <f t="shared" si="6"/>
        <v>9318.2714000000014</v>
      </c>
      <c r="O41" s="173">
        <f t="shared" si="2"/>
        <v>74442.735700000005</v>
      </c>
    </row>
    <row r="42" spans="1:16" x14ac:dyDescent="0.15">
      <c r="A42" s="162" t="s">
        <v>237</v>
      </c>
      <c r="O42" s="162">
        <v>12524</v>
      </c>
    </row>
    <row r="43" spans="1:16" s="161" customFormat="1" ht="22.5" customHeight="1" x14ac:dyDescent="0.15">
      <c r="A43" s="164"/>
      <c r="B43" s="164"/>
      <c r="C43" s="380" t="s">
        <v>230</v>
      </c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26"/>
    </row>
    <row r="44" spans="1:16" s="161" customFormat="1" ht="18.75" customHeight="1" x14ac:dyDescent="0.15">
      <c r="A44" s="165" t="s">
        <v>179</v>
      </c>
      <c r="B44" s="28" t="s">
        <v>0</v>
      </c>
      <c r="C44" s="177" t="s">
        <v>83</v>
      </c>
      <c r="D44" s="178" t="s">
        <v>84</v>
      </c>
      <c r="E44" s="178" t="s">
        <v>85</v>
      </c>
      <c r="F44" s="178" t="s">
        <v>86</v>
      </c>
      <c r="G44" s="178" t="s">
        <v>87</v>
      </c>
      <c r="H44" s="178" t="s">
        <v>88</v>
      </c>
      <c r="I44" s="178" t="s">
        <v>89</v>
      </c>
      <c r="J44" s="178" t="s">
        <v>90</v>
      </c>
      <c r="K44" s="178" t="s">
        <v>91</v>
      </c>
      <c r="L44" s="178" t="s">
        <v>92</v>
      </c>
      <c r="M44" s="178" t="s">
        <v>93</v>
      </c>
      <c r="N44" s="178" t="s">
        <v>94</v>
      </c>
      <c r="O44" s="44" t="s">
        <v>111</v>
      </c>
    </row>
    <row r="45" spans="1:16" s="161" customFormat="1" ht="18.75" customHeight="1" x14ac:dyDescent="0.15">
      <c r="A45" s="31" t="s">
        <v>148</v>
      </c>
      <c r="B45" s="28">
        <v>7500</v>
      </c>
      <c r="C45" s="168">
        <v>564.82000000000005</v>
      </c>
      <c r="D45" s="169">
        <v>405.42</v>
      </c>
      <c r="E45" s="170">
        <v>507.01</v>
      </c>
      <c r="F45" s="170"/>
      <c r="G45" s="170"/>
      <c r="H45" s="170"/>
      <c r="I45" s="179"/>
      <c r="J45" s="179"/>
      <c r="K45" s="179"/>
      <c r="L45" s="179"/>
      <c r="M45" s="179"/>
      <c r="N45" s="179"/>
      <c r="O45" s="173">
        <f>SUM(C45:N45)</f>
        <v>1477.25</v>
      </c>
    </row>
    <row r="46" spans="1:16" s="161" customFormat="1" ht="18.75" customHeight="1" x14ac:dyDescent="0.15">
      <c r="A46" s="31" t="s">
        <v>149</v>
      </c>
      <c r="B46" s="28">
        <v>8000</v>
      </c>
      <c r="C46" s="168">
        <v>648.91</v>
      </c>
      <c r="D46" s="169">
        <v>723.43240000000003</v>
      </c>
      <c r="E46" s="170">
        <v>709.8</v>
      </c>
      <c r="F46" s="170"/>
      <c r="G46" s="170"/>
      <c r="H46" s="170"/>
      <c r="I46" s="179"/>
      <c r="J46" s="179"/>
      <c r="K46" s="179"/>
      <c r="L46" s="179"/>
      <c r="M46" s="179"/>
      <c r="N46" s="179"/>
      <c r="O46" s="173">
        <f t="shared" ref="O46:O62" si="7">SUM(C46:N46)</f>
        <v>2082.1423999999997</v>
      </c>
    </row>
    <row r="47" spans="1:16" s="161" customFormat="1" ht="18.75" customHeight="1" x14ac:dyDescent="0.15">
      <c r="A47" s="31" t="s">
        <v>150</v>
      </c>
      <c r="B47" s="28">
        <v>15000</v>
      </c>
      <c r="C47" s="168">
        <v>1830.96</v>
      </c>
      <c r="D47" s="169">
        <v>1280.7795000000001</v>
      </c>
      <c r="E47" s="170">
        <v>1075.81</v>
      </c>
      <c r="F47" s="170"/>
      <c r="G47" s="170"/>
      <c r="H47" s="170"/>
      <c r="I47" s="179"/>
      <c r="J47" s="179"/>
      <c r="K47" s="179"/>
      <c r="L47" s="179"/>
      <c r="M47" s="179"/>
      <c r="N47" s="179"/>
      <c r="O47" s="173">
        <f t="shared" si="7"/>
        <v>4187.5495000000001</v>
      </c>
    </row>
    <row r="48" spans="1:16" s="161" customFormat="1" ht="18.75" customHeight="1" x14ac:dyDescent="0.15">
      <c r="A48" s="31" t="s">
        <v>151</v>
      </c>
      <c r="B48" s="28">
        <v>18000</v>
      </c>
      <c r="C48" s="168">
        <v>382</v>
      </c>
      <c r="D48" s="169">
        <v>374</v>
      </c>
      <c r="E48" s="170">
        <v>382</v>
      </c>
      <c r="F48" s="170"/>
      <c r="G48" s="170"/>
      <c r="H48" s="170"/>
      <c r="I48" s="179"/>
      <c r="J48" s="179"/>
      <c r="K48" s="179"/>
      <c r="L48" s="179"/>
      <c r="M48" s="179"/>
      <c r="N48" s="179"/>
      <c r="O48" s="173">
        <f t="shared" si="7"/>
        <v>1138</v>
      </c>
    </row>
    <row r="49" spans="1:17" s="161" customFormat="1" ht="18.75" customHeight="1" x14ac:dyDescent="0.15">
      <c r="A49" s="31" t="s">
        <v>152</v>
      </c>
      <c r="B49" s="28"/>
      <c r="C49" s="168"/>
      <c r="D49" s="169"/>
      <c r="E49" s="170"/>
      <c r="F49" s="170"/>
      <c r="G49" s="170"/>
      <c r="H49" s="170"/>
      <c r="I49" s="179"/>
      <c r="J49" s="179"/>
      <c r="K49" s="179"/>
      <c r="L49" s="179"/>
      <c r="M49" s="179"/>
      <c r="N49" s="179"/>
      <c r="O49" s="173">
        <f t="shared" si="7"/>
        <v>0</v>
      </c>
    </row>
    <row r="50" spans="1:17" s="161" customFormat="1" ht="18.75" customHeight="1" x14ac:dyDescent="0.15">
      <c r="A50" s="171" t="s">
        <v>218</v>
      </c>
      <c r="B50" s="28"/>
      <c r="C50" s="168"/>
      <c r="D50" s="169"/>
      <c r="E50" s="170"/>
      <c r="F50" s="170"/>
      <c r="G50" s="170"/>
      <c r="H50" s="170"/>
      <c r="I50" s="179"/>
      <c r="J50" s="179"/>
      <c r="K50" s="179"/>
      <c r="L50" s="179"/>
      <c r="M50" s="179"/>
      <c r="N50" s="179"/>
      <c r="O50" s="173">
        <f t="shared" si="7"/>
        <v>0</v>
      </c>
    </row>
    <row r="51" spans="1:17" s="161" customFormat="1" ht="18.75" customHeight="1" x14ac:dyDescent="0.15">
      <c r="A51" s="171" t="s">
        <v>219</v>
      </c>
      <c r="B51" s="28"/>
      <c r="C51" s="168"/>
      <c r="D51" s="169"/>
      <c r="E51" s="170"/>
      <c r="F51" s="170"/>
      <c r="G51" s="170"/>
      <c r="H51" s="170"/>
      <c r="I51" s="179"/>
      <c r="J51" s="179"/>
      <c r="K51" s="179"/>
      <c r="L51" s="179"/>
      <c r="M51" s="179"/>
      <c r="N51" s="179"/>
      <c r="O51" s="173">
        <f t="shared" si="7"/>
        <v>0</v>
      </c>
    </row>
    <row r="52" spans="1:17" s="161" customFormat="1" ht="18.75" customHeight="1" x14ac:dyDescent="0.15">
      <c r="A52" s="171" t="s">
        <v>117</v>
      </c>
      <c r="B52" s="28"/>
      <c r="C52" s="168"/>
      <c r="D52" s="169"/>
      <c r="E52" s="170"/>
      <c r="F52" s="170"/>
      <c r="G52" s="170"/>
      <c r="H52" s="170"/>
      <c r="I52" s="179"/>
      <c r="J52" s="179"/>
      <c r="K52" s="179"/>
      <c r="L52" s="179"/>
      <c r="M52" s="179"/>
      <c r="N52" s="179"/>
      <c r="O52" s="173">
        <f t="shared" si="7"/>
        <v>0</v>
      </c>
    </row>
    <row r="53" spans="1:17" s="161" customFormat="1" ht="18.75" customHeight="1" x14ac:dyDescent="0.15">
      <c r="A53" s="171" t="s">
        <v>116</v>
      </c>
      <c r="B53" s="28"/>
      <c r="C53" s="168"/>
      <c r="D53" s="169"/>
      <c r="E53" s="170"/>
      <c r="F53" s="170"/>
      <c r="G53" s="170"/>
      <c r="H53" s="170"/>
      <c r="I53" s="179"/>
      <c r="J53" s="179"/>
      <c r="K53" s="179"/>
      <c r="L53" s="179"/>
      <c r="M53" s="179"/>
      <c r="N53" s="179"/>
      <c r="O53" s="173">
        <f t="shared" si="7"/>
        <v>0</v>
      </c>
    </row>
    <row r="54" spans="1:17" s="161" customFormat="1" ht="18.75" customHeight="1" x14ac:dyDescent="0.15">
      <c r="A54" s="31" t="s">
        <v>157</v>
      </c>
      <c r="B54" s="127">
        <v>4732.8999999999996</v>
      </c>
      <c r="C54" s="168">
        <v>227.04</v>
      </c>
      <c r="D54" s="169">
        <v>188.1</v>
      </c>
      <c r="E54" s="170">
        <v>459.25</v>
      </c>
      <c r="F54" s="170"/>
      <c r="G54" s="170"/>
      <c r="H54" s="170"/>
      <c r="I54" s="179"/>
      <c r="J54" s="179"/>
      <c r="K54" s="179"/>
      <c r="L54" s="179"/>
      <c r="M54" s="179"/>
      <c r="N54" s="179"/>
      <c r="O54" s="173">
        <f t="shared" si="7"/>
        <v>874.39</v>
      </c>
    </row>
    <row r="55" spans="1:17" s="161" customFormat="1" ht="18.75" customHeight="1" x14ac:dyDescent="0.15">
      <c r="A55" s="31" t="s">
        <v>158</v>
      </c>
      <c r="B55" s="127">
        <v>1297.5</v>
      </c>
      <c r="C55" s="168">
        <v>69.569999999999993</v>
      </c>
      <c r="D55" s="169">
        <v>59.097000000000001</v>
      </c>
      <c r="E55" s="170">
        <v>99.98</v>
      </c>
      <c r="F55" s="170"/>
      <c r="G55" s="170"/>
      <c r="H55" s="170"/>
      <c r="I55" s="179"/>
      <c r="J55" s="179"/>
      <c r="K55" s="179"/>
      <c r="L55" s="179"/>
      <c r="M55" s="179"/>
      <c r="N55" s="179"/>
      <c r="O55" s="173">
        <f t="shared" si="7"/>
        <v>228.64699999999999</v>
      </c>
      <c r="P55" s="181">
        <f>SUM(O45:O47,O55)</f>
        <v>7975.5888999999997</v>
      </c>
    </row>
    <row r="56" spans="1:17" s="161" customFormat="1" ht="18.75" customHeight="1" x14ac:dyDescent="0.15">
      <c r="A56" s="31" t="s">
        <v>159</v>
      </c>
      <c r="B56" s="28">
        <v>6400</v>
      </c>
      <c r="C56" s="168">
        <v>202.31299999999999</v>
      </c>
      <c r="D56" s="169">
        <v>218.58</v>
      </c>
      <c r="E56" s="170">
        <v>206.29</v>
      </c>
      <c r="F56" s="170"/>
      <c r="G56" s="170"/>
      <c r="H56" s="170"/>
      <c r="I56" s="179"/>
      <c r="J56" s="179"/>
      <c r="K56" s="179"/>
      <c r="L56" s="179"/>
      <c r="M56" s="179"/>
      <c r="N56" s="179"/>
      <c r="O56" s="173">
        <f t="shared" si="7"/>
        <v>627.18299999999999</v>
      </c>
      <c r="Q56" s="161">
        <f>E65/P55</f>
        <v>0.42316624418793702</v>
      </c>
    </row>
    <row r="57" spans="1:17" s="161" customFormat="1" ht="18.75" customHeight="1" x14ac:dyDescent="0.15">
      <c r="A57" s="31" t="s">
        <v>160</v>
      </c>
      <c r="B57" s="28">
        <v>2075</v>
      </c>
      <c r="C57" s="168">
        <v>183.1</v>
      </c>
      <c r="D57" s="169">
        <v>216.8</v>
      </c>
      <c r="E57" s="170">
        <v>280.7</v>
      </c>
      <c r="F57" s="170"/>
      <c r="G57" s="170"/>
      <c r="H57" s="170"/>
      <c r="I57" s="179"/>
      <c r="J57" s="179"/>
      <c r="K57" s="179"/>
      <c r="L57" s="179"/>
      <c r="M57" s="179"/>
      <c r="N57" s="179"/>
      <c r="O57" s="173">
        <f t="shared" si="7"/>
        <v>680.59999999999991</v>
      </c>
    </row>
    <row r="58" spans="1:17" s="161" customFormat="1" ht="18.75" customHeight="1" x14ac:dyDescent="0.15">
      <c r="A58" s="31" t="s">
        <v>176</v>
      </c>
      <c r="B58" s="28">
        <f t="shared" ref="B58:H58" si="8">SUM(B45:B48,B54:B57)</f>
        <v>63005.4</v>
      </c>
      <c r="C58" s="172">
        <f t="shared" si="8"/>
        <v>4108.7130000000006</v>
      </c>
      <c r="D58" s="173">
        <f t="shared" si="8"/>
        <v>3466.2089000000005</v>
      </c>
      <c r="E58" s="173">
        <f t="shared" si="8"/>
        <v>3720.8399999999997</v>
      </c>
      <c r="F58" s="173">
        <f t="shared" si="8"/>
        <v>0</v>
      </c>
      <c r="G58" s="173">
        <f t="shared" si="8"/>
        <v>0</v>
      </c>
      <c r="H58" s="173">
        <f t="shared" si="8"/>
        <v>0</v>
      </c>
      <c r="I58" s="173">
        <f t="shared" ref="I58:N58" si="9">SUM(I45:I48,I54:I57)</f>
        <v>0</v>
      </c>
      <c r="J58" s="173">
        <f t="shared" si="9"/>
        <v>0</v>
      </c>
      <c r="K58" s="173">
        <f t="shared" si="9"/>
        <v>0</v>
      </c>
      <c r="L58" s="173">
        <f t="shared" si="9"/>
        <v>0</v>
      </c>
      <c r="M58" s="173">
        <f t="shared" si="9"/>
        <v>0</v>
      </c>
      <c r="N58" s="173">
        <f t="shared" si="9"/>
        <v>0</v>
      </c>
      <c r="O58" s="182">
        <f t="shared" si="7"/>
        <v>11295.761900000001</v>
      </c>
    </row>
    <row r="59" spans="1:17" ht="17.25" customHeight="1" x14ac:dyDescent="0.15">
      <c r="A59" s="36" t="s">
        <v>163</v>
      </c>
      <c r="C59" s="170">
        <v>0</v>
      </c>
      <c r="D59" s="170"/>
      <c r="E59" s="170"/>
      <c r="F59" s="170"/>
      <c r="G59" s="170"/>
      <c r="H59" s="170"/>
      <c r="I59" s="170"/>
      <c r="J59" s="183"/>
      <c r="K59" s="183"/>
      <c r="L59" s="183"/>
      <c r="M59" s="184"/>
      <c r="N59" s="183"/>
      <c r="O59" s="173">
        <f t="shared" si="7"/>
        <v>0</v>
      </c>
    </row>
    <row r="60" spans="1:17" ht="17.25" customHeight="1" x14ac:dyDescent="0.15">
      <c r="A60" s="36" t="s">
        <v>164</v>
      </c>
      <c r="C60" s="170">
        <v>0</v>
      </c>
      <c r="D60" s="170"/>
      <c r="E60" s="170"/>
      <c r="F60" s="170"/>
      <c r="G60" s="170"/>
      <c r="H60" s="170"/>
      <c r="I60" s="170"/>
      <c r="J60" s="183"/>
      <c r="K60" s="183"/>
      <c r="L60" s="183"/>
      <c r="M60" s="184"/>
      <c r="N60" s="183"/>
      <c r="O60" s="173">
        <f t="shared" si="7"/>
        <v>0</v>
      </c>
    </row>
    <row r="61" spans="1:17" ht="17.25" customHeight="1" x14ac:dyDescent="0.15">
      <c r="A61" s="36" t="s">
        <v>165</v>
      </c>
      <c r="C61" s="170">
        <v>0</v>
      </c>
      <c r="D61" s="170"/>
      <c r="E61" s="170"/>
      <c r="F61" s="170"/>
      <c r="G61" s="170"/>
      <c r="H61" s="170"/>
      <c r="I61" s="170"/>
      <c r="J61" s="183"/>
      <c r="K61" s="183"/>
      <c r="L61" s="183"/>
      <c r="M61" s="175"/>
      <c r="N61" s="183"/>
      <c r="O61" s="173">
        <f t="shared" si="7"/>
        <v>0</v>
      </c>
    </row>
    <row r="62" spans="1:17" ht="17.25" customHeight="1" x14ac:dyDescent="0.15">
      <c r="A62" s="36" t="s">
        <v>176</v>
      </c>
      <c r="B62" s="175">
        <f>SUM(B59:B61)</f>
        <v>0</v>
      </c>
      <c r="C62" s="175">
        <f>SUM(C59:C61)</f>
        <v>0</v>
      </c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83"/>
      <c r="O62" s="173">
        <f t="shared" si="7"/>
        <v>0</v>
      </c>
    </row>
    <row r="63" spans="1:17" ht="17.25" customHeight="1" x14ac:dyDescent="0.15">
      <c r="A63" s="36" t="s">
        <v>238</v>
      </c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83"/>
      <c r="O63" s="173"/>
    </row>
    <row r="64" spans="1:17" ht="17.25" customHeight="1" x14ac:dyDescent="0.15">
      <c r="A64" s="176" t="s">
        <v>95</v>
      </c>
      <c r="B64" s="176">
        <f>SUM(B58,B62)</f>
        <v>63005.4</v>
      </c>
      <c r="C64" s="176">
        <f>SUM(C58,C62:C63)</f>
        <v>4108.7130000000006</v>
      </c>
      <c r="D64" s="176">
        <f t="shared" ref="D64:O64" si="10">SUM(D58,D62:D63)</f>
        <v>3466.2089000000005</v>
      </c>
      <c r="E64" s="176">
        <f t="shared" si="10"/>
        <v>3720.8399999999997</v>
      </c>
      <c r="F64" s="176">
        <f t="shared" si="10"/>
        <v>0</v>
      </c>
      <c r="G64" s="176">
        <f t="shared" si="10"/>
        <v>0</v>
      </c>
      <c r="H64" s="176">
        <f t="shared" si="10"/>
        <v>0</v>
      </c>
      <c r="I64" s="176">
        <f t="shared" si="10"/>
        <v>0</v>
      </c>
      <c r="J64" s="176">
        <f t="shared" si="10"/>
        <v>0</v>
      </c>
      <c r="K64" s="176">
        <f t="shared" si="10"/>
        <v>0</v>
      </c>
      <c r="L64" s="176">
        <f t="shared" si="10"/>
        <v>0</v>
      </c>
      <c r="M64" s="176">
        <f t="shared" si="10"/>
        <v>0</v>
      </c>
      <c r="N64" s="176">
        <f t="shared" si="10"/>
        <v>0</v>
      </c>
      <c r="O64" s="176">
        <f t="shared" si="10"/>
        <v>11295.761900000001</v>
      </c>
    </row>
    <row r="65" spans="1:9" ht="13.5" x14ac:dyDescent="0.15">
      <c r="A65" s="162" t="s">
        <v>237</v>
      </c>
      <c r="C65" s="78">
        <v>1012</v>
      </c>
      <c r="E65" s="162">
        <v>3375</v>
      </c>
    </row>
    <row r="66" spans="1:9" x14ac:dyDescent="0.15">
      <c r="E66" s="162">
        <f>E65-C65</f>
        <v>2363</v>
      </c>
    </row>
    <row r="67" spans="1:9" x14ac:dyDescent="0.15">
      <c r="A67" s="185"/>
      <c r="B67" s="185"/>
      <c r="C67" s="185" t="s">
        <v>183</v>
      </c>
      <c r="D67" s="185" t="s">
        <v>184</v>
      </c>
      <c r="E67" s="185" t="s">
        <v>111</v>
      </c>
      <c r="F67" s="186" t="s">
        <v>112</v>
      </c>
      <c r="G67" s="186" t="s">
        <v>185</v>
      </c>
      <c r="H67" s="186" t="s">
        <v>114</v>
      </c>
      <c r="I67" s="183" t="s">
        <v>239</v>
      </c>
    </row>
    <row r="68" spans="1:9" x14ac:dyDescent="0.15">
      <c r="A68" s="138" t="s">
        <v>148</v>
      </c>
      <c r="B68" s="185"/>
      <c r="C68" s="187">
        <f>D45</f>
        <v>405.42</v>
      </c>
      <c r="D68" s="187">
        <f>C45</f>
        <v>564.82000000000005</v>
      </c>
      <c r="E68" s="187">
        <f>O45</f>
        <v>1477.25</v>
      </c>
      <c r="F68" s="188">
        <f>P23</f>
        <v>493.43589999999995</v>
      </c>
      <c r="G68" s="186">
        <f>C68-D68</f>
        <v>-159.40000000000003</v>
      </c>
      <c r="H68" s="186">
        <f>E68-F68</f>
        <v>983.81410000000005</v>
      </c>
      <c r="I68" s="190">
        <f>D23</f>
        <v>157.1174</v>
      </c>
    </row>
    <row r="69" spans="1:9" x14ac:dyDescent="0.15">
      <c r="A69" s="138" t="s">
        <v>149</v>
      </c>
      <c r="B69" s="185"/>
      <c r="C69" s="187">
        <f t="shared" ref="C69:C81" si="11">D46</f>
        <v>723.43240000000003</v>
      </c>
      <c r="D69" s="187">
        <f t="shared" ref="D69:D81" si="12">C46</f>
        <v>648.91</v>
      </c>
      <c r="E69" s="187">
        <f t="shared" ref="E69:E81" si="13">O46</f>
        <v>2082.1423999999997</v>
      </c>
      <c r="F69" s="188">
        <f t="shared" ref="F69:F81" si="14">P24</f>
        <v>580.85820000000001</v>
      </c>
      <c r="G69" s="186">
        <f t="shared" ref="G69:G81" si="15">C69-D69</f>
        <v>74.522400000000061</v>
      </c>
      <c r="H69" s="186">
        <f t="shared" ref="H69:H81" si="16">E69-F69</f>
        <v>1501.2841999999996</v>
      </c>
      <c r="I69" s="190">
        <f>D24</f>
        <v>174.90170000000001</v>
      </c>
    </row>
    <row r="70" spans="1:9" x14ac:dyDescent="0.15">
      <c r="A70" s="138" t="s">
        <v>150</v>
      </c>
      <c r="B70" s="185"/>
      <c r="C70" s="187">
        <f t="shared" si="11"/>
        <v>1280.7795000000001</v>
      </c>
      <c r="D70" s="187">
        <f t="shared" si="12"/>
        <v>1830.96</v>
      </c>
      <c r="E70" s="187">
        <f t="shared" si="13"/>
        <v>4187.5495000000001</v>
      </c>
      <c r="F70" s="188">
        <f t="shared" si="14"/>
        <v>1128.7369000000001</v>
      </c>
      <c r="G70" s="186">
        <f t="shared" si="15"/>
        <v>-550.18049999999994</v>
      </c>
      <c r="H70" s="186">
        <f t="shared" si="16"/>
        <v>3058.8126000000002</v>
      </c>
      <c r="I70" s="190">
        <f>D25</f>
        <v>361.27050000000003</v>
      </c>
    </row>
    <row r="71" spans="1:9" x14ac:dyDescent="0.15">
      <c r="A71" s="138" t="s">
        <v>151</v>
      </c>
      <c r="B71" s="185"/>
      <c r="C71" s="187">
        <f t="shared" si="11"/>
        <v>374</v>
      </c>
      <c r="D71" s="187">
        <f t="shared" si="12"/>
        <v>382</v>
      </c>
      <c r="E71" s="187">
        <f t="shared" si="13"/>
        <v>1138</v>
      </c>
      <c r="F71" s="188">
        <f t="shared" si="14"/>
        <v>1861.134</v>
      </c>
      <c r="G71" s="186">
        <f t="shared" si="15"/>
        <v>-8</v>
      </c>
      <c r="H71" s="186">
        <f t="shared" si="16"/>
        <v>-723.13400000000001</v>
      </c>
      <c r="I71" s="190">
        <f>D26</f>
        <v>1096.1676</v>
      </c>
    </row>
    <row r="72" spans="1:9" x14ac:dyDescent="0.15">
      <c r="A72" s="138" t="s">
        <v>152</v>
      </c>
      <c r="B72" s="185"/>
      <c r="C72" s="187">
        <f t="shared" si="11"/>
        <v>0</v>
      </c>
      <c r="D72" s="187">
        <f t="shared" si="12"/>
        <v>0</v>
      </c>
      <c r="E72" s="187">
        <f t="shared" si="13"/>
        <v>0</v>
      </c>
      <c r="F72" s="188">
        <f t="shared" si="14"/>
        <v>0</v>
      </c>
      <c r="G72" s="186">
        <f t="shared" si="15"/>
        <v>0</v>
      </c>
      <c r="H72" s="186">
        <f t="shared" si="16"/>
        <v>0</v>
      </c>
      <c r="I72" s="183"/>
    </row>
    <row r="73" spans="1:9" x14ac:dyDescent="0.15">
      <c r="A73" s="189" t="s">
        <v>218</v>
      </c>
      <c r="B73" s="185"/>
      <c r="C73" s="187">
        <f t="shared" si="11"/>
        <v>0</v>
      </c>
      <c r="D73" s="187">
        <f t="shared" si="12"/>
        <v>0</v>
      </c>
      <c r="E73" s="187">
        <f t="shared" si="13"/>
        <v>0</v>
      </c>
      <c r="F73" s="188">
        <f t="shared" si="14"/>
        <v>0</v>
      </c>
      <c r="G73" s="186">
        <f t="shared" si="15"/>
        <v>0</v>
      </c>
      <c r="H73" s="186">
        <f t="shared" si="16"/>
        <v>0</v>
      </c>
      <c r="I73" s="183"/>
    </row>
    <row r="74" spans="1:9" x14ac:dyDescent="0.15">
      <c r="A74" s="189" t="s">
        <v>219</v>
      </c>
      <c r="B74" s="185"/>
      <c r="C74" s="187">
        <f t="shared" si="11"/>
        <v>0</v>
      </c>
      <c r="D74" s="187">
        <f t="shared" si="12"/>
        <v>0</v>
      </c>
      <c r="E74" s="187">
        <f t="shared" si="13"/>
        <v>0</v>
      </c>
      <c r="F74" s="188">
        <f t="shared" si="14"/>
        <v>0</v>
      </c>
      <c r="G74" s="186">
        <f t="shared" si="15"/>
        <v>0</v>
      </c>
      <c r="H74" s="186">
        <f t="shared" si="16"/>
        <v>0</v>
      </c>
      <c r="I74" s="183"/>
    </row>
    <row r="75" spans="1:9" x14ac:dyDescent="0.15">
      <c r="A75" s="189" t="s">
        <v>117</v>
      </c>
      <c r="B75" s="185"/>
      <c r="C75" s="187">
        <f t="shared" si="11"/>
        <v>0</v>
      </c>
      <c r="D75" s="187">
        <f t="shared" si="12"/>
        <v>0</v>
      </c>
      <c r="E75" s="187">
        <f t="shared" si="13"/>
        <v>0</v>
      </c>
      <c r="F75" s="188">
        <f t="shared" si="14"/>
        <v>0</v>
      </c>
      <c r="G75" s="186">
        <f t="shared" si="15"/>
        <v>0</v>
      </c>
      <c r="H75" s="186">
        <f t="shared" si="16"/>
        <v>0</v>
      </c>
      <c r="I75" s="183"/>
    </row>
    <row r="76" spans="1:9" x14ac:dyDescent="0.15">
      <c r="A76" s="189" t="s">
        <v>116</v>
      </c>
      <c r="B76" s="185"/>
      <c r="C76" s="187">
        <f t="shared" si="11"/>
        <v>0</v>
      </c>
      <c r="D76" s="187">
        <f t="shared" si="12"/>
        <v>0</v>
      </c>
      <c r="E76" s="187">
        <f t="shared" si="13"/>
        <v>0</v>
      </c>
      <c r="F76" s="188">
        <f t="shared" si="14"/>
        <v>0</v>
      </c>
      <c r="G76" s="186">
        <f t="shared" si="15"/>
        <v>0</v>
      </c>
      <c r="H76" s="186">
        <f t="shared" si="16"/>
        <v>0</v>
      </c>
      <c r="I76" s="183"/>
    </row>
    <row r="77" spans="1:9" x14ac:dyDescent="0.15">
      <c r="A77" s="138" t="s">
        <v>157</v>
      </c>
      <c r="B77" s="185"/>
      <c r="C77" s="187">
        <f t="shared" si="11"/>
        <v>188.1</v>
      </c>
      <c r="D77" s="187">
        <f t="shared" si="12"/>
        <v>227.04</v>
      </c>
      <c r="E77" s="187">
        <f t="shared" si="13"/>
        <v>874.39</v>
      </c>
      <c r="F77" s="188">
        <f t="shared" si="14"/>
        <v>218.95000000000002</v>
      </c>
      <c r="G77" s="186">
        <f t="shared" si="15"/>
        <v>-38.94</v>
      </c>
      <c r="H77" s="186">
        <f t="shared" si="16"/>
        <v>655.43999999999994</v>
      </c>
      <c r="I77" s="190">
        <f>D32</f>
        <v>143.05000000000001</v>
      </c>
    </row>
    <row r="78" spans="1:9" x14ac:dyDescent="0.15">
      <c r="A78" s="138" t="s">
        <v>158</v>
      </c>
      <c r="B78" s="185"/>
      <c r="C78" s="187">
        <f t="shared" si="11"/>
        <v>59.097000000000001</v>
      </c>
      <c r="D78" s="187">
        <f t="shared" si="12"/>
        <v>69.569999999999993</v>
      </c>
      <c r="E78" s="187">
        <f t="shared" si="13"/>
        <v>228.64699999999999</v>
      </c>
      <c r="F78" s="188">
        <f t="shared" si="14"/>
        <v>88.366399999999999</v>
      </c>
      <c r="G78" s="186">
        <f t="shared" si="15"/>
        <v>-10.472999999999992</v>
      </c>
      <c r="H78" s="186">
        <f t="shared" si="16"/>
        <v>140.28059999999999</v>
      </c>
      <c r="I78" s="190">
        <f>D33</f>
        <v>28.1112</v>
      </c>
    </row>
    <row r="79" spans="1:9" x14ac:dyDescent="0.15">
      <c r="A79" s="138" t="s">
        <v>159</v>
      </c>
      <c r="B79" s="185"/>
      <c r="C79" s="187">
        <f t="shared" si="11"/>
        <v>218.58</v>
      </c>
      <c r="D79" s="187">
        <f t="shared" si="12"/>
        <v>202.31299999999999</v>
      </c>
      <c r="E79" s="187">
        <f t="shared" si="13"/>
        <v>627.18299999999999</v>
      </c>
      <c r="F79" s="188">
        <f t="shared" si="14"/>
        <v>1107.4596000000001</v>
      </c>
      <c r="G79" s="186">
        <f t="shared" si="15"/>
        <v>16.267000000000024</v>
      </c>
      <c r="H79" s="186">
        <f t="shared" si="16"/>
        <v>-480.27660000000014</v>
      </c>
      <c r="I79" s="190">
        <f>D34</f>
        <v>541.20119999999997</v>
      </c>
    </row>
    <row r="80" spans="1:9" x14ac:dyDescent="0.15">
      <c r="A80" s="138" t="s">
        <v>160</v>
      </c>
      <c r="B80" s="185"/>
      <c r="C80" s="187">
        <f t="shared" si="11"/>
        <v>216.8</v>
      </c>
      <c r="D80" s="187">
        <f t="shared" si="12"/>
        <v>183.1</v>
      </c>
      <c r="E80" s="187">
        <f t="shared" si="13"/>
        <v>680.59999999999991</v>
      </c>
      <c r="F80" s="188">
        <f t="shared" si="14"/>
        <v>145.5</v>
      </c>
      <c r="G80" s="186">
        <f t="shared" si="15"/>
        <v>33.700000000000017</v>
      </c>
      <c r="H80" s="186">
        <f t="shared" si="16"/>
        <v>535.09999999999991</v>
      </c>
      <c r="I80" s="190">
        <f>D35</f>
        <v>142.80000000000001</v>
      </c>
    </row>
    <row r="81" spans="1:11" x14ac:dyDescent="0.15">
      <c r="A81" s="138" t="s">
        <v>176</v>
      </c>
      <c r="B81" s="185"/>
      <c r="C81" s="187">
        <f t="shared" si="11"/>
        <v>3466.2089000000005</v>
      </c>
      <c r="D81" s="187">
        <f t="shared" si="12"/>
        <v>4108.7130000000006</v>
      </c>
      <c r="E81" s="187">
        <f t="shared" si="13"/>
        <v>11295.761900000001</v>
      </c>
      <c r="F81" s="188">
        <f t="shared" si="14"/>
        <v>5624.4410000000007</v>
      </c>
      <c r="G81" s="186">
        <f t="shared" si="15"/>
        <v>-642.50410000000011</v>
      </c>
      <c r="H81" s="186">
        <f t="shared" si="16"/>
        <v>5671.3209000000006</v>
      </c>
      <c r="I81" s="190">
        <f>D36</f>
        <v>2644.6196</v>
      </c>
      <c r="J81" s="162">
        <f>K81/I81</f>
        <v>0.31066445246038432</v>
      </c>
      <c r="K81" s="180">
        <f>C81-I81</f>
        <v>821.58930000000055</v>
      </c>
    </row>
    <row r="82" spans="1:11" x14ac:dyDescent="0.15">
      <c r="C82" s="180">
        <f>结算电量表!R103-交易电量!C81</f>
        <v>6198.0870999999997</v>
      </c>
    </row>
    <row r="84" spans="1:11" x14ac:dyDescent="0.15">
      <c r="A84" s="185"/>
      <c r="B84" s="185"/>
      <c r="C84" s="185" t="s">
        <v>183</v>
      </c>
      <c r="D84" s="185" t="s">
        <v>239</v>
      </c>
      <c r="E84" s="185" t="s">
        <v>111</v>
      </c>
      <c r="F84" s="186" t="s">
        <v>112</v>
      </c>
      <c r="G84" s="186" t="s">
        <v>185</v>
      </c>
      <c r="H84" s="186" t="s">
        <v>114</v>
      </c>
      <c r="I84" s="183" t="s">
        <v>239</v>
      </c>
    </row>
    <row r="85" spans="1:11" x14ac:dyDescent="0.15">
      <c r="A85" s="138" t="s">
        <v>148</v>
      </c>
      <c r="B85" s="185"/>
      <c r="C85" s="187">
        <f>结算电量表!R90-交易电量!C68</f>
        <v>1017.4459999999999</v>
      </c>
      <c r="D85" s="187">
        <f>结算电量表!R57-交易电量!I68</f>
        <v>792.80140000000006</v>
      </c>
      <c r="E85" s="187">
        <f>结算电量表!AC90-交易电量!E68</f>
        <v>4658.791299999999</v>
      </c>
      <c r="F85" s="188">
        <f>结算电量表!AD57-交易电量!F68</f>
        <v>4259.7713999999996</v>
      </c>
      <c r="G85" s="186">
        <f>C85-D85</f>
        <v>224.64459999999985</v>
      </c>
      <c r="H85" s="186">
        <f>E85-F85</f>
        <v>399.01989999999932</v>
      </c>
      <c r="I85" s="190">
        <f>D40</f>
        <v>3321</v>
      </c>
    </row>
    <row r="86" spans="1:11" x14ac:dyDescent="0.15">
      <c r="A86" s="138" t="s">
        <v>149</v>
      </c>
      <c r="B86" s="185"/>
      <c r="C86" s="187">
        <f>结算电量表!R91-交易电量!C69</f>
        <v>238.84759999999994</v>
      </c>
      <c r="D86" s="187">
        <f>结算电量表!R58-交易电量!I69</f>
        <v>768.49829999999997</v>
      </c>
      <c r="E86" s="187">
        <f>结算电量表!AC91-交易电量!E69</f>
        <v>2746.4195999999802</v>
      </c>
      <c r="F86" s="188">
        <f>结算电量表!AD58-交易电量!F69</f>
        <v>3241.2518</v>
      </c>
      <c r="G86" s="186">
        <f t="shared" ref="G86:G98" si="17">C86-D86</f>
        <v>-529.65070000000003</v>
      </c>
      <c r="H86" s="186">
        <f t="shared" ref="H86:H98" si="18">E86-F86</f>
        <v>-494.83220000001984</v>
      </c>
      <c r="I86" s="190">
        <f>D41</f>
        <v>5965.6196</v>
      </c>
    </row>
    <row r="87" spans="1:11" x14ac:dyDescent="0.15">
      <c r="A87" s="138" t="s">
        <v>150</v>
      </c>
      <c r="B87" s="185"/>
      <c r="C87" s="187">
        <f>结算电量表!R92-交易电量!C70</f>
        <v>578.04049999999984</v>
      </c>
      <c r="D87" s="187">
        <f>结算电量表!R59-交易电量!I70</f>
        <v>908.56949999999983</v>
      </c>
      <c r="E87" s="187">
        <f>结算电量表!AC92-交易电量!E70</f>
        <v>4888.5004999999992</v>
      </c>
      <c r="F87" s="188">
        <f>结算电量表!AD59-交易电量!F70</f>
        <v>6152.6490999999996</v>
      </c>
      <c r="G87" s="186">
        <f t="shared" si="17"/>
        <v>-330.529</v>
      </c>
      <c r="H87" s="186">
        <f t="shared" si="18"/>
        <v>-1264.1486000000004</v>
      </c>
      <c r="I87" s="190">
        <f>D42</f>
        <v>0</v>
      </c>
    </row>
    <row r="88" spans="1:11" x14ac:dyDescent="0.15">
      <c r="A88" s="138" t="s">
        <v>151</v>
      </c>
      <c r="B88" s="185"/>
      <c r="C88" s="187">
        <f>结算电量表!R93-交易电量!C71</f>
        <v>1074.5</v>
      </c>
      <c r="D88" s="187">
        <f>结算电量表!R60-交易电量!I71</f>
        <v>-0.16759999999999309</v>
      </c>
      <c r="E88" s="187">
        <f>结算电量表!AC93-交易电量!E71</f>
        <v>5720.74</v>
      </c>
      <c r="F88" s="188">
        <f>结算电量表!AD60-交易电量!F71</f>
        <v>2253.366</v>
      </c>
      <c r="G88" s="186">
        <f t="shared" si="17"/>
        <v>1074.6676</v>
      </c>
      <c r="H88" s="186">
        <f t="shared" si="18"/>
        <v>3467.3739999999998</v>
      </c>
      <c r="I88" s="190">
        <f>D43</f>
        <v>0</v>
      </c>
    </row>
    <row r="89" spans="1:11" x14ac:dyDescent="0.15">
      <c r="A89" s="138" t="s">
        <v>152</v>
      </c>
      <c r="B89" s="185"/>
      <c r="C89" s="187">
        <f>结算电量表!R94-交易电量!C72</f>
        <v>2353.5</v>
      </c>
      <c r="D89" s="187">
        <f>结算电量表!R61-交易电量!I72</f>
        <v>548.5</v>
      </c>
      <c r="E89" s="187">
        <f>结算电量表!AC94-交易电量!E72</f>
        <v>19059.675000000003</v>
      </c>
      <c r="F89" s="188">
        <f>结算电量表!AD61-交易电量!F72</f>
        <v>3389.1</v>
      </c>
      <c r="G89" s="186">
        <f t="shared" si="17"/>
        <v>1805</v>
      </c>
      <c r="H89" s="186">
        <f t="shared" si="18"/>
        <v>15670.575000000003</v>
      </c>
      <c r="I89" s="183"/>
    </row>
    <row r="90" spans="1:11" x14ac:dyDescent="0.15">
      <c r="A90" s="189" t="s">
        <v>218</v>
      </c>
      <c r="B90" s="185"/>
      <c r="C90" s="187">
        <f>结算电量表!R95-交易电量!C73</f>
        <v>667.26</v>
      </c>
      <c r="D90" s="187">
        <f>结算电量表!R62-交易电量!I73</f>
        <v>458.7</v>
      </c>
      <c r="E90" s="187">
        <f>结算电量表!AC95-交易电量!E73</f>
        <v>3325.74</v>
      </c>
      <c r="F90" s="188">
        <f>结算电量表!AD62-交易电量!F73</f>
        <v>2467.08</v>
      </c>
      <c r="G90" s="186">
        <f t="shared" si="17"/>
        <v>208.56</v>
      </c>
      <c r="H90" s="186">
        <f t="shared" si="18"/>
        <v>858.65999999999985</v>
      </c>
      <c r="I90" s="183"/>
    </row>
    <row r="91" spans="1:11" x14ac:dyDescent="0.15">
      <c r="A91" s="189" t="s">
        <v>219</v>
      </c>
      <c r="B91" s="185"/>
      <c r="C91" s="187">
        <f>结算电量表!R96-交易电量!C74</f>
        <v>144.37</v>
      </c>
      <c r="D91" s="187">
        <f>结算电量表!R63-交易电量!I74</f>
        <v>89.775000000000006</v>
      </c>
      <c r="E91" s="187">
        <f>结算电量表!AC96-交易电量!E74</f>
        <v>1127.6950000000002</v>
      </c>
      <c r="F91" s="188">
        <f>结算电量表!AD63-交易电量!F74</f>
        <v>921.90499999999997</v>
      </c>
      <c r="G91" s="186">
        <f t="shared" si="17"/>
        <v>54.594999999999999</v>
      </c>
      <c r="H91" s="186">
        <f t="shared" si="18"/>
        <v>205.79000000000019</v>
      </c>
      <c r="I91" s="183"/>
    </row>
    <row r="92" spans="1:11" x14ac:dyDescent="0.15">
      <c r="A92" s="189" t="s">
        <v>117</v>
      </c>
      <c r="B92" s="185"/>
      <c r="C92" s="187">
        <f>结算电量表!R97-交易电量!C75</f>
        <v>718.85</v>
      </c>
      <c r="D92" s="187">
        <f>结算电量表!R64-交易电量!I75</f>
        <v>0</v>
      </c>
      <c r="E92" s="187">
        <f>结算电量表!AC97-交易电量!E75</f>
        <v>7571.3</v>
      </c>
      <c r="F92" s="188">
        <f>结算电量表!AD64-交易电量!F75</f>
        <v>0</v>
      </c>
      <c r="G92" s="186">
        <f t="shared" si="17"/>
        <v>718.85</v>
      </c>
      <c r="H92" s="186">
        <f t="shared" si="18"/>
        <v>7571.3</v>
      </c>
      <c r="I92" s="183"/>
    </row>
    <row r="93" spans="1:11" x14ac:dyDescent="0.15">
      <c r="A93" s="189" t="s">
        <v>116</v>
      </c>
      <c r="B93" s="185"/>
      <c r="C93" s="187">
        <f>结算电量表!R98-交易电量!C76</f>
        <v>823.02</v>
      </c>
      <c r="D93" s="187">
        <f>结算电量表!R65-交易电量!I76</f>
        <v>0</v>
      </c>
      <c r="E93" s="187">
        <f>结算电量表!AC98-交易电量!E76</f>
        <v>7034.94</v>
      </c>
      <c r="F93" s="188">
        <f>结算电量表!AD65-交易电量!F76</f>
        <v>0</v>
      </c>
      <c r="G93" s="186">
        <f t="shared" si="17"/>
        <v>823.02</v>
      </c>
      <c r="H93" s="186">
        <f t="shared" si="18"/>
        <v>7034.94</v>
      </c>
      <c r="I93" s="183"/>
    </row>
    <row r="94" spans="1:11" x14ac:dyDescent="0.15">
      <c r="A94" s="138" t="s">
        <v>157</v>
      </c>
      <c r="B94" s="185"/>
      <c r="C94" s="187">
        <f>结算电量表!R99-交易电量!C77</f>
        <v>104.38000000000002</v>
      </c>
      <c r="D94" s="187">
        <f>结算电量表!R66-交易电量!I77</f>
        <v>107.75</v>
      </c>
      <c r="E94" s="187">
        <f>结算电量表!AC99-交易电量!E77</f>
        <v>1253.2772</v>
      </c>
      <c r="F94" s="188">
        <f>结算电量表!AD66-交易电量!F77</f>
        <v>1844.95</v>
      </c>
      <c r="G94" s="186">
        <f t="shared" si="17"/>
        <v>-3.3699999999999761</v>
      </c>
      <c r="H94" s="186">
        <f t="shared" si="18"/>
        <v>-591.67280000000005</v>
      </c>
      <c r="I94" s="190">
        <f>D49</f>
        <v>0</v>
      </c>
    </row>
    <row r="95" spans="1:11" x14ac:dyDescent="0.15">
      <c r="A95" s="138" t="s">
        <v>158</v>
      </c>
      <c r="B95" s="185"/>
      <c r="C95" s="187">
        <f>结算电量表!R100-交易电量!C78</f>
        <v>304.93299999999999</v>
      </c>
      <c r="D95" s="187">
        <f>结算电量表!R67-交易电量!I78</f>
        <v>221.49880000000002</v>
      </c>
      <c r="E95" s="187">
        <f>结算电量表!AC100-交易电量!E78</f>
        <v>1119.1930000000002</v>
      </c>
      <c r="F95" s="188">
        <f>结算电量表!AD67-交易电量!F78</f>
        <v>1084.2836000000002</v>
      </c>
      <c r="G95" s="186">
        <f t="shared" si="17"/>
        <v>83.434199999999976</v>
      </c>
      <c r="H95" s="186">
        <f t="shared" si="18"/>
        <v>34.909400000000005</v>
      </c>
      <c r="I95" s="190">
        <f>D50</f>
        <v>0</v>
      </c>
    </row>
    <row r="96" spans="1:11" x14ac:dyDescent="0.15">
      <c r="A96" s="138" t="s">
        <v>159</v>
      </c>
      <c r="B96" s="185"/>
      <c r="C96" s="187">
        <f>结算电量表!R101-交易电量!C79</f>
        <v>415.09999999999991</v>
      </c>
      <c r="D96" s="187">
        <f>结算电量表!R68-交易电量!I79</f>
        <v>-0.20119999999997162</v>
      </c>
      <c r="E96" s="187">
        <f>结算电量表!AC101-交易电量!E79</f>
        <v>2047.8560000000002</v>
      </c>
      <c r="F96" s="188">
        <f>结算电量表!AD68-交易电量!F79</f>
        <v>1363.2903999999999</v>
      </c>
      <c r="G96" s="186">
        <f t="shared" si="17"/>
        <v>415.30119999999988</v>
      </c>
      <c r="H96" s="186">
        <f t="shared" si="18"/>
        <v>684.56560000000036</v>
      </c>
      <c r="I96" s="190">
        <f>D51</f>
        <v>0</v>
      </c>
    </row>
    <row r="97" spans="1:9" x14ac:dyDescent="0.15">
      <c r="A97" s="138" t="s">
        <v>160</v>
      </c>
      <c r="B97" s="185"/>
      <c r="C97" s="187">
        <f>结算电量表!R102-交易电量!C80</f>
        <v>111.33999999999997</v>
      </c>
      <c r="D97" s="187">
        <f>结算电量表!R69-交易电量!I80</f>
        <v>166.25</v>
      </c>
      <c r="E97" s="187">
        <f>结算电量表!AC102-交易电量!E80</f>
        <v>768.1400000000001</v>
      </c>
      <c r="F97" s="188">
        <f>结算电量表!AD69-交易电量!F80</f>
        <v>1215.925</v>
      </c>
      <c r="G97" s="186">
        <f t="shared" si="17"/>
        <v>-54.910000000000025</v>
      </c>
      <c r="H97" s="186">
        <f t="shared" si="18"/>
        <v>-447.78499999999985</v>
      </c>
      <c r="I97" s="190">
        <f>D52</f>
        <v>0</v>
      </c>
    </row>
    <row r="98" spans="1:9" x14ac:dyDescent="0.15">
      <c r="A98" s="138" t="s">
        <v>176</v>
      </c>
      <c r="B98" s="185"/>
      <c r="C98" s="187">
        <f>结算电量表!R103-交易电量!C81</f>
        <v>6198.0870999999997</v>
      </c>
      <c r="D98" s="187">
        <f>结算电量表!R70-交易电量!I81</f>
        <v>3513.4992000000002</v>
      </c>
      <c r="E98" s="187">
        <f>结算电量表!AC103-交易电量!E81</f>
        <v>42262.592599999974</v>
      </c>
      <c r="F98" s="188">
        <f>结算电量表!AD70-交易电量!F81</f>
        <v>24804.587299999999</v>
      </c>
      <c r="G98" s="186">
        <f t="shared" si="17"/>
        <v>2684.5878999999995</v>
      </c>
      <c r="H98" s="186">
        <f t="shared" si="18"/>
        <v>17458.005299999975</v>
      </c>
      <c r="I98" s="190">
        <f>D53</f>
        <v>0</v>
      </c>
    </row>
  </sheetData>
  <mergeCells count="3">
    <mergeCell ref="C1:N1"/>
    <mergeCell ref="C21:N21"/>
    <mergeCell ref="C43:N43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120"/>
  <sheetViews>
    <sheetView workbookViewId="0">
      <pane xSplit="1" ySplit="1" topLeftCell="B74" activePane="bottomRight" state="frozenSplit"/>
      <selection pane="topRight"/>
      <selection pane="bottomLeft"/>
      <selection pane="bottomRight" activeCell="Q94" sqref="Q94"/>
    </sheetView>
  </sheetViews>
  <sheetFormatPr defaultColWidth="9" defaultRowHeight="13.5" x14ac:dyDescent="0.15"/>
  <cols>
    <col min="1" max="1" width="13.5" customWidth="1"/>
    <col min="2" max="2" width="10.125" customWidth="1"/>
    <col min="3" max="3" width="8" customWidth="1"/>
    <col min="4" max="4" width="10.5" customWidth="1"/>
    <col min="5" max="5" width="9.5" customWidth="1"/>
    <col min="6" max="12" width="8" customWidth="1"/>
    <col min="13" max="13" width="9.875" customWidth="1"/>
    <col min="14" max="14" width="8" customWidth="1"/>
    <col min="15" max="15" width="10.625" customWidth="1"/>
    <col min="16" max="16" width="10.5" customWidth="1"/>
    <col min="17" max="17" width="12.125" customWidth="1"/>
    <col min="18" max="18" width="12.625"/>
  </cols>
  <sheetData>
    <row r="1" spans="1:16" s="78" customFormat="1" ht="25.5" customHeight="1" x14ac:dyDescent="0.15">
      <c r="A1" s="115" t="s">
        <v>197</v>
      </c>
      <c r="B1" s="115" t="s">
        <v>0</v>
      </c>
      <c r="C1" s="115" t="s">
        <v>83</v>
      </c>
      <c r="D1" s="115" t="s">
        <v>84</v>
      </c>
      <c r="E1" s="115" t="s">
        <v>85</v>
      </c>
      <c r="F1" s="115" t="s">
        <v>86</v>
      </c>
      <c r="G1" s="115" t="s">
        <v>87</v>
      </c>
      <c r="H1" s="115" t="s">
        <v>88</v>
      </c>
      <c r="I1" s="115" t="s">
        <v>89</v>
      </c>
      <c r="J1" s="115" t="s">
        <v>90</v>
      </c>
      <c r="K1" s="115" t="s">
        <v>91</v>
      </c>
      <c r="L1" s="115" t="s">
        <v>92</v>
      </c>
      <c r="M1" s="115" t="s">
        <v>93</v>
      </c>
      <c r="N1" s="115" t="s">
        <v>94</v>
      </c>
      <c r="O1" s="115" t="s">
        <v>13</v>
      </c>
    </row>
    <row r="2" spans="1:16" s="78" customFormat="1" ht="21" customHeight="1" x14ac:dyDescent="0.15">
      <c r="A2" s="116" t="s">
        <v>148</v>
      </c>
      <c r="B2" s="116"/>
      <c r="C2" s="117">
        <v>319.07</v>
      </c>
      <c r="D2" s="117">
        <v>182.06</v>
      </c>
      <c r="E2" s="117">
        <v>265.82</v>
      </c>
      <c r="F2" s="117">
        <v>10.210000000000001</v>
      </c>
      <c r="G2" s="117">
        <v>296.49</v>
      </c>
      <c r="H2" s="117">
        <v>-106.55</v>
      </c>
      <c r="I2" s="117">
        <v>288.18</v>
      </c>
      <c r="J2" s="117">
        <v>-65.569999999999993</v>
      </c>
      <c r="K2" s="117">
        <v>-164.33</v>
      </c>
      <c r="L2" s="117">
        <v>-233.78</v>
      </c>
      <c r="M2" s="117">
        <v>-250.14</v>
      </c>
      <c r="N2" s="117">
        <v>231.25</v>
      </c>
      <c r="O2" s="117">
        <v>772.72</v>
      </c>
    </row>
    <row r="3" spans="1:16" s="78" customFormat="1" ht="21" customHeight="1" x14ac:dyDescent="0.15">
      <c r="A3" s="116" t="s">
        <v>149</v>
      </c>
      <c r="B3" s="116"/>
      <c r="C3" s="117">
        <v>-188.46</v>
      </c>
      <c r="D3" s="117">
        <v>307.85000000000002</v>
      </c>
      <c r="E3" s="117">
        <v>161.88</v>
      </c>
      <c r="F3" s="117">
        <v>297.47000000000003</v>
      </c>
      <c r="G3" s="117">
        <v>169.27</v>
      </c>
      <c r="H3" s="117">
        <v>223.11</v>
      </c>
      <c r="I3" s="117">
        <v>188.69</v>
      </c>
      <c r="J3" s="117">
        <v>194.06</v>
      </c>
      <c r="K3" s="117">
        <v>17.3</v>
      </c>
      <c r="L3" s="117">
        <v>-67.83</v>
      </c>
      <c r="M3" s="117">
        <v>-227.79</v>
      </c>
      <c r="N3" s="117">
        <v>-59.13</v>
      </c>
      <c r="O3" s="117">
        <v>1016.42</v>
      </c>
    </row>
    <row r="4" spans="1:16" s="78" customFormat="1" ht="21" customHeight="1" x14ac:dyDescent="0.15">
      <c r="A4" s="116" t="s">
        <v>150</v>
      </c>
      <c r="B4" s="116"/>
      <c r="C4" s="117">
        <v>-314.66000000000003</v>
      </c>
      <c r="D4" s="117">
        <v>393.7</v>
      </c>
      <c r="E4" s="117">
        <v>185.54</v>
      </c>
      <c r="F4" s="117">
        <v>441.13</v>
      </c>
      <c r="G4" s="117">
        <v>458.7</v>
      </c>
      <c r="H4" s="117">
        <v>341.22</v>
      </c>
      <c r="I4" s="117">
        <v>101.87</v>
      </c>
      <c r="J4" s="117">
        <v>165.81</v>
      </c>
      <c r="K4" s="117">
        <v>-315.31</v>
      </c>
      <c r="L4" s="117">
        <v>-234.77</v>
      </c>
      <c r="M4" s="117">
        <v>-553.36</v>
      </c>
      <c r="N4" s="117">
        <v>-482.78</v>
      </c>
      <c r="O4" s="117">
        <v>187.09</v>
      </c>
    </row>
    <row r="5" spans="1:16" s="78" customFormat="1" ht="21" customHeight="1" x14ac:dyDescent="0.15">
      <c r="A5" s="116" t="s">
        <v>151</v>
      </c>
      <c r="B5" s="116"/>
      <c r="C5" s="117">
        <v>474.71</v>
      </c>
      <c r="D5" s="117">
        <v>327.16000000000003</v>
      </c>
      <c r="E5" s="117">
        <v>365.77</v>
      </c>
      <c r="F5" s="117">
        <v>431.45</v>
      </c>
      <c r="G5" s="117">
        <v>485.08</v>
      </c>
      <c r="H5" s="117">
        <v>321.33999999999997</v>
      </c>
      <c r="I5" s="117">
        <v>241.41</v>
      </c>
      <c r="J5" s="117">
        <v>86.54</v>
      </c>
      <c r="K5" s="117">
        <v>-26.76</v>
      </c>
      <c r="L5" s="117">
        <v>151.65</v>
      </c>
      <c r="M5" s="117">
        <v>175.31</v>
      </c>
      <c r="N5" s="117">
        <v>90.82</v>
      </c>
      <c r="O5" s="117">
        <v>3124.47</v>
      </c>
    </row>
    <row r="6" spans="1:16" s="78" customFormat="1" ht="21" customHeight="1" x14ac:dyDescent="0.15">
      <c r="A6" s="116" t="s">
        <v>152</v>
      </c>
      <c r="B6" s="116"/>
      <c r="C6" s="117">
        <v>127.51</v>
      </c>
      <c r="D6" s="117">
        <v>146.69999999999999</v>
      </c>
      <c r="E6" s="117">
        <v>384.2</v>
      </c>
      <c r="F6" s="117">
        <v>434.58</v>
      </c>
      <c r="G6" s="117">
        <v>489.72</v>
      </c>
      <c r="H6" s="117">
        <v>102.53</v>
      </c>
      <c r="I6" s="117">
        <v>26.38</v>
      </c>
      <c r="J6" s="117">
        <v>-524.63</v>
      </c>
      <c r="K6" s="117">
        <v>-166.09</v>
      </c>
      <c r="L6" s="117">
        <v>169.98</v>
      </c>
      <c r="M6" s="117">
        <v>257.55</v>
      </c>
      <c r="N6" s="117">
        <v>-165.81</v>
      </c>
      <c r="O6" s="117">
        <v>1282.5999999999999</v>
      </c>
    </row>
    <row r="7" spans="1:16" s="78" customFormat="1" ht="21" customHeight="1" x14ac:dyDescent="0.15">
      <c r="A7" s="116" t="s">
        <v>157</v>
      </c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</row>
    <row r="8" spans="1:16" s="78" customFormat="1" ht="21" customHeight="1" x14ac:dyDescent="0.15">
      <c r="A8" s="116" t="s">
        <v>158</v>
      </c>
      <c r="B8" s="116"/>
      <c r="C8" s="117">
        <v>-31.11</v>
      </c>
      <c r="D8" s="117">
        <v>-37.659999999999997</v>
      </c>
      <c r="E8" s="117">
        <v>-112.26</v>
      </c>
      <c r="F8" s="117">
        <v>-132.91999999999999</v>
      </c>
      <c r="G8" s="117">
        <v>-46.34</v>
      </c>
      <c r="H8" s="117">
        <v>-53.33</v>
      </c>
      <c r="I8" s="117">
        <v>-98.26</v>
      </c>
      <c r="J8" s="117">
        <v>-48.42</v>
      </c>
      <c r="K8" s="117">
        <v>-68.06</v>
      </c>
      <c r="L8" s="117">
        <v>-48.88</v>
      </c>
      <c r="M8" s="117">
        <v>-263.77999999999997</v>
      </c>
      <c r="N8" s="117">
        <v>-66.14</v>
      </c>
      <c r="O8" s="117">
        <v>-1007.14</v>
      </c>
    </row>
    <row r="9" spans="1:16" s="78" customFormat="1" ht="21" customHeight="1" x14ac:dyDescent="0.15">
      <c r="A9" s="116" t="s">
        <v>159</v>
      </c>
      <c r="B9" s="116"/>
      <c r="C9" s="117">
        <v>-2.52</v>
      </c>
      <c r="D9" s="117">
        <v>113.22</v>
      </c>
      <c r="E9" s="117">
        <v>46.55</v>
      </c>
      <c r="F9" s="117">
        <v>204.01</v>
      </c>
      <c r="G9" s="117">
        <v>80.709999999999994</v>
      </c>
      <c r="H9" s="117">
        <v>117.34</v>
      </c>
      <c r="I9" s="117">
        <v>98.39</v>
      </c>
      <c r="J9" s="117">
        <v>242.26</v>
      </c>
      <c r="K9" s="117">
        <v>-26.87</v>
      </c>
      <c r="L9" s="117">
        <v>132.32</v>
      </c>
      <c r="M9" s="117">
        <v>231.44</v>
      </c>
      <c r="N9" s="117">
        <v>52.88</v>
      </c>
      <c r="O9" s="117">
        <v>1289.72</v>
      </c>
    </row>
    <row r="10" spans="1:16" s="78" customFormat="1" ht="21" customHeight="1" x14ac:dyDescent="0.15">
      <c r="A10" s="116" t="s">
        <v>160</v>
      </c>
      <c r="B10" s="116"/>
      <c r="C10" s="117">
        <v>29.13</v>
      </c>
      <c r="D10" s="117">
        <v>23.66</v>
      </c>
      <c r="E10" s="117">
        <v>53.11</v>
      </c>
      <c r="F10" s="117">
        <v>44.47</v>
      </c>
      <c r="G10" s="117">
        <v>124</v>
      </c>
      <c r="H10" s="117">
        <v>-14.05</v>
      </c>
      <c r="I10" s="117">
        <v>70.17</v>
      </c>
      <c r="J10" s="117">
        <v>66.86</v>
      </c>
      <c r="K10" s="117">
        <v>-44.28</v>
      </c>
      <c r="L10" s="117">
        <v>-11.77</v>
      </c>
      <c r="M10" s="117">
        <v>-26.74</v>
      </c>
      <c r="N10" s="117">
        <v>-79.3</v>
      </c>
      <c r="O10" s="117">
        <v>235.25</v>
      </c>
    </row>
    <row r="11" spans="1:16" s="78" customFormat="1" ht="21" customHeight="1" x14ac:dyDescent="0.15">
      <c r="A11" s="116" t="s">
        <v>95</v>
      </c>
      <c r="B11" s="116"/>
      <c r="C11" s="117">
        <v>413.67</v>
      </c>
      <c r="D11" s="117">
        <v>1456.69</v>
      </c>
      <c r="E11" s="117">
        <v>1350.61</v>
      </c>
      <c r="F11" s="117">
        <v>1730.4</v>
      </c>
      <c r="G11" s="117">
        <v>2057.63</v>
      </c>
      <c r="H11" s="117">
        <v>931.61</v>
      </c>
      <c r="I11" s="117">
        <v>916.83</v>
      </c>
      <c r="J11" s="117">
        <v>116.91</v>
      </c>
      <c r="K11" s="117">
        <v>-794.4</v>
      </c>
      <c r="L11" s="117">
        <v>-143.08000000000001</v>
      </c>
      <c r="M11" s="117">
        <v>-657.51</v>
      </c>
      <c r="N11" s="117">
        <v>-478.21</v>
      </c>
      <c r="O11" s="117">
        <v>6901.13</v>
      </c>
    </row>
    <row r="14" spans="1:16" s="78" customFormat="1" ht="21.75" customHeight="1" x14ac:dyDescent="0.15">
      <c r="A14" s="118" t="s">
        <v>147</v>
      </c>
      <c r="B14" s="118" t="s">
        <v>0</v>
      </c>
      <c r="C14" s="118" t="s">
        <v>83</v>
      </c>
      <c r="D14" s="118" t="s">
        <v>84</v>
      </c>
      <c r="E14" s="118" t="s">
        <v>85</v>
      </c>
      <c r="F14" s="118" t="s">
        <v>86</v>
      </c>
      <c r="G14" s="118" t="s">
        <v>87</v>
      </c>
      <c r="H14" s="118" t="s">
        <v>88</v>
      </c>
      <c r="I14" s="118" t="s">
        <v>89</v>
      </c>
      <c r="J14" s="118" t="s">
        <v>90</v>
      </c>
      <c r="K14" s="118" t="s">
        <v>91</v>
      </c>
      <c r="L14" s="118" t="s">
        <v>92</v>
      </c>
      <c r="M14" s="118" t="s">
        <v>93</v>
      </c>
      <c r="N14" s="118" t="s">
        <v>94</v>
      </c>
      <c r="O14" s="118" t="s">
        <v>13</v>
      </c>
      <c r="P14" s="78" t="s">
        <v>234</v>
      </c>
    </row>
    <row r="15" spans="1:16" s="78" customFormat="1" ht="19.5" customHeight="1" x14ac:dyDescent="0.15">
      <c r="A15" s="116" t="s">
        <v>148</v>
      </c>
      <c r="B15" s="116"/>
      <c r="C15" s="85">
        <v>260.04697399999998</v>
      </c>
      <c r="D15" s="85">
        <v>-76.996005999999994</v>
      </c>
      <c r="E15" s="85">
        <v>-88.517954000000302</v>
      </c>
      <c r="F15" s="85">
        <v>-34.554829999999903</v>
      </c>
      <c r="G15" s="85">
        <v>208.23940300000001</v>
      </c>
      <c r="H15" s="85">
        <v>-263.3</v>
      </c>
      <c r="I15" s="85">
        <v>-214.69822599999901</v>
      </c>
      <c r="J15" s="85">
        <v>-367.455781</v>
      </c>
      <c r="K15" s="85">
        <v>-204.134041</v>
      </c>
      <c r="L15" s="85">
        <v>-194.82773899999901</v>
      </c>
      <c r="M15" s="85">
        <v>-187.76585600000001</v>
      </c>
      <c r="N15" s="85">
        <v>-1567.1655020000001</v>
      </c>
      <c r="O15" s="85">
        <f>SUM(C15:N15)</f>
        <v>-2731.1295579999987</v>
      </c>
      <c r="P15" s="128">
        <f>SUM(C15:J15)</f>
        <v>-577.23641999999927</v>
      </c>
    </row>
    <row r="16" spans="1:16" s="78" customFormat="1" ht="19.5" customHeight="1" x14ac:dyDescent="0.15">
      <c r="A16" s="116" t="s">
        <v>149</v>
      </c>
      <c r="B16" s="116"/>
      <c r="C16" s="85">
        <v>-137.40597099999999</v>
      </c>
      <c r="D16" s="85">
        <v>-69.406600999999995</v>
      </c>
      <c r="E16" s="85">
        <v>10.4542179999999</v>
      </c>
      <c r="F16" s="85">
        <v>59.623503999999997</v>
      </c>
      <c r="G16" s="85">
        <v>-30.957870999999901</v>
      </c>
      <c r="H16" s="85">
        <v>-9.39</v>
      </c>
      <c r="I16" s="85">
        <v>-130.84759099999999</v>
      </c>
      <c r="J16" s="85">
        <v>-38.487984000000999</v>
      </c>
      <c r="K16" s="85">
        <v>-164.20548899999901</v>
      </c>
      <c r="L16" s="85">
        <v>-145.434765</v>
      </c>
      <c r="M16" s="85">
        <v>-275.920852999999</v>
      </c>
      <c r="N16" s="85">
        <v>-782.00219499999798</v>
      </c>
      <c r="O16" s="85">
        <f t="shared" ref="O16:O26" si="0">SUM(C16:N16)</f>
        <v>-1713.9815979999969</v>
      </c>
      <c r="P16" s="128">
        <f>SUM(C16:J16)</f>
        <v>-346.41829600000096</v>
      </c>
    </row>
    <row r="17" spans="1:17" s="78" customFormat="1" ht="19.5" customHeight="1" x14ac:dyDescent="0.15">
      <c r="A17" s="116" t="s">
        <v>150</v>
      </c>
      <c r="B17" s="116"/>
      <c r="C17" s="85">
        <v>-282.19869399999999</v>
      </c>
      <c r="D17" s="85">
        <v>-143.70055199999999</v>
      </c>
      <c r="E17" s="85">
        <v>-188.18883299999999</v>
      </c>
      <c r="F17" s="85">
        <v>-16.979268999999999</v>
      </c>
      <c r="G17" s="85">
        <v>-307.24574099999802</v>
      </c>
      <c r="H17" s="85">
        <v>-407.48</v>
      </c>
      <c r="I17" s="85">
        <v>-620.38827699999899</v>
      </c>
      <c r="J17" s="85">
        <v>-156.97177099999999</v>
      </c>
      <c r="K17" s="85">
        <v>-414.89823100000001</v>
      </c>
      <c r="L17" s="85">
        <v>-434.19864299999898</v>
      </c>
      <c r="M17" s="85">
        <v>-583.15978599999903</v>
      </c>
      <c r="N17" s="85">
        <v>-1409.5044359999999</v>
      </c>
      <c r="O17" s="85">
        <f t="shared" si="0"/>
        <v>-4964.914232999995</v>
      </c>
      <c r="P17" s="128">
        <f t="shared" ref="P17:P27" si="1">SUM(C17:J17)</f>
        <v>-2123.1531369999971</v>
      </c>
    </row>
    <row r="18" spans="1:17" s="78" customFormat="1" ht="19.5" customHeight="1" x14ac:dyDescent="0.15">
      <c r="A18" s="116" t="s">
        <v>151</v>
      </c>
      <c r="B18" s="116"/>
      <c r="C18" s="85">
        <v>164.09011699999999</v>
      </c>
      <c r="D18" s="85">
        <v>273.88466199999999</v>
      </c>
      <c r="E18" s="85">
        <v>241.612583</v>
      </c>
      <c r="F18" s="85">
        <v>482.93250299999897</v>
      </c>
      <c r="G18" s="85">
        <v>543.75244199999997</v>
      </c>
      <c r="H18" s="85">
        <v>464.97</v>
      </c>
      <c r="I18" s="85">
        <v>448.684348</v>
      </c>
      <c r="J18" s="85">
        <v>326.16410799999898</v>
      </c>
      <c r="K18" s="85">
        <v>205.03083100000001</v>
      </c>
      <c r="L18" s="85">
        <v>235.076302999999</v>
      </c>
      <c r="M18" s="85">
        <v>-45.367346999999803</v>
      </c>
      <c r="N18" s="85">
        <v>-380.306015</v>
      </c>
      <c r="O18" s="85">
        <f t="shared" si="0"/>
        <v>2960.5245349999964</v>
      </c>
      <c r="P18" s="128">
        <f t="shared" si="1"/>
        <v>2946.0907629999974</v>
      </c>
    </row>
    <row r="19" spans="1:17" s="78" customFormat="1" ht="19.5" customHeight="1" x14ac:dyDescent="0.15">
      <c r="A19" s="81" t="s">
        <v>240</v>
      </c>
      <c r="B19" s="116"/>
      <c r="C19" s="85">
        <v>-9.6926680000000101</v>
      </c>
      <c r="D19" s="85">
        <v>-125.33989099999999</v>
      </c>
      <c r="E19" s="85">
        <v>50.213290000000001</v>
      </c>
      <c r="F19" s="85">
        <v>89.044458000000105</v>
      </c>
      <c r="G19" s="85">
        <v>141.59142799999901</v>
      </c>
      <c r="H19" s="85">
        <v>104.78</v>
      </c>
      <c r="I19" s="85">
        <v>-9.8187459999999902</v>
      </c>
      <c r="J19" s="85">
        <v>-57.042721999999998</v>
      </c>
      <c r="K19" s="85">
        <v>-45.016472999999998</v>
      </c>
      <c r="L19" s="85">
        <v>-153.190271</v>
      </c>
      <c r="M19" s="85">
        <v>-59.659140999999998</v>
      </c>
      <c r="N19" s="85">
        <v>-592.34278199999801</v>
      </c>
      <c r="O19" s="85">
        <f t="shared" si="0"/>
        <v>-666.47351799999888</v>
      </c>
      <c r="P19" s="128">
        <f t="shared" si="1"/>
        <v>183.73514899999915</v>
      </c>
    </row>
    <row r="20" spans="1:17" s="78" customFormat="1" ht="19.5" customHeight="1" x14ac:dyDescent="0.15">
      <c r="A20" s="81" t="s">
        <v>241</v>
      </c>
      <c r="B20" s="116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128">
        <f t="shared" si="1"/>
        <v>0</v>
      </c>
    </row>
    <row r="21" spans="1:17" s="78" customFormat="1" ht="19.5" customHeight="1" x14ac:dyDescent="0.15">
      <c r="A21" s="81" t="s">
        <v>242</v>
      </c>
      <c r="B21" s="116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128">
        <f t="shared" si="1"/>
        <v>0</v>
      </c>
    </row>
    <row r="22" spans="1:17" s="78" customFormat="1" ht="19.5" customHeight="1" x14ac:dyDescent="0.15">
      <c r="A22" s="81" t="s">
        <v>243</v>
      </c>
      <c r="B22" s="116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128">
        <f t="shared" si="1"/>
        <v>0</v>
      </c>
    </row>
    <row r="23" spans="1:17" s="78" customFormat="1" ht="19.5" customHeight="1" x14ac:dyDescent="0.15">
      <c r="A23" s="116" t="s">
        <v>157</v>
      </c>
      <c r="B23" s="116"/>
      <c r="C23" s="85">
        <v>-46.143904999999997</v>
      </c>
      <c r="D23" s="85">
        <v>15.3973399999999</v>
      </c>
      <c r="E23" s="85">
        <v>149.52931000000001</v>
      </c>
      <c r="F23" s="85">
        <v>154.879955</v>
      </c>
      <c r="G23" s="85">
        <v>203.80412000000001</v>
      </c>
      <c r="H23" s="85">
        <v>275.29000000000002</v>
      </c>
      <c r="I23" s="85">
        <v>255.03912800000001</v>
      </c>
      <c r="J23" s="85">
        <v>275.81064199999901</v>
      </c>
      <c r="K23" s="85">
        <v>-123.123368999999</v>
      </c>
      <c r="L23" s="85">
        <v>-106.494856999999</v>
      </c>
      <c r="M23" s="85">
        <v>-262.25444900000002</v>
      </c>
      <c r="N23" s="85">
        <v>-405.54661099999998</v>
      </c>
      <c r="O23" s="85">
        <f t="shared" si="0"/>
        <v>386.18730400000095</v>
      </c>
      <c r="P23" s="128">
        <f t="shared" si="1"/>
        <v>1283.606589999999</v>
      </c>
    </row>
    <row r="24" spans="1:17" s="78" customFormat="1" ht="19.5" customHeight="1" x14ac:dyDescent="0.15">
      <c r="A24" s="116" t="s">
        <v>158</v>
      </c>
      <c r="B24" s="116"/>
      <c r="C24" s="85">
        <v>-46.361243000000002</v>
      </c>
      <c r="D24" s="85">
        <v>-65.486001000000002</v>
      </c>
      <c r="E24" s="85">
        <v>21.728590999999899</v>
      </c>
      <c r="F24" s="85">
        <v>-41.923316999999898</v>
      </c>
      <c r="G24" s="85">
        <v>72.620613000000006</v>
      </c>
      <c r="H24" s="85">
        <v>86.46</v>
      </c>
      <c r="I24" s="85">
        <v>62.639654000000696</v>
      </c>
      <c r="J24" s="85">
        <v>74.6665459999994</v>
      </c>
      <c r="K24" s="85">
        <v>38.785991999999901</v>
      </c>
      <c r="L24" s="85">
        <v>2.4691999999992501E-2</v>
      </c>
      <c r="M24" s="85">
        <v>-144.772717</v>
      </c>
      <c r="N24" s="85">
        <v>-407.10539999999997</v>
      </c>
      <c r="O24" s="85">
        <f t="shared" si="0"/>
        <v>-348.72258999999997</v>
      </c>
      <c r="P24" s="128">
        <f t="shared" si="1"/>
        <v>164.34484300000008</v>
      </c>
    </row>
    <row r="25" spans="1:17" s="78" customFormat="1" ht="19.5" customHeight="1" x14ac:dyDescent="0.15">
      <c r="A25" s="116" t="s">
        <v>159</v>
      </c>
      <c r="B25" s="116"/>
      <c r="C25" s="85">
        <v>28.480357999999999</v>
      </c>
      <c r="D25" s="85">
        <v>106.32575300000001</v>
      </c>
      <c r="E25" s="85">
        <v>79.874084999999894</v>
      </c>
      <c r="F25" s="85">
        <v>286.86154299999998</v>
      </c>
      <c r="G25" s="85">
        <v>268.83587399999999</v>
      </c>
      <c r="H25" s="85">
        <v>-2.21</v>
      </c>
      <c r="I25" s="85">
        <v>120.05742600000001</v>
      </c>
      <c r="J25" s="85">
        <v>226.064697</v>
      </c>
      <c r="K25" s="85">
        <v>72.164916999999804</v>
      </c>
      <c r="L25" s="85">
        <v>312.65776099999999</v>
      </c>
      <c r="M25" s="85">
        <v>145.345384999999</v>
      </c>
      <c r="N25" s="85">
        <v>141.194323</v>
      </c>
      <c r="O25" s="85">
        <f t="shared" si="0"/>
        <v>1785.6521219999984</v>
      </c>
      <c r="P25" s="128">
        <f t="shared" si="1"/>
        <v>1114.2897359999997</v>
      </c>
    </row>
    <row r="26" spans="1:17" s="78" customFormat="1" ht="19.5" customHeight="1" x14ac:dyDescent="0.15">
      <c r="A26" s="116" t="s">
        <v>160</v>
      </c>
      <c r="B26" s="116"/>
      <c r="C26" s="85">
        <v>20.057967999999999</v>
      </c>
      <c r="D26" s="85">
        <v>62.51173</v>
      </c>
      <c r="E26" s="85">
        <v>74.164888000000005</v>
      </c>
      <c r="F26" s="85">
        <v>79.447107000000003</v>
      </c>
      <c r="G26" s="85">
        <v>118.255021</v>
      </c>
      <c r="H26" s="85">
        <v>38.85</v>
      </c>
      <c r="I26" s="85">
        <v>101.480575</v>
      </c>
      <c r="J26" s="85">
        <v>118.1639</v>
      </c>
      <c r="K26" s="85">
        <v>-18.4602089999999</v>
      </c>
      <c r="L26" s="85">
        <v>-9.1706219999999696</v>
      </c>
      <c r="M26" s="85">
        <v>-202.901803999999</v>
      </c>
      <c r="N26" s="85">
        <v>-288.945841000001</v>
      </c>
      <c r="O26" s="85">
        <f t="shared" si="0"/>
        <v>93.452713000000188</v>
      </c>
      <c r="P26" s="128">
        <f t="shared" si="1"/>
        <v>612.93118900000002</v>
      </c>
    </row>
    <row r="27" spans="1:17" s="78" customFormat="1" ht="19.5" customHeight="1" x14ac:dyDescent="0.15">
      <c r="A27" s="116" t="s">
        <v>95</v>
      </c>
      <c r="B27" s="116"/>
      <c r="C27" s="85">
        <f>SUM(C15:C26)</f>
        <v>-49.127064000000033</v>
      </c>
      <c r="D27" s="85">
        <f t="shared" ref="D27:O27" si="2">SUM(D15:D26)</f>
        <v>-22.809566000000089</v>
      </c>
      <c r="E27" s="85">
        <f t="shared" si="2"/>
        <v>350.87017799999944</v>
      </c>
      <c r="F27" s="85">
        <f t="shared" si="2"/>
        <v>1059.3316539999994</v>
      </c>
      <c r="G27" s="85">
        <f t="shared" si="2"/>
        <v>1218.895289000001</v>
      </c>
      <c r="H27" s="85">
        <f t="shared" si="2"/>
        <v>287.96999999999997</v>
      </c>
      <c r="I27" s="85">
        <f t="shared" si="2"/>
        <v>12.148291000002644</v>
      </c>
      <c r="J27" s="85">
        <f t="shared" si="2"/>
        <v>400.91163499999641</v>
      </c>
      <c r="K27" s="85">
        <f t="shared" si="2"/>
        <v>-653.85607199999811</v>
      </c>
      <c r="L27" s="85">
        <f t="shared" si="2"/>
        <v>-495.55814099999799</v>
      </c>
      <c r="M27" s="85">
        <v>-1616.4565680000001</v>
      </c>
      <c r="N27" s="85">
        <f t="shared" si="2"/>
        <v>-5691.7244589999973</v>
      </c>
      <c r="O27" s="85">
        <f t="shared" si="2"/>
        <v>-5199.4048229999935</v>
      </c>
      <c r="P27" s="128">
        <f t="shared" si="1"/>
        <v>3258.1904169999984</v>
      </c>
    </row>
    <row r="29" spans="1:17" x14ac:dyDescent="0.15">
      <c r="A29" t="s">
        <v>244</v>
      </c>
    </row>
    <row r="30" spans="1:17" ht="15.75" customHeight="1" x14ac:dyDescent="0.15">
      <c r="A30" s="52" t="s">
        <v>162</v>
      </c>
      <c r="B30" s="119" t="s">
        <v>0</v>
      </c>
      <c r="C30" s="120" t="s">
        <v>83</v>
      </c>
      <c r="D30" s="120" t="s">
        <v>84</v>
      </c>
      <c r="E30" s="120" t="s">
        <v>85</v>
      </c>
      <c r="F30" s="120" t="s">
        <v>86</v>
      </c>
      <c r="G30" s="120" t="s">
        <v>87</v>
      </c>
      <c r="H30" s="120" t="s">
        <v>88</v>
      </c>
      <c r="I30" s="120" t="s">
        <v>89</v>
      </c>
      <c r="J30" s="120" t="s">
        <v>90</v>
      </c>
      <c r="K30" s="120" t="s">
        <v>91</v>
      </c>
      <c r="L30" s="120" t="s">
        <v>92</v>
      </c>
      <c r="M30" s="120" t="s">
        <v>93</v>
      </c>
      <c r="N30" s="120" t="s">
        <v>94</v>
      </c>
      <c r="O30" s="44" t="s">
        <v>95</v>
      </c>
      <c r="P30" s="129" t="s">
        <v>199</v>
      </c>
    </row>
    <row r="31" spans="1:17" ht="15.75" customHeight="1" x14ac:dyDescent="0.15">
      <c r="A31" s="36" t="s">
        <v>148</v>
      </c>
      <c r="B31" s="32">
        <v>-48.358923076923901</v>
      </c>
      <c r="C31" s="85">
        <v>-18.481846000000001</v>
      </c>
      <c r="D31" s="85">
        <v>-62.551835000000104</v>
      </c>
      <c r="E31" s="85">
        <v>-84.891611000000196</v>
      </c>
      <c r="F31" s="85">
        <v>-5.2341200000000097</v>
      </c>
      <c r="G31" s="85">
        <v>143.10431799999901</v>
      </c>
      <c r="H31" s="85">
        <v>-190.93219599999799</v>
      </c>
      <c r="I31" s="85">
        <v>-192.840867</v>
      </c>
      <c r="J31" s="85">
        <v>-243.68295800000001</v>
      </c>
      <c r="K31" s="85">
        <v>-327.30953000000102</v>
      </c>
      <c r="L31" s="85">
        <v>63.188600000000001</v>
      </c>
      <c r="M31" s="85">
        <v>-357.88932999999901</v>
      </c>
      <c r="N31" s="85">
        <v>560.61676499999999</v>
      </c>
      <c r="O31" s="130">
        <f>SUM(C31:N31)</f>
        <v>-716.90460999999937</v>
      </c>
      <c r="P31" s="46">
        <f>SUM(C31:M31)</f>
        <v>-1277.5213749999994</v>
      </c>
      <c r="Q31" s="46"/>
    </row>
    <row r="32" spans="1:17" ht="15.75" customHeight="1" x14ac:dyDescent="0.15">
      <c r="A32" s="36" t="s">
        <v>149</v>
      </c>
      <c r="B32" s="32">
        <v>170.339522179488</v>
      </c>
      <c r="C32" s="85">
        <v>48.376909999999903</v>
      </c>
      <c r="D32" s="85">
        <v>-123.784854</v>
      </c>
      <c r="E32" s="85">
        <v>-190.07642199999901</v>
      </c>
      <c r="F32" s="85">
        <v>-195.84020600000099</v>
      </c>
      <c r="G32" s="85">
        <v>-245.75685999999899</v>
      </c>
      <c r="H32" s="85">
        <v>-251.16331700000001</v>
      </c>
      <c r="I32" s="85">
        <v>-414.82293499999997</v>
      </c>
      <c r="J32" s="85">
        <v>-319.50377900000001</v>
      </c>
      <c r="K32" s="85">
        <v>-279.43287799999899</v>
      </c>
      <c r="L32" s="85">
        <v>-351.937701</v>
      </c>
      <c r="M32" s="85">
        <v>-397.88200499999999</v>
      </c>
      <c r="N32" s="85">
        <v>-814.20981899999902</v>
      </c>
      <c r="O32" s="130">
        <f>SUM(C32:N32)</f>
        <v>-3536.033865999997</v>
      </c>
      <c r="P32" s="46">
        <f t="shared" ref="P32:P50" si="3">SUM(C32:M32)</f>
        <v>-2721.8240469999978</v>
      </c>
    </row>
    <row r="33" spans="1:18" ht="15.75" customHeight="1" x14ac:dyDescent="0.15">
      <c r="A33" s="36" t="s">
        <v>150</v>
      </c>
      <c r="B33" s="32">
        <v>-1564.1612984615399</v>
      </c>
      <c r="C33" s="85">
        <v>-52.635320999999898</v>
      </c>
      <c r="D33" s="85">
        <v>-148.005695</v>
      </c>
      <c r="E33" s="85">
        <v>-391.792160999999</v>
      </c>
      <c r="F33" s="85">
        <v>-200.778489000001</v>
      </c>
      <c r="G33" s="85">
        <v>-460.62061699999799</v>
      </c>
      <c r="H33" s="85">
        <v>-394.16420099999999</v>
      </c>
      <c r="I33" s="85">
        <v>-493.444693999999</v>
      </c>
      <c r="J33" s="85">
        <v>-504.13656999999898</v>
      </c>
      <c r="K33" s="85">
        <v>-488.94193599999898</v>
      </c>
      <c r="L33" s="85">
        <v>-570.49743699999999</v>
      </c>
      <c r="M33" s="85">
        <v>-622.54061899999897</v>
      </c>
      <c r="N33" s="94">
        <v>-1926.26770100001</v>
      </c>
      <c r="O33" s="130">
        <f>SUM(C33:N33)</f>
        <v>-6253.8254410000036</v>
      </c>
      <c r="P33" s="46">
        <f t="shared" si="3"/>
        <v>-4327.5577399999938</v>
      </c>
      <c r="Q33" s="46"/>
    </row>
    <row r="34" spans="1:18" ht="15.75" customHeight="1" x14ac:dyDescent="0.15">
      <c r="A34" s="36" t="s">
        <v>151</v>
      </c>
      <c r="B34" s="32">
        <v>2375.4738000000002</v>
      </c>
      <c r="C34" s="85">
        <v>154.574162</v>
      </c>
      <c r="D34" s="85">
        <v>260.92352799999998</v>
      </c>
      <c r="E34" s="85">
        <v>403.76811099999998</v>
      </c>
      <c r="F34" s="85">
        <v>425.53005899999999</v>
      </c>
      <c r="G34" s="85">
        <v>393.46470199999999</v>
      </c>
      <c r="H34" s="85">
        <v>172.08283399999999</v>
      </c>
      <c r="I34" s="85">
        <v>343.94109699999899</v>
      </c>
      <c r="J34" s="85">
        <v>179.23018500000001</v>
      </c>
      <c r="K34" s="85">
        <v>378.50272299999898</v>
      </c>
      <c r="L34" s="85">
        <v>152.510074</v>
      </c>
      <c r="M34" s="85">
        <v>82.993949999999998</v>
      </c>
      <c r="N34" s="85">
        <v>-61.476010000000201</v>
      </c>
      <c r="O34" s="130">
        <f>SUM(C34:N34)</f>
        <v>2886.0454149999978</v>
      </c>
      <c r="P34" s="46">
        <f t="shared" si="3"/>
        <v>2947.5214249999981</v>
      </c>
    </row>
    <row r="35" spans="1:18" ht="15.75" customHeight="1" x14ac:dyDescent="0.15">
      <c r="A35" s="36" t="s">
        <v>152</v>
      </c>
      <c r="B35" s="32">
        <v>2501.3285999999998</v>
      </c>
      <c r="C35" s="85">
        <v>-153.95707099999899</v>
      </c>
      <c r="D35" s="85">
        <v>-129.28501</v>
      </c>
      <c r="E35" s="85">
        <v>99.504393999999905</v>
      </c>
      <c r="F35" s="85">
        <v>437.83826599999998</v>
      </c>
      <c r="G35" s="85">
        <v>377.21393799999998</v>
      </c>
      <c r="H35" s="85">
        <v>211.550657</v>
      </c>
      <c r="I35" s="85">
        <v>279.88463299999898</v>
      </c>
      <c r="J35" s="85">
        <v>233.110355</v>
      </c>
      <c r="K35" s="85">
        <v>-7.4869579999998201</v>
      </c>
      <c r="L35" s="85">
        <v>-287.47091</v>
      </c>
      <c r="M35" s="85">
        <v>-221.38616399999901</v>
      </c>
      <c r="N35" s="85">
        <v>46.4692589999988</v>
      </c>
      <c r="O35" s="131">
        <v>885.98538900000005</v>
      </c>
      <c r="P35" s="46">
        <f t="shared" si="3"/>
        <v>839.51613000000123</v>
      </c>
    </row>
    <row r="36" spans="1:18" ht="15.75" customHeight="1" x14ac:dyDescent="0.15">
      <c r="A36" s="36" t="s">
        <v>153</v>
      </c>
      <c r="B36" s="32">
        <v>712.38223076922998</v>
      </c>
      <c r="C36" s="85">
        <v>-103.01</v>
      </c>
      <c r="D36" s="85">
        <v>-85.02</v>
      </c>
      <c r="E36" s="85">
        <v>4.7761539999999103</v>
      </c>
      <c r="F36" s="85">
        <v>208.95733999999999</v>
      </c>
      <c r="G36" s="85">
        <v>119.850870000001</v>
      </c>
      <c r="H36" s="85">
        <v>76.785059786324695</v>
      </c>
      <c r="I36" s="85">
        <v>86.982208128205301</v>
      </c>
      <c r="J36" s="85">
        <v>5.3635869999999999</v>
      </c>
      <c r="K36" s="85">
        <v>-18.485967222224499</v>
      </c>
      <c r="L36" s="85">
        <v>-160.366265</v>
      </c>
      <c r="M36" s="85">
        <v>34.324564000000002</v>
      </c>
      <c r="N36" s="85">
        <v>53.299343307693299</v>
      </c>
      <c r="O36" s="130">
        <f>SUM(C36:N36)</f>
        <v>223.45689399999972</v>
      </c>
      <c r="P36" s="46">
        <f t="shared" si="3"/>
        <v>170.15755069230642</v>
      </c>
    </row>
    <row r="37" spans="1:18" ht="15.75" customHeight="1" x14ac:dyDescent="0.15">
      <c r="A37" s="36" t="s">
        <v>154</v>
      </c>
      <c r="B37" s="32">
        <v>-815.88863076923099</v>
      </c>
      <c r="C37" s="85">
        <v>-50.958852</v>
      </c>
      <c r="D37" s="85">
        <v>-44.254556999999998</v>
      </c>
      <c r="E37" s="85">
        <v>94.72824</v>
      </c>
      <c r="F37" s="85">
        <v>228.88092599999999</v>
      </c>
      <c r="G37" s="85">
        <v>257.364396</v>
      </c>
      <c r="H37" s="85">
        <v>134.76559721367499</v>
      </c>
      <c r="I37" s="85">
        <v>192.91150556410199</v>
      </c>
      <c r="J37" s="85">
        <v>227.746768</v>
      </c>
      <c r="K37" s="85">
        <v>10.9990092222247</v>
      </c>
      <c r="L37" s="85">
        <v>-127.104645</v>
      </c>
      <c r="M37" s="85">
        <v>-255.71072799999999</v>
      </c>
      <c r="N37" s="85">
        <v>-6.8391650000022501</v>
      </c>
      <c r="O37" s="130">
        <f>SUM(C37:N37)</f>
        <v>662.52849499999934</v>
      </c>
      <c r="P37" s="46">
        <f t="shared" si="3"/>
        <v>669.36766000000159</v>
      </c>
      <c r="Q37" s="46"/>
      <c r="R37" s="46"/>
    </row>
    <row r="38" spans="1:18" ht="15.75" customHeight="1" x14ac:dyDescent="0.15">
      <c r="A38" s="36" t="s">
        <v>155</v>
      </c>
      <c r="B38" s="32">
        <v>1585.797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130">
        <f>SUM(C38:N38)</f>
        <v>0</v>
      </c>
      <c r="P38" s="46">
        <f t="shared" si="3"/>
        <v>0</v>
      </c>
    </row>
    <row r="39" spans="1:18" ht="15.75" customHeight="1" x14ac:dyDescent="0.15">
      <c r="A39" s="36" t="s">
        <v>156</v>
      </c>
      <c r="B39" s="32">
        <v>1019.038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30">
        <f>SUM(C39:N39)</f>
        <v>0</v>
      </c>
      <c r="P39" s="46">
        <f t="shared" si="3"/>
        <v>0</v>
      </c>
    </row>
    <row r="40" spans="1:18" ht="15.75" customHeight="1" x14ac:dyDescent="0.15">
      <c r="A40" s="36" t="s">
        <v>157</v>
      </c>
      <c r="B40" s="32">
        <v>341.64600000001002</v>
      </c>
      <c r="C40" s="85">
        <v>-214.32302899999999</v>
      </c>
      <c r="D40" s="85">
        <v>-211.9469</v>
      </c>
      <c r="E40" s="85">
        <v>-87.996559999999903</v>
      </c>
      <c r="F40" s="85">
        <v>115.547192999999</v>
      </c>
      <c r="G40" s="85">
        <v>-13.813478999999999</v>
      </c>
      <c r="H40" s="85">
        <v>218.62582800000001</v>
      </c>
      <c r="I40" s="85">
        <v>55.159180999999997</v>
      </c>
      <c r="J40" s="85">
        <v>30.544117999999902</v>
      </c>
      <c r="K40" s="85">
        <v>-75.360676999999995</v>
      </c>
      <c r="L40" s="85">
        <v>-134.83389599999799</v>
      </c>
      <c r="M40" s="85">
        <v>-227.119034999999</v>
      </c>
      <c r="N40" s="94">
        <v>-544.36289800000202</v>
      </c>
      <c r="O40" s="130">
        <f>SUM(C40:N40)</f>
        <v>-1089.8801539999999</v>
      </c>
      <c r="P40" s="46">
        <f t="shared" si="3"/>
        <v>-545.51725599999793</v>
      </c>
      <c r="Q40" s="46"/>
    </row>
    <row r="41" spans="1:18" ht="15.75" customHeight="1" x14ac:dyDescent="0.15">
      <c r="A41" s="36" t="s">
        <v>158</v>
      </c>
      <c r="B41" s="32">
        <v>423.7448</v>
      </c>
      <c r="C41" s="85">
        <v>-46.770539999999997</v>
      </c>
      <c r="D41" s="85">
        <v>11.431338</v>
      </c>
      <c r="E41" s="85">
        <v>-104.707214999999</v>
      </c>
      <c r="F41" s="85">
        <v>58.343254000000002</v>
      </c>
      <c r="G41" s="85">
        <v>-79.890179000000103</v>
      </c>
      <c r="H41" s="85">
        <v>54.811177000000001</v>
      </c>
      <c r="I41" s="85">
        <v>25.4843879999998</v>
      </c>
      <c r="J41" s="85">
        <v>-18.529205000000101</v>
      </c>
      <c r="K41" s="85">
        <v>-4.0250500000007898</v>
      </c>
      <c r="L41" s="85">
        <v>71.999521000000797</v>
      </c>
      <c r="M41" s="85">
        <v>-87.509149999999906</v>
      </c>
      <c r="N41" s="85">
        <v>-319.927392</v>
      </c>
      <c r="O41" s="130">
        <v>-439.289052999999</v>
      </c>
      <c r="P41" s="46">
        <f t="shared" si="3"/>
        <v>-119.3616609999993</v>
      </c>
    </row>
    <row r="42" spans="1:18" ht="15.75" customHeight="1" x14ac:dyDescent="0.15">
      <c r="A42" s="36" t="s">
        <v>159</v>
      </c>
      <c r="B42" s="32">
        <v>1863.5432085469999</v>
      </c>
      <c r="C42" s="85">
        <v>64.114844999999903</v>
      </c>
      <c r="D42" s="85">
        <v>211.13366300000001</v>
      </c>
      <c r="E42" s="85">
        <v>120.83623999999899</v>
      </c>
      <c r="F42" s="85">
        <v>404.15433000000002</v>
      </c>
      <c r="G42" s="85">
        <v>98.253241999999901</v>
      </c>
      <c r="H42" s="85">
        <v>151.09620799999999</v>
      </c>
      <c r="I42" s="85">
        <v>74.967209999999895</v>
      </c>
      <c r="J42" s="85">
        <v>143.17456000000001</v>
      </c>
      <c r="K42" s="85">
        <v>100.589461999999</v>
      </c>
      <c r="L42" s="85">
        <v>-42.955117000000001</v>
      </c>
      <c r="M42" s="85">
        <v>-54.917766999999998</v>
      </c>
      <c r="N42" s="85">
        <v>-112.69128000000001</v>
      </c>
      <c r="O42" s="130">
        <v>1157.755596</v>
      </c>
      <c r="P42" s="46">
        <f t="shared" si="3"/>
        <v>1270.4468759999977</v>
      </c>
    </row>
    <row r="43" spans="1:18" ht="15.75" customHeight="1" x14ac:dyDescent="0.15">
      <c r="A43" s="36" t="s">
        <v>160</v>
      </c>
      <c r="B43" s="32">
        <v>373.85740000000101</v>
      </c>
      <c r="C43" s="85">
        <v>11.739879</v>
      </c>
      <c r="D43" s="85">
        <v>-41.196039999999897</v>
      </c>
      <c r="E43" s="85">
        <v>-37.777191000000002</v>
      </c>
      <c r="F43" s="85">
        <v>117.40336499999999</v>
      </c>
      <c r="G43" s="85">
        <v>118.275460999999</v>
      </c>
      <c r="H43" s="85">
        <v>64.357696000000004</v>
      </c>
      <c r="I43" s="85">
        <v>61.726039999999898</v>
      </c>
      <c r="J43" s="85">
        <v>-28.809922</v>
      </c>
      <c r="K43" s="85">
        <v>47.765564999999903</v>
      </c>
      <c r="L43" s="85">
        <v>29.887893999999999</v>
      </c>
      <c r="M43" s="85">
        <v>5.32038999999999</v>
      </c>
      <c r="N43" s="85">
        <v>-134.957830000001</v>
      </c>
      <c r="O43" s="130">
        <v>213.73530699999799</v>
      </c>
      <c r="P43" s="46">
        <f t="shared" si="3"/>
        <v>348.6931369999989</v>
      </c>
    </row>
    <row r="44" spans="1:18" ht="15.75" customHeight="1" x14ac:dyDescent="0.15">
      <c r="A44" s="54" t="s">
        <v>176</v>
      </c>
      <c r="B44" s="121">
        <v>6437.4131091880399</v>
      </c>
      <c r="C44" s="88">
        <v>-207.362010999999</v>
      </c>
      <c r="D44" s="88">
        <v>-233.28180499999999</v>
      </c>
      <c r="E44" s="88">
        <v>-273.13241499999799</v>
      </c>
      <c r="F44" s="88">
        <v>1156.9636519999999</v>
      </c>
      <c r="G44" s="88">
        <v>330.23052600000102</v>
      </c>
      <c r="H44" s="88">
        <v>36.264686000002101</v>
      </c>
      <c r="I44" s="88">
        <v>-259.94594700000101</v>
      </c>
      <c r="J44" s="88">
        <v>-528.60321599999895</v>
      </c>
      <c r="K44" s="88">
        <v>-655.69927900000198</v>
      </c>
      <c r="L44" s="88">
        <v>-1070.108972</v>
      </c>
      <c r="M44" s="88">
        <v>-1880.9297300000001</v>
      </c>
      <c r="N44" s="88">
        <v>-3320.6192059999998</v>
      </c>
      <c r="O44" s="58">
        <f>SUM(O31:O35,O40:O43)</f>
        <v>-6892.411417000003</v>
      </c>
      <c r="P44" s="46">
        <f t="shared" si="3"/>
        <v>-3585.6045109999959</v>
      </c>
    </row>
    <row r="45" spans="1:18" x14ac:dyDescent="0.15">
      <c r="A45" s="36" t="s">
        <v>163</v>
      </c>
      <c r="B45" s="36"/>
      <c r="C45" s="76">
        <v>628.64117299999998</v>
      </c>
      <c r="D45" s="76">
        <v>376.998966</v>
      </c>
      <c r="E45" s="76">
        <v>633.58573199999898</v>
      </c>
      <c r="F45" s="76">
        <v>704.08892699999899</v>
      </c>
      <c r="G45" s="76">
        <v>332.81011100000001</v>
      </c>
      <c r="H45" s="76">
        <v>274.85419399999898</v>
      </c>
      <c r="I45" s="76">
        <v>-74.578686999999704</v>
      </c>
      <c r="J45" s="85">
        <v>110.0733</v>
      </c>
      <c r="K45" s="85">
        <v>-67.4938929999999</v>
      </c>
      <c r="L45" s="85">
        <v>283.47914800000001</v>
      </c>
      <c r="M45" s="85">
        <v>-306.496757</v>
      </c>
      <c r="N45" s="85">
        <v>9.1686650000005994</v>
      </c>
      <c r="O45" s="130">
        <v>2905.1308789999998</v>
      </c>
      <c r="P45" s="46">
        <f t="shared" si="3"/>
        <v>2895.9622139999979</v>
      </c>
    </row>
    <row r="46" spans="1:18" x14ac:dyDescent="0.15">
      <c r="A46" s="36" t="s">
        <v>164</v>
      </c>
      <c r="B46" s="36"/>
      <c r="C46" s="76"/>
      <c r="D46" s="76"/>
      <c r="E46" s="76"/>
      <c r="F46" s="76"/>
      <c r="G46" s="76"/>
      <c r="H46" s="76"/>
      <c r="I46" s="76"/>
      <c r="J46" s="85"/>
      <c r="K46" s="85"/>
      <c r="L46" s="85"/>
      <c r="M46" s="85"/>
      <c r="N46" s="85">
        <v>136.30986999999999</v>
      </c>
      <c r="O46" s="85">
        <v>136.30986999999999</v>
      </c>
      <c r="P46" s="46">
        <f t="shared" si="3"/>
        <v>0</v>
      </c>
    </row>
    <row r="47" spans="1:18" x14ac:dyDescent="0.15">
      <c r="A47" s="36" t="s">
        <v>165</v>
      </c>
      <c r="B47" s="43"/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122">
        <v>137.35348099999999</v>
      </c>
      <c r="I47" s="132">
        <v>58.0051079999999</v>
      </c>
      <c r="J47" s="85">
        <v>78.671357999999998</v>
      </c>
      <c r="K47" s="85">
        <v>37.623970999999997</v>
      </c>
      <c r="L47" s="85">
        <v>52.969182000000004</v>
      </c>
      <c r="M47" s="85">
        <v>-98.966256000000001</v>
      </c>
      <c r="N47" s="85">
        <v>20.503291999999998</v>
      </c>
      <c r="O47" s="130">
        <v>286.16013600000002</v>
      </c>
      <c r="P47" s="46">
        <f t="shared" si="3"/>
        <v>265.65684399999986</v>
      </c>
    </row>
    <row r="48" spans="1:18" x14ac:dyDescent="0.15">
      <c r="A48" s="54" t="s">
        <v>176</v>
      </c>
      <c r="B48" s="123">
        <f>SUM(B45:B47)</f>
        <v>0</v>
      </c>
      <c r="C48" s="123">
        <f t="shared" ref="C48:O48" si="4">SUM(C45:C47)</f>
        <v>628.64117299999998</v>
      </c>
      <c r="D48" s="123">
        <f t="shared" si="4"/>
        <v>376.998966</v>
      </c>
      <c r="E48" s="123">
        <f t="shared" si="4"/>
        <v>633.58573199999898</v>
      </c>
      <c r="F48" s="123">
        <f t="shared" si="4"/>
        <v>704.08892699999899</v>
      </c>
      <c r="G48" s="123">
        <f t="shared" si="4"/>
        <v>332.81011100000001</v>
      </c>
      <c r="H48" s="123">
        <f t="shared" si="4"/>
        <v>412.20767499999897</v>
      </c>
      <c r="I48" s="123">
        <f t="shared" si="4"/>
        <v>-16.573578999999803</v>
      </c>
      <c r="J48" s="123">
        <f t="shared" si="4"/>
        <v>188.74465800000002</v>
      </c>
      <c r="K48" s="123">
        <f t="shared" si="4"/>
        <v>-29.869921999999903</v>
      </c>
      <c r="L48" s="123">
        <f t="shared" si="4"/>
        <v>336.44833</v>
      </c>
      <c r="M48" s="123">
        <f t="shared" si="4"/>
        <v>-405.46301299999999</v>
      </c>
      <c r="N48" s="123">
        <f t="shared" si="4"/>
        <v>165.98182700000058</v>
      </c>
      <c r="O48" s="123">
        <f t="shared" si="4"/>
        <v>3327.6008849999998</v>
      </c>
      <c r="P48" s="46">
        <f t="shared" si="3"/>
        <v>3161.6190579999975</v>
      </c>
    </row>
    <row r="49" spans="1:18" x14ac:dyDescent="0.15">
      <c r="A49" s="124" t="s">
        <v>95</v>
      </c>
      <c r="B49" s="122">
        <f>SUM(B44,B48)</f>
        <v>6437.4131091880399</v>
      </c>
      <c r="C49" s="122">
        <f t="shared" ref="C49:O49" si="5">SUM(C44,C48)</f>
        <v>421.27916200000095</v>
      </c>
      <c r="D49" s="122">
        <f t="shared" si="5"/>
        <v>143.717161</v>
      </c>
      <c r="E49" s="122">
        <f t="shared" si="5"/>
        <v>360.45331700000099</v>
      </c>
      <c r="F49" s="122">
        <f t="shared" si="5"/>
        <v>1861.0525789999988</v>
      </c>
      <c r="G49" s="122">
        <f t="shared" si="5"/>
        <v>663.04063700000097</v>
      </c>
      <c r="H49" s="122">
        <f t="shared" si="5"/>
        <v>448.47236100000106</v>
      </c>
      <c r="I49" s="122">
        <f t="shared" si="5"/>
        <v>-276.51952600000084</v>
      </c>
      <c r="J49" s="122">
        <f t="shared" si="5"/>
        <v>-339.85855799999894</v>
      </c>
      <c r="K49" s="122">
        <f t="shared" si="5"/>
        <v>-685.56920100000184</v>
      </c>
      <c r="L49" s="122">
        <f t="shared" si="5"/>
        <v>-733.66064200000005</v>
      </c>
      <c r="M49" s="122">
        <f t="shared" si="5"/>
        <v>-2286.3927429999999</v>
      </c>
      <c r="N49" s="122">
        <f t="shared" si="5"/>
        <v>-3154.6373789999993</v>
      </c>
      <c r="O49" s="122">
        <f t="shared" si="5"/>
        <v>-3564.8105320000031</v>
      </c>
      <c r="P49" s="46">
        <f t="shared" si="3"/>
        <v>-423.9854529999991</v>
      </c>
    </row>
    <row r="50" spans="1:18" x14ac:dyDescent="0.15">
      <c r="A50" s="125" t="s">
        <v>245</v>
      </c>
      <c r="B50" s="125"/>
      <c r="C50" s="126">
        <v>517.80700899999897</v>
      </c>
      <c r="D50" s="126">
        <v>234.21308000000101</v>
      </c>
      <c r="E50" s="126">
        <v>450.61813899999999</v>
      </c>
      <c r="F50" s="126">
        <v>1943.5524789999999</v>
      </c>
      <c r="G50" s="126">
        <v>761.25158600000998</v>
      </c>
      <c r="H50" s="126">
        <v>486.74705599997901</v>
      </c>
      <c r="I50" s="126">
        <v>-216.78780599999999</v>
      </c>
      <c r="J50" s="126">
        <v>149.38482900002001</v>
      </c>
      <c r="K50" s="126">
        <v>-632.37166100002003</v>
      </c>
      <c r="L50" s="126">
        <v>-672.86727799999903</v>
      </c>
      <c r="M50" s="126">
        <v>-2255.24304599999</v>
      </c>
      <c r="N50" s="126">
        <v>-3300.2518340000101</v>
      </c>
      <c r="O50" s="126">
        <f>SUM(C50:N50)</f>
        <v>-2533.9474470000114</v>
      </c>
      <c r="P50" s="46">
        <f t="shared" si="3"/>
        <v>766.30438699999877</v>
      </c>
    </row>
    <row r="52" spans="1:18" ht="22.5" customHeight="1" x14ac:dyDescent="0.15">
      <c r="A52" s="52"/>
      <c r="B52" s="52"/>
      <c r="C52" s="380" t="s">
        <v>141</v>
      </c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0"/>
      <c r="O52" s="26"/>
    </row>
    <row r="53" spans="1:18" ht="15.75" customHeight="1" x14ac:dyDescent="0.15">
      <c r="A53" s="52" t="s">
        <v>170</v>
      </c>
      <c r="B53" s="119" t="s">
        <v>0</v>
      </c>
      <c r="C53" s="120" t="s">
        <v>83</v>
      </c>
      <c r="D53" s="120" t="s">
        <v>84</v>
      </c>
      <c r="E53" s="120" t="s">
        <v>85</v>
      </c>
      <c r="F53" s="120" t="s">
        <v>86</v>
      </c>
      <c r="G53" s="120" t="s">
        <v>87</v>
      </c>
      <c r="H53" s="120" t="s">
        <v>88</v>
      </c>
      <c r="I53" s="120" t="s">
        <v>89</v>
      </c>
      <c r="J53" s="120" t="s">
        <v>90</v>
      </c>
      <c r="K53" s="120" t="s">
        <v>91</v>
      </c>
      <c r="L53" s="120" t="s">
        <v>92</v>
      </c>
      <c r="M53" s="120" t="s">
        <v>93</v>
      </c>
      <c r="N53" s="120" t="s">
        <v>94</v>
      </c>
      <c r="O53" s="44" t="s">
        <v>95</v>
      </c>
    </row>
    <row r="54" spans="1:18" ht="15.75" customHeight="1" x14ac:dyDescent="0.15">
      <c r="A54" s="36" t="s">
        <v>148</v>
      </c>
      <c r="B54" s="127">
        <f>[1]白银!O45</f>
        <v>-1692.7600309059801</v>
      </c>
      <c r="C54" s="85">
        <f>[1]白银!B45</f>
        <v>107.282938</v>
      </c>
      <c r="D54" s="85">
        <f>[1]白银!C45</f>
        <v>-35.896413000000003</v>
      </c>
      <c r="E54" s="85">
        <f>[1]白银!D45</f>
        <v>-43.034307000000197</v>
      </c>
      <c r="F54" s="85">
        <f>[1]白银!E45</f>
        <v>47.434848000000201</v>
      </c>
      <c r="G54" s="85">
        <f>[1]白银!F45</f>
        <v>-59.493489999999497</v>
      </c>
      <c r="H54" s="85">
        <f>[1]白银!G45</f>
        <v>-162.68300400000001</v>
      </c>
      <c r="I54" s="85">
        <f>[1]白银!H45</f>
        <v>-102.976224</v>
      </c>
      <c r="J54" s="85">
        <f>[1]白银!I45</f>
        <v>-141.19605200000001</v>
      </c>
      <c r="K54" s="85">
        <f>[1]白银!J45</f>
        <v>-47.451334999998998</v>
      </c>
      <c r="L54" s="85">
        <f>[1]白银!K45</f>
        <v>-42.940033999999898</v>
      </c>
      <c r="M54" s="85">
        <f>[1]白银!L45</f>
        <v>-114.219346999999</v>
      </c>
      <c r="N54" s="85">
        <f>[1]白银!M45</f>
        <v>-66.427722000003001</v>
      </c>
      <c r="O54" s="133">
        <f>SUM(C54:N54)</f>
        <v>-661.60014200000035</v>
      </c>
      <c r="P54" s="46">
        <f>SUM(C54:E54)</f>
        <v>28.352217999999809</v>
      </c>
    </row>
    <row r="55" spans="1:18" ht="15.75" customHeight="1" x14ac:dyDescent="0.15">
      <c r="A55" s="36" t="s">
        <v>149</v>
      </c>
      <c r="B55" s="127">
        <f>[1]酒一!O45</f>
        <v>-2695.3804799999998</v>
      </c>
      <c r="C55" s="85">
        <f>[1]酒一!B45</f>
        <v>-352.06770599999999</v>
      </c>
      <c r="D55" s="85">
        <f>[1]酒一!C45</f>
        <v>-108.437065</v>
      </c>
      <c r="E55" s="85">
        <f>[1]酒一!D45</f>
        <v>50.508380000000002</v>
      </c>
      <c r="F55" s="85">
        <f>[1]酒一!E45</f>
        <v>-254.60634099999999</v>
      </c>
      <c r="G55" s="85">
        <f>[1]酒一!F45</f>
        <v>113.590771000001</v>
      </c>
      <c r="H55" s="85">
        <f>[1]酒一!G45</f>
        <v>-198.58387000000101</v>
      </c>
      <c r="I55" s="85">
        <f>[1]酒一!H45</f>
        <v>-65.695351999997996</v>
      </c>
      <c r="J55" s="85">
        <f>[1]酒一!I45</f>
        <v>-59.606146000000898</v>
      </c>
      <c r="K55" s="85">
        <f>[1]酒一!J45</f>
        <v>-47.828351999996897</v>
      </c>
      <c r="L55" s="85">
        <f>[1]酒一!K45</f>
        <v>-176.155385</v>
      </c>
      <c r="M55" s="85">
        <f>[1]酒一!L45</f>
        <v>-275.00086499999998</v>
      </c>
      <c r="N55" s="85">
        <f>[1]酒一!M45</f>
        <v>-383.62875699999898</v>
      </c>
      <c r="O55" s="133">
        <f>SUM(C55:N55)</f>
        <v>-1757.5106879999948</v>
      </c>
      <c r="P55" s="46">
        <f t="shared" ref="P55:P75" si="6">SUM(C55:E55)</f>
        <v>-409.99639100000002</v>
      </c>
    </row>
    <row r="56" spans="1:18" ht="15.75" customHeight="1" x14ac:dyDescent="0.15">
      <c r="A56" s="36" t="s">
        <v>150</v>
      </c>
      <c r="B56" s="127">
        <f>[1]酒二!O45</f>
        <v>-4286.7695000000003</v>
      </c>
      <c r="C56" s="85">
        <f>[1]酒二!B45</f>
        <v>-488.54771399999998</v>
      </c>
      <c r="D56" s="85">
        <f>[1]酒二!C45</f>
        <v>-338.01178700000003</v>
      </c>
      <c r="E56" s="85">
        <f>[1]酒二!D45</f>
        <v>173.661698</v>
      </c>
      <c r="F56" s="85">
        <f>[1]酒二!E45</f>
        <v>-112.14772499999999</v>
      </c>
      <c r="G56" s="85">
        <f>[1]酒二!F45</f>
        <v>159.46248600000101</v>
      </c>
      <c r="H56" s="85">
        <f>[1]酒二!G45</f>
        <v>-516.78886300000102</v>
      </c>
      <c r="I56" s="85">
        <f>[1]酒二!H45</f>
        <v>-264.60565499999899</v>
      </c>
      <c r="J56" s="85">
        <f>[1]酒二!I45</f>
        <v>214.011742</v>
      </c>
      <c r="K56" s="85">
        <f>[1]酒二!J45</f>
        <v>-213.85855699999999</v>
      </c>
      <c r="L56" s="85">
        <f>[1]酒二!K45</f>
        <v>-422.79468699999899</v>
      </c>
      <c r="M56" s="85">
        <f>[1]酒二!L45</f>
        <v>-456.66295200000002</v>
      </c>
      <c r="N56" s="85">
        <f>[1]酒二!M45</f>
        <v>-669.35547299999996</v>
      </c>
      <c r="O56" s="133">
        <f t="shared" ref="O56:O72" si="7">SUM(C56:N56)</f>
        <v>-2935.6374869999981</v>
      </c>
      <c r="P56" s="46">
        <f t="shared" si="6"/>
        <v>-652.89780299999995</v>
      </c>
    </row>
    <row r="57" spans="1:18" ht="15.75" customHeight="1" x14ac:dyDescent="0.15">
      <c r="A57" s="36" t="s">
        <v>151</v>
      </c>
      <c r="B57" s="127">
        <f>[1]青海!O45</f>
        <v>3388.57762512821</v>
      </c>
      <c r="C57" s="85">
        <f>[1]青海!B45</f>
        <v>45.381386999999997</v>
      </c>
      <c r="D57" s="85">
        <f>[1]青海!C45</f>
        <v>231.383241</v>
      </c>
      <c r="E57" s="85">
        <f>[1]青海!D45</f>
        <v>-9.5199689999999908</v>
      </c>
      <c r="F57" s="85">
        <f>[1]青海!E45</f>
        <v>469.18052799999998</v>
      </c>
      <c r="G57" s="85">
        <f>[1]青海!F45</f>
        <v>434.510009999999</v>
      </c>
      <c r="H57" s="85">
        <f>[1]青海!G45</f>
        <v>258.10538000000003</v>
      </c>
      <c r="I57" s="85">
        <f>[1]青海!H45</f>
        <v>197.42106699999999</v>
      </c>
      <c r="J57" s="85">
        <f>[1]青海!I45</f>
        <v>60.855641000000197</v>
      </c>
      <c r="K57" s="85">
        <f>[1]青海!J45</f>
        <v>109.58521599999899</v>
      </c>
      <c r="L57" s="85">
        <f>[1]青海!K45</f>
        <v>359.43843099999998</v>
      </c>
      <c r="M57" s="85">
        <f>[1]青海!L45</f>
        <v>351.56727100000001</v>
      </c>
      <c r="N57" s="85">
        <f>[1]青海!M45</f>
        <v>226.859388999999</v>
      </c>
      <c r="O57" s="133">
        <f t="shared" si="7"/>
        <v>2734.767591999997</v>
      </c>
      <c r="P57" s="46">
        <f t="shared" si="6"/>
        <v>267.24465900000001</v>
      </c>
      <c r="Q57" s="134">
        <f>SUM(P54:P56,P64)</f>
        <v>-1059.1799080000001</v>
      </c>
      <c r="R57" s="135"/>
    </row>
    <row r="58" spans="1:18" ht="15.75" customHeight="1" x14ac:dyDescent="0.15">
      <c r="A58" s="36" t="s">
        <v>152</v>
      </c>
      <c r="B58" s="127">
        <f>[1]哈密!O45</f>
        <v>2703.84563023077</v>
      </c>
      <c r="C58" s="85">
        <f>[1]哈密!B45</f>
        <v>-285.74242600000002</v>
      </c>
      <c r="D58" s="85">
        <f>[1]哈密!C45</f>
        <v>-281.29071299999998</v>
      </c>
      <c r="E58" s="85">
        <f>[1]哈密!D45</f>
        <v>-51.562356999999999</v>
      </c>
      <c r="F58" s="85">
        <f>[1]哈密!E45</f>
        <v>71.380866999999995</v>
      </c>
      <c r="G58" s="85">
        <f>[1]哈密!F45</f>
        <v>877.42836500000101</v>
      </c>
      <c r="H58" s="85">
        <f>[1]哈密!G45</f>
        <v>517.350926999997</v>
      </c>
      <c r="I58" s="85">
        <f>[1]哈密!H45</f>
        <v>772.97659499999997</v>
      </c>
      <c r="J58" s="85">
        <f>[1]哈密!I45</f>
        <v>788.67111599999896</v>
      </c>
      <c r="K58" s="85">
        <f>[1]哈密!J45</f>
        <v>496.62156499999901</v>
      </c>
      <c r="L58" s="85">
        <f>[1]哈密!K45</f>
        <v>452.79968300000002</v>
      </c>
      <c r="M58" s="85">
        <f>[1]哈密!L45</f>
        <v>-60.224106999999997</v>
      </c>
      <c r="N58" s="85">
        <f>[1]哈密!M45</f>
        <v>-730.38525700000002</v>
      </c>
      <c r="O58" s="133">
        <f t="shared" si="7"/>
        <v>2568.0242579999963</v>
      </c>
      <c r="P58" s="46">
        <f t="shared" si="6"/>
        <v>-618.59549600000003</v>
      </c>
      <c r="Q58" s="134"/>
    </row>
    <row r="59" spans="1:18" ht="15.75" customHeight="1" x14ac:dyDescent="0.15">
      <c r="A59" s="36" t="s">
        <v>153</v>
      </c>
      <c r="B59" s="127">
        <f>[1]三塘湖!O45</f>
        <v>28.419199230770101</v>
      </c>
      <c r="C59" s="85">
        <f>[1]三塘湖!B45</f>
        <v>-40.408482999999997</v>
      </c>
      <c r="D59" s="85">
        <f>[1]三塘湖!C45</f>
        <v>-31.748653000000001</v>
      </c>
      <c r="E59" s="85">
        <f>[1]三塘湖!D45</f>
        <v>29.838094999999999</v>
      </c>
      <c r="F59" s="85">
        <f>[1]三塘湖!E45</f>
        <v>147.35174699999999</v>
      </c>
      <c r="G59" s="85">
        <f>[1]三塘湖!F45</f>
        <v>141.819121</v>
      </c>
      <c r="H59" s="85">
        <f>[1]三塘湖!G45</f>
        <v>95.848938000000004</v>
      </c>
      <c r="I59" s="85">
        <f>[1]三塘湖!H45</f>
        <v>131.597677</v>
      </c>
      <c r="J59" s="85">
        <f>[1]三塘湖!I45</f>
        <v>78.559912999999995</v>
      </c>
      <c r="K59" s="85">
        <f>[1]三塘湖!J45</f>
        <v>154.70031499999999</v>
      </c>
      <c r="L59" s="85">
        <f>[1]三塘湖!K45</f>
        <v>-68.891625000000005</v>
      </c>
      <c r="M59" s="85">
        <f>[1]三塘湖!L45</f>
        <v>-18.977891</v>
      </c>
      <c r="N59" s="85">
        <f>[1]三塘湖!M45</f>
        <v>-30.848196000000002</v>
      </c>
      <c r="O59" s="133">
        <f t="shared" si="7"/>
        <v>588.84095800000011</v>
      </c>
      <c r="P59" s="46">
        <f t="shared" si="6"/>
        <v>-42.319040999999999</v>
      </c>
      <c r="Q59" s="134">
        <f>SUM(P58,P63)</f>
        <v>-1073.6250230000001</v>
      </c>
    </row>
    <row r="60" spans="1:18" ht="15.75" customHeight="1" x14ac:dyDescent="0.15">
      <c r="A60" s="36" t="s">
        <v>154</v>
      </c>
      <c r="B60" s="127">
        <f>[1]淖毛湖!O45</f>
        <v>-1324.9464013076899</v>
      </c>
      <c r="C60" s="85">
        <f>[1]淖毛湖!B45</f>
        <v>-245.333943</v>
      </c>
      <c r="D60" s="85">
        <f>[1]淖毛湖!C45</f>
        <v>-249.54205999999999</v>
      </c>
      <c r="E60" s="85">
        <f>[1]淖毛湖!D45</f>
        <v>-81.400452000000001</v>
      </c>
      <c r="F60" s="85">
        <f>[1]淖毛湖!E45</f>
        <v>-75.970879999999994</v>
      </c>
      <c r="G60" s="85">
        <f>[1]淖毛湖!F45</f>
        <v>-3.5424369999999499</v>
      </c>
      <c r="H60" s="85">
        <f>[1]淖毛湖!G45</f>
        <v>21.090841999999999</v>
      </c>
      <c r="I60" s="85">
        <f>[1]淖毛湖!H45</f>
        <v>-9.9416340000000201</v>
      </c>
      <c r="J60" s="85">
        <f>[1]淖毛湖!I45</f>
        <v>-47.060459999999999</v>
      </c>
      <c r="K60" s="85">
        <f>[1]淖毛湖!J45</f>
        <v>16.097857000000001</v>
      </c>
      <c r="L60" s="85">
        <f>[1]淖毛湖!K45</f>
        <v>66.709674999999905</v>
      </c>
      <c r="M60" s="85">
        <f>[1]淖毛湖!L45</f>
        <v>-180.84741299999999</v>
      </c>
      <c r="N60" s="85">
        <f>[1]淖毛湖!M45</f>
        <v>-424.93179900000001</v>
      </c>
      <c r="O60" s="133">
        <f t="shared" si="7"/>
        <v>-1214.6727040000001</v>
      </c>
      <c r="P60" s="46">
        <f t="shared" si="6"/>
        <v>-576.27645499999994</v>
      </c>
      <c r="Q60" s="134"/>
    </row>
    <row r="61" spans="1:18" ht="15.75" customHeight="1" x14ac:dyDescent="0.15">
      <c r="A61" s="36" t="s">
        <v>155</v>
      </c>
      <c r="B61" s="127">
        <f>[1]景峡!O45</f>
        <v>1824.2809492307699</v>
      </c>
      <c r="C61" s="85">
        <f>[1]景峡!B45</f>
        <v>0</v>
      </c>
      <c r="D61" s="85">
        <f>[1]景峡!C45</f>
        <v>0</v>
      </c>
      <c r="E61" s="85">
        <f>[1]景峡!D45</f>
        <v>0</v>
      </c>
      <c r="F61" s="85">
        <f>[1]景峡!E45</f>
        <v>0</v>
      </c>
      <c r="G61" s="85">
        <f>[1]景峡!F45</f>
        <v>419.305522</v>
      </c>
      <c r="H61" s="85">
        <f>[1]景峡!G45</f>
        <v>172.57407599999999</v>
      </c>
      <c r="I61" s="85">
        <f>[1]景峡!H45</f>
        <v>300.87894499999999</v>
      </c>
      <c r="J61" s="85">
        <f>[1]景峡!I45</f>
        <v>350.99598099999997</v>
      </c>
      <c r="K61" s="85">
        <f>[1]景峡!J45</f>
        <v>161.258972</v>
      </c>
      <c r="L61" s="85">
        <f>[1]景峡!K45</f>
        <v>200.176793</v>
      </c>
      <c r="M61" s="85">
        <f>[1]景峡!L45</f>
        <v>97.532662000000002</v>
      </c>
      <c r="N61" s="85">
        <f>[1]景峡!M45</f>
        <v>-31.773353</v>
      </c>
      <c r="O61" s="133">
        <f t="shared" si="7"/>
        <v>1670.9495980000002</v>
      </c>
      <c r="P61" s="46">
        <f t="shared" si="6"/>
        <v>0</v>
      </c>
      <c r="Q61" s="134">
        <f>SUM(P57,P65)</f>
        <v>506.9262270000001</v>
      </c>
    </row>
    <row r="62" spans="1:18" ht="15.75" customHeight="1" x14ac:dyDescent="0.15">
      <c r="A62" s="36" t="s">
        <v>156</v>
      </c>
      <c r="B62" s="127">
        <f>[1]烟墩!O45</f>
        <v>2176.0918830769201</v>
      </c>
      <c r="C62" s="85">
        <f>[1]烟墩!B45</f>
        <v>0</v>
      </c>
      <c r="D62" s="85">
        <f>[1]烟墩!C45</f>
        <v>0</v>
      </c>
      <c r="E62" s="85">
        <f>[1]烟墩!D45</f>
        <v>0</v>
      </c>
      <c r="F62" s="85">
        <f>[1]烟墩!E45</f>
        <v>0</v>
      </c>
      <c r="G62" s="85">
        <f>[1]烟墩!F45</f>
        <v>319.846159</v>
      </c>
      <c r="H62" s="85">
        <f>[1]烟墩!G45</f>
        <v>227.831718</v>
      </c>
      <c r="I62" s="85">
        <f>[1]烟墩!H45</f>
        <v>350.44160699999998</v>
      </c>
      <c r="J62" s="85">
        <f>[1]烟墩!I45</f>
        <v>406.17568199999999</v>
      </c>
      <c r="K62" s="85">
        <f>[1]烟墩!J45</f>
        <v>164.56442100000001</v>
      </c>
      <c r="L62" s="85">
        <f>[1]烟墩!K45</f>
        <v>254.80484100000001</v>
      </c>
      <c r="M62" s="85">
        <f>[1]烟墩!L45</f>
        <v>42.068534999999997</v>
      </c>
      <c r="N62" s="85">
        <f>[1]烟墩!M45</f>
        <v>-242.83190999999999</v>
      </c>
      <c r="O62" s="133">
        <f t="shared" si="7"/>
        <v>1522.901053</v>
      </c>
      <c r="P62" s="46">
        <f t="shared" si="6"/>
        <v>0</v>
      </c>
      <c r="Q62" s="134"/>
    </row>
    <row r="63" spans="1:18" ht="15.75" customHeight="1" x14ac:dyDescent="0.15">
      <c r="A63" s="36" t="s">
        <v>157</v>
      </c>
      <c r="B63" s="127">
        <f>[1]吐鲁番!O45</f>
        <v>-511.11280865384998</v>
      </c>
      <c r="C63" s="85">
        <f>[1]吐鲁番!B45</f>
        <v>-233.40571299999999</v>
      </c>
      <c r="D63" s="85">
        <f>[1]吐鲁番!C45</f>
        <v>-182.796784</v>
      </c>
      <c r="E63" s="85">
        <f>[1]吐鲁番!D45</f>
        <v>-38.827029999999901</v>
      </c>
      <c r="F63" s="85">
        <f>[1]吐鲁番!E45</f>
        <v>92.402063999999996</v>
      </c>
      <c r="G63" s="85">
        <f>[1]吐鲁番!F45</f>
        <v>78.526140999999896</v>
      </c>
      <c r="H63" s="85">
        <f>[1]吐鲁番!G45</f>
        <v>138.98451700000001</v>
      </c>
      <c r="I63" s="85">
        <f>[1]吐鲁番!H45</f>
        <v>239.88756799999999</v>
      </c>
      <c r="J63" s="85">
        <f>[1]吐鲁番!I45</f>
        <v>159.79593899999901</v>
      </c>
      <c r="K63" s="85">
        <f>[1]吐鲁番!J45</f>
        <v>19.227654000000001</v>
      </c>
      <c r="L63" s="85">
        <f>[1]吐鲁番!K45</f>
        <v>-106.733328</v>
      </c>
      <c r="M63" s="85">
        <f>[1]吐鲁番!L45</f>
        <v>-179.232934</v>
      </c>
      <c r="N63" s="85">
        <f>[1]吐鲁番!M45</f>
        <v>-247.66150499999901</v>
      </c>
      <c r="O63" s="133">
        <f t="shared" si="7"/>
        <v>-259.83341100000007</v>
      </c>
      <c r="P63" s="46">
        <f t="shared" si="6"/>
        <v>-455.02952699999992</v>
      </c>
      <c r="Q63" s="134"/>
    </row>
    <row r="64" spans="1:18" ht="16.5" customHeight="1" x14ac:dyDescent="0.15">
      <c r="A64" s="36" t="s">
        <v>158</v>
      </c>
      <c r="B64" s="127">
        <f>[1]敦煌!O45</f>
        <v>-11.3096</v>
      </c>
      <c r="C64" s="85">
        <f>[1]敦煌!B45</f>
        <v>-29.119153000000001</v>
      </c>
      <c r="D64" s="85">
        <f>[1]敦煌!C45</f>
        <v>-21.919844999999999</v>
      </c>
      <c r="E64" s="85">
        <f>[1]敦煌!D45</f>
        <v>26.4010660000001</v>
      </c>
      <c r="F64" s="85">
        <f>[1]敦煌!E45</f>
        <v>16.425838999999801</v>
      </c>
      <c r="G64" s="85">
        <f>[1]敦煌!F45</f>
        <v>50.130699000000099</v>
      </c>
      <c r="H64" s="85">
        <f>[1]敦煌!G45</f>
        <v>-15.733098</v>
      </c>
      <c r="I64" s="85">
        <f>[1]敦煌!H45</f>
        <v>-30.568947000000101</v>
      </c>
      <c r="J64" s="85">
        <f>[1]敦煌!I45</f>
        <v>5.4062149999995501</v>
      </c>
      <c r="K64" s="85">
        <f>[1]敦煌!J45</f>
        <v>24.376710000000401</v>
      </c>
      <c r="L64" s="85">
        <f>[1]敦煌!K45</f>
        <v>-0.53479899999980096</v>
      </c>
      <c r="M64" s="85">
        <f>[1]敦煌!L45</f>
        <v>-72.069297000000404</v>
      </c>
      <c r="N64" s="85">
        <f>[1]敦煌!M45</f>
        <v>-292.852925999999</v>
      </c>
      <c r="O64" s="133">
        <f t="shared" si="7"/>
        <v>-340.05753599999935</v>
      </c>
      <c r="P64" s="46">
        <f t="shared" si="6"/>
        <v>-24.6379319999999</v>
      </c>
      <c r="Q64" s="134"/>
    </row>
    <row r="65" spans="1:19" ht="15.75" customHeight="1" x14ac:dyDescent="0.15">
      <c r="A65" s="36" t="s">
        <v>159</v>
      </c>
      <c r="B65" s="127">
        <f>[1]格尔木!O45</f>
        <v>1644.1106</v>
      </c>
      <c r="C65" s="85">
        <f>[1]格尔木!B45</f>
        <v>-81.674513999999903</v>
      </c>
      <c r="D65" s="85">
        <f>[1]格尔木!C45</f>
        <v>122.30512899999999</v>
      </c>
      <c r="E65" s="85">
        <f>[1]格尔木!D45</f>
        <v>199.05095299999999</v>
      </c>
      <c r="F65" s="85">
        <f>[1]格尔木!E45</f>
        <v>262.00209999999998</v>
      </c>
      <c r="G65" s="85">
        <f>[1]格尔木!F45</f>
        <v>344.85461600000002</v>
      </c>
      <c r="H65" s="85">
        <f>[1]格尔木!G45</f>
        <v>266.34458499999897</v>
      </c>
      <c r="I65" s="85">
        <f>[1]格尔木!H45</f>
        <v>189.080172</v>
      </c>
      <c r="J65" s="85">
        <f>[1]格尔木!I45</f>
        <v>65.896471999999804</v>
      </c>
      <c r="K65" s="85">
        <f>[1]格尔木!J45</f>
        <v>97.017005999999995</v>
      </c>
      <c r="L65" s="85">
        <f>[1]格尔木!K45</f>
        <v>64.054040000000001</v>
      </c>
      <c r="M65" s="85">
        <f>[1]格尔木!L45</f>
        <v>39.551885999999897</v>
      </c>
      <c r="N65" s="85">
        <f>[1]格尔木!M45</f>
        <v>-125.53745000000001</v>
      </c>
      <c r="O65" s="133">
        <f t="shared" si="7"/>
        <v>1442.9449949999989</v>
      </c>
      <c r="P65" s="46">
        <f t="shared" si="6"/>
        <v>239.68156800000008</v>
      </c>
      <c r="Q65" s="134"/>
    </row>
    <row r="66" spans="1:19" ht="15.75" customHeight="1" x14ac:dyDescent="0.15">
      <c r="A66" s="36" t="s">
        <v>160</v>
      </c>
      <c r="B66" s="127">
        <f>[1]石嘴山!O45</f>
        <v>112.84032000000001</v>
      </c>
      <c r="C66" s="85">
        <f>[1]石嘴山!B45</f>
        <v>-44.506059</v>
      </c>
      <c r="D66" s="85">
        <f>[1]石嘴山!C45</f>
        <v>54.783104000000002</v>
      </c>
      <c r="E66" s="85">
        <f>[1]石嘴山!D45</f>
        <v>47.643751000000002</v>
      </c>
      <c r="F66" s="85">
        <f>[1]石嘴山!E45</f>
        <v>92.538452000000007</v>
      </c>
      <c r="G66" s="85">
        <f>[1]石嘴山!F45</f>
        <v>125.451877</v>
      </c>
      <c r="H66" s="85">
        <f>[1]石嘴山!G45</f>
        <v>76.831902999999897</v>
      </c>
      <c r="I66" s="85">
        <f>[1]石嘴山!H45</f>
        <v>55.166634999999999</v>
      </c>
      <c r="J66" s="85">
        <f>[1]石嘴山!I45</f>
        <v>53.700609999999998</v>
      </c>
      <c r="K66" s="85">
        <f>[1]石嘴山!J45</f>
        <v>1.44670799999898</v>
      </c>
      <c r="L66" s="85">
        <f>[1]石嘴山!K45</f>
        <v>9.8713450000000194</v>
      </c>
      <c r="M66" s="85">
        <f>[1]石嘴山!L45</f>
        <v>72.245057000000998</v>
      </c>
      <c r="N66" s="85">
        <f>[1]石嘴山!M45</f>
        <v>-225.55957500000099</v>
      </c>
      <c r="O66" s="133">
        <f t="shared" si="7"/>
        <v>319.61380799999881</v>
      </c>
      <c r="P66" s="46">
        <f t="shared" si="6"/>
        <v>57.920796000000003</v>
      </c>
      <c r="Q66" s="134"/>
      <c r="R66" s="159"/>
    </row>
    <row r="67" spans="1:19" ht="15.75" customHeight="1" x14ac:dyDescent="0.15">
      <c r="A67" s="54" t="s">
        <v>176</v>
      </c>
      <c r="B67" s="136">
        <f t="shared" ref="B67:N67" si="8">SUM(B54:B58,B63:B66)</f>
        <v>-1347.9582442008507</v>
      </c>
      <c r="C67" s="88">
        <f t="shared" si="8"/>
        <v>-1362.39896</v>
      </c>
      <c r="D67" s="88">
        <f t="shared" si="8"/>
        <v>-559.88113300000009</v>
      </c>
      <c r="E67" s="88">
        <f t="shared" si="8"/>
        <v>354.32218500000005</v>
      </c>
      <c r="F67" s="88">
        <f t="shared" si="8"/>
        <v>684.61063200000001</v>
      </c>
      <c r="G67" s="88">
        <f t="shared" si="8"/>
        <v>2124.4614750000028</v>
      </c>
      <c r="H67" s="88">
        <f t="shared" si="8"/>
        <v>363.82847699999388</v>
      </c>
      <c r="I67" s="88">
        <f t="shared" si="8"/>
        <v>990.68585900000289</v>
      </c>
      <c r="J67" s="88">
        <f t="shared" si="8"/>
        <v>1147.5355369999968</v>
      </c>
      <c r="K67" s="88">
        <f t="shared" si="8"/>
        <v>439.13661500000143</v>
      </c>
      <c r="L67" s="88">
        <f t="shared" si="8"/>
        <v>137.00526600000128</v>
      </c>
      <c r="M67" s="88">
        <f t="shared" si="8"/>
        <v>-694.04528799999855</v>
      </c>
      <c r="N67" s="88">
        <f t="shared" si="8"/>
        <v>-2514.549276000002</v>
      </c>
      <c r="O67" s="151">
        <f t="shared" si="7"/>
        <v>1110.7113889999987</v>
      </c>
      <c r="P67" s="46">
        <f t="shared" si="6"/>
        <v>-1567.9579080000001</v>
      </c>
      <c r="Q67" s="134"/>
      <c r="R67" s="159"/>
    </row>
    <row r="68" spans="1:19" x14ac:dyDescent="0.15">
      <c r="A68" s="36" t="s">
        <v>163</v>
      </c>
      <c r="B68" s="32">
        <v>1928.6197294871799</v>
      </c>
      <c r="C68" s="76">
        <f>[1]云南!B45</f>
        <v>672.183852</v>
      </c>
      <c r="D68" s="76">
        <f>[1]云南!C45</f>
        <v>566.96788600000002</v>
      </c>
      <c r="E68" s="76">
        <f>[1]云南!D45</f>
        <v>570.59511599999996</v>
      </c>
      <c r="F68" s="76">
        <f>[1]云南!E45</f>
        <v>413.25111099999901</v>
      </c>
      <c r="G68" s="76">
        <f>[1]云南!F45</f>
        <v>136.40994699999999</v>
      </c>
      <c r="H68" s="76">
        <f>[1]云南!G45</f>
        <v>-335.48060900000002</v>
      </c>
      <c r="I68" s="76">
        <f>[1]云南!H45</f>
        <v>-106.922391</v>
      </c>
      <c r="J68" s="76">
        <f>[1]云南!I45</f>
        <v>-106.690799999999</v>
      </c>
      <c r="K68" s="76">
        <f>[1]云南!J45</f>
        <v>-76.460530000000006</v>
      </c>
      <c r="L68" s="137">
        <f>[1]云南!K45</f>
        <v>-83.584632999999997</v>
      </c>
      <c r="M68" s="137">
        <f>[1]云南!L45</f>
        <v>668.558529999999</v>
      </c>
      <c r="N68" s="137">
        <v>183.634928</v>
      </c>
      <c r="O68" s="133">
        <f t="shared" si="7"/>
        <v>2502.4624069999991</v>
      </c>
      <c r="P68" s="46">
        <f t="shared" si="6"/>
        <v>1809.746854</v>
      </c>
      <c r="Q68" s="134"/>
    </row>
    <row r="69" spans="1:19" x14ac:dyDescent="0.15">
      <c r="A69" s="36" t="s">
        <v>164</v>
      </c>
      <c r="B69" s="32">
        <v>1316.0284876922999</v>
      </c>
      <c r="C69" s="76">
        <f>[1]楚雄!B45</f>
        <v>318.901185</v>
      </c>
      <c r="D69" s="76">
        <f>[1]楚雄!C45</f>
        <v>568.69453699999997</v>
      </c>
      <c r="E69" s="76">
        <f>[1]楚雄!D45</f>
        <v>688.88545099999999</v>
      </c>
      <c r="F69" s="76">
        <f>[1]楚雄!E45</f>
        <v>426.25543800000003</v>
      </c>
      <c r="G69" s="76">
        <f>[1]楚雄!F45</f>
        <v>82.308369000000098</v>
      </c>
      <c r="H69" s="76">
        <f>[1]楚雄!G45</f>
        <v>-135.638575</v>
      </c>
      <c r="I69" s="76">
        <f>[1]楚雄!H45</f>
        <v>-140.223994</v>
      </c>
      <c r="J69" s="76">
        <f>[1]楚雄!I45</f>
        <v>-135.60299599999999</v>
      </c>
      <c r="K69" s="76">
        <f>[1]楚雄!J45</f>
        <v>-142.70771499999901</v>
      </c>
      <c r="L69" s="76">
        <f>[1]楚雄!K45</f>
        <v>-120.726206</v>
      </c>
      <c r="M69" s="76">
        <f>[1]楚雄!L45</f>
        <v>121.057523</v>
      </c>
      <c r="N69" s="76">
        <v>17.145074999998499</v>
      </c>
      <c r="O69" s="133">
        <f t="shared" si="7"/>
        <v>1548.348092</v>
      </c>
      <c r="P69" s="46">
        <f t="shared" si="6"/>
        <v>1576.4811730000001</v>
      </c>
      <c r="Q69" s="134"/>
    </row>
    <row r="70" spans="1:19" x14ac:dyDescent="0.15">
      <c r="A70" s="36" t="s">
        <v>165</v>
      </c>
      <c r="B70" s="32">
        <v>-264.634279360307</v>
      </c>
      <c r="C70" s="76">
        <f>[1]大理!B45</f>
        <v>93.781228999999996</v>
      </c>
      <c r="D70" s="76">
        <f>[1]大理!C45</f>
        <v>95.579228999999998</v>
      </c>
      <c r="E70" s="76">
        <f>[1]大理!D45</f>
        <v>57.372630999999998</v>
      </c>
      <c r="F70" s="76">
        <f>[1]大理!E45</f>
        <v>47.904408999999902</v>
      </c>
      <c r="G70" s="76">
        <f>[1]大理!F45</f>
        <v>29.630772</v>
      </c>
      <c r="H70" s="76">
        <f>[1]大理!G45</f>
        <v>-43.012369</v>
      </c>
      <c r="I70" s="76">
        <f>[1]大理!H45</f>
        <v>2.0415780000000199</v>
      </c>
      <c r="J70" s="76">
        <f>[1]大理!I45</f>
        <v>5.7144870000000099</v>
      </c>
      <c r="K70" s="76">
        <f>[1]大理!J45</f>
        <v>17.770914999999899</v>
      </c>
      <c r="L70" s="76">
        <f>[1]大理!K45</f>
        <v>31.401154000000901</v>
      </c>
      <c r="M70" s="76">
        <f>[1]大理!L45</f>
        <v>35.977516999998997</v>
      </c>
      <c r="N70" s="76">
        <v>-104.161552</v>
      </c>
      <c r="O70" s="133">
        <f t="shared" si="7"/>
        <v>269.99999999999977</v>
      </c>
      <c r="P70" s="46">
        <f t="shared" si="6"/>
        <v>246.73308900000001</v>
      </c>
      <c r="Q70" s="134"/>
      <c r="R70" s="46"/>
      <c r="S70" s="46"/>
    </row>
    <row r="71" spans="1:19" x14ac:dyDescent="0.15">
      <c r="A71" s="54" t="s">
        <v>176</v>
      </c>
      <c r="B71" s="123">
        <f>SUM(B68:B70)</f>
        <v>2980.0139378191725</v>
      </c>
      <c r="C71" s="123">
        <f t="shared" ref="C71:N71" si="9">SUM(C68:C70)</f>
        <v>1084.866266</v>
      </c>
      <c r="D71" s="123">
        <f t="shared" si="9"/>
        <v>1231.2416519999999</v>
      </c>
      <c r="E71" s="123">
        <f t="shared" si="9"/>
        <v>1316.853198</v>
      </c>
      <c r="F71" s="123">
        <f t="shared" si="9"/>
        <v>887.41095799999891</v>
      </c>
      <c r="G71" s="123">
        <f t="shared" si="9"/>
        <v>248.34908800000008</v>
      </c>
      <c r="H71" s="123">
        <f t="shared" si="9"/>
        <v>-514.13155300000005</v>
      </c>
      <c r="I71" s="123">
        <f t="shared" si="9"/>
        <v>-245.10480699999999</v>
      </c>
      <c r="J71" s="123">
        <f t="shared" si="9"/>
        <v>-236.57930899999897</v>
      </c>
      <c r="K71" s="123">
        <f t="shared" si="9"/>
        <v>-201.39732999999913</v>
      </c>
      <c r="L71" s="152">
        <f t="shared" si="9"/>
        <v>-172.90968499999909</v>
      </c>
      <c r="M71" s="123">
        <f t="shared" si="9"/>
        <v>825.59356999999807</v>
      </c>
      <c r="N71" s="123">
        <f t="shared" si="9"/>
        <v>96.618450999998487</v>
      </c>
      <c r="O71" s="133">
        <f t="shared" si="7"/>
        <v>4320.8104989999965</v>
      </c>
      <c r="P71" s="46">
        <f t="shared" si="6"/>
        <v>3632.9611159999995</v>
      </c>
      <c r="Q71" s="134"/>
    </row>
    <row r="72" spans="1:19" x14ac:dyDescent="0.15">
      <c r="A72" s="124" t="s">
        <v>95</v>
      </c>
      <c r="B72" s="137">
        <f t="shared" ref="B72:N72" si="10">B67+B71</f>
        <v>1632.0556936183218</v>
      </c>
      <c r="C72" s="137">
        <f t="shared" si="10"/>
        <v>-277.53269399999999</v>
      </c>
      <c r="D72" s="137">
        <f t="shared" si="10"/>
        <v>671.36051899999984</v>
      </c>
      <c r="E72" s="137">
        <f t="shared" si="10"/>
        <v>1671.175383</v>
      </c>
      <c r="F72" s="137">
        <f t="shared" si="10"/>
        <v>1572.0215899999989</v>
      </c>
      <c r="G72" s="137">
        <f t="shared" si="10"/>
        <v>2372.8105630000027</v>
      </c>
      <c r="H72" s="137">
        <f t="shared" si="10"/>
        <v>-150.30307600000617</v>
      </c>
      <c r="I72" s="137">
        <f t="shared" si="10"/>
        <v>745.58105200000296</v>
      </c>
      <c r="J72" s="137">
        <f t="shared" si="10"/>
        <v>910.95622799999785</v>
      </c>
      <c r="K72" s="137">
        <f t="shared" si="10"/>
        <v>237.7392850000023</v>
      </c>
      <c r="L72" s="137">
        <f t="shared" si="10"/>
        <v>-35.904418999997802</v>
      </c>
      <c r="M72" s="137">
        <f t="shared" si="10"/>
        <v>131.54828199999952</v>
      </c>
      <c r="N72" s="137">
        <f t="shared" si="10"/>
        <v>-2417.9308250000036</v>
      </c>
      <c r="O72" s="151">
        <f t="shared" si="7"/>
        <v>5431.5218879999975</v>
      </c>
      <c r="P72" s="46">
        <f t="shared" si="6"/>
        <v>2065.0032080000001</v>
      </c>
      <c r="Q72" s="134"/>
    </row>
    <row r="73" spans="1:19" x14ac:dyDescent="0.15">
      <c r="A73" s="54" t="s">
        <v>246</v>
      </c>
      <c r="B73" s="123"/>
      <c r="C73" s="123">
        <v>-22.462163</v>
      </c>
      <c r="D73" s="123">
        <v>0.35081600000000002</v>
      </c>
      <c r="E73" s="123">
        <v>0.44497699999999801</v>
      </c>
      <c r="F73" s="123">
        <v>0.407696000000002</v>
      </c>
      <c r="G73" s="123">
        <v>0.45380499999999802</v>
      </c>
      <c r="H73" s="123">
        <v>0.42745899999999898</v>
      </c>
      <c r="I73" s="123">
        <v>0.839027999999999</v>
      </c>
      <c r="J73" s="123">
        <v>0.75141599999999997</v>
      </c>
      <c r="K73" s="123">
        <v>-5.7705449999999896</v>
      </c>
      <c r="L73" s="152">
        <v>24.557510999999899</v>
      </c>
      <c r="M73" s="123"/>
      <c r="N73" s="123"/>
      <c r="O73" s="123"/>
      <c r="P73" s="46">
        <f t="shared" si="6"/>
        <v>-21.666370000000004</v>
      </c>
      <c r="Q73" s="134"/>
    </row>
    <row r="74" spans="1:19" x14ac:dyDescent="0.15">
      <c r="A74" s="138" t="s">
        <v>247</v>
      </c>
      <c r="B74" s="139"/>
      <c r="C74" s="139">
        <v>50.726543999999997</v>
      </c>
      <c r="D74" s="139">
        <v>46.021096999999997</v>
      </c>
      <c r="E74" s="139">
        <v>48.447404999999897</v>
      </c>
      <c r="F74" s="139">
        <v>44.748804999999997</v>
      </c>
      <c r="G74" s="139">
        <v>51.497723000000001</v>
      </c>
      <c r="H74" s="139">
        <v>45.681874999999799</v>
      </c>
      <c r="I74" s="139">
        <v>37.418710000000097</v>
      </c>
      <c r="J74" s="139">
        <v>38.564227000000301</v>
      </c>
      <c r="K74" s="139">
        <v>-3.93403800000101</v>
      </c>
      <c r="L74" s="139">
        <v>-53.750014</v>
      </c>
      <c r="M74" s="139">
        <v>29.391251000000501</v>
      </c>
      <c r="N74" s="139">
        <v>-667.67975300000001</v>
      </c>
      <c r="O74" s="151">
        <f>SUM(C74:N74)</f>
        <v>-332.86616800000041</v>
      </c>
      <c r="P74" s="46">
        <f t="shared" si="6"/>
        <v>145.19504599999988</v>
      </c>
    </row>
    <row r="75" spans="1:19" x14ac:dyDescent="0.15">
      <c r="A75" s="125" t="s">
        <v>245</v>
      </c>
      <c r="B75" s="140">
        <v>1633.1095547700099</v>
      </c>
      <c r="C75" s="141">
        <v>-249.26831299999901</v>
      </c>
      <c r="D75" s="140">
        <v>717.73243199999899</v>
      </c>
      <c r="E75" s="140">
        <v>1720.067765</v>
      </c>
      <c r="F75" s="140">
        <v>1617.178091</v>
      </c>
      <c r="G75" s="140">
        <v>2424.7620909999901</v>
      </c>
      <c r="H75" s="141">
        <v>-104.19614499999901</v>
      </c>
      <c r="I75" s="140">
        <v>783.83879000001002</v>
      </c>
      <c r="J75" s="140">
        <v>950.27187099999901</v>
      </c>
      <c r="K75" s="140">
        <v>228</v>
      </c>
      <c r="L75" s="140">
        <v>5</v>
      </c>
      <c r="M75" s="140">
        <v>160.93953300001999</v>
      </c>
      <c r="N75" s="140">
        <v>-2548.0041980000201</v>
      </c>
      <c r="O75" s="153">
        <v>5706.3219170000002</v>
      </c>
      <c r="P75" s="46">
        <f t="shared" si="6"/>
        <v>2188.531884</v>
      </c>
      <c r="Q75" s="155"/>
    </row>
    <row r="76" spans="1:19" x14ac:dyDescent="0.1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Q76" s="46"/>
    </row>
    <row r="77" spans="1:19" ht="22.5" customHeight="1" x14ac:dyDescent="0.15">
      <c r="A77" s="52"/>
      <c r="B77" s="52"/>
      <c r="C77" s="380" t="s">
        <v>141</v>
      </c>
      <c r="D77" s="380"/>
      <c r="E77" s="380"/>
      <c r="F77" s="380"/>
      <c r="G77" s="380"/>
      <c r="H77" s="380"/>
      <c r="I77" s="380"/>
      <c r="J77" s="380"/>
      <c r="K77" s="380"/>
      <c r="L77" s="380"/>
      <c r="M77" s="380"/>
      <c r="N77" s="380"/>
      <c r="O77" s="26"/>
    </row>
    <row r="78" spans="1:19" ht="15.75" customHeight="1" x14ac:dyDescent="0.15">
      <c r="A78" s="52" t="s">
        <v>179</v>
      </c>
      <c r="B78" s="119" t="s">
        <v>0</v>
      </c>
      <c r="C78" s="120" t="s">
        <v>83</v>
      </c>
      <c r="D78" s="120" t="s">
        <v>84</v>
      </c>
      <c r="E78" s="120" t="s">
        <v>85</v>
      </c>
      <c r="F78" s="120" t="s">
        <v>86</v>
      </c>
      <c r="G78" s="120" t="s">
        <v>87</v>
      </c>
      <c r="H78" s="120" t="s">
        <v>88</v>
      </c>
      <c r="I78" s="120" t="s">
        <v>89</v>
      </c>
      <c r="J78" s="120" t="s">
        <v>90</v>
      </c>
      <c r="K78" s="120" t="s">
        <v>91</v>
      </c>
      <c r="L78" s="120" t="s">
        <v>92</v>
      </c>
      <c r="M78" s="120" t="s">
        <v>93</v>
      </c>
      <c r="N78" s="120" t="s">
        <v>94</v>
      </c>
      <c r="O78" s="44" t="s">
        <v>95</v>
      </c>
    </row>
    <row r="79" spans="1:19" ht="15.75" customHeight="1" x14ac:dyDescent="0.15">
      <c r="A79" s="36" t="s">
        <v>148</v>
      </c>
      <c r="B79" s="127">
        <f>白银!B46</f>
        <v>-240.00730615385021</v>
      </c>
      <c r="C79" s="85">
        <f>白银!C46</f>
        <v>54.023350000000001</v>
      </c>
      <c r="D79" s="85">
        <f>白银!D46</f>
        <v>125.547585</v>
      </c>
      <c r="E79" s="85">
        <f>白银!E46</f>
        <v>211.136709</v>
      </c>
      <c r="F79" s="85">
        <f>白银!F46</f>
        <v>266.68681299999997</v>
      </c>
      <c r="G79" s="85">
        <f>白银!G46</f>
        <v>0</v>
      </c>
      <c r="H79" s="85">
        <f>白银!H46</f>
        <v>0</v>
      </c>
      <c r="I79" s="85">
        <f>白银!I46</f>
        <v>0</v>
      </c>
      <c r="J79" s="85">
        <f>白银!J46</f>
        <v>0</v>
      </c>
      <c r="K79" s="85">
        <f>白银!K46</f>
        <v>0</v>
      </c>
      <c r="L79" s="85">
        <f>白银!L46</f>
        <v>0</v>
      </c>
      <c r="M79" s="85">
        <f>白银!M46</f>
        <v>0</v>
      </c>
      <c r="N79" s="85">
        <f>白银!N46</f>
        <v>0</v>
      </c>
      <c r="O79" s="151">
        <f>SUM(C79:N79)</f>
        <v>657.39445699999987</v>
      </c>
      <c r="P79" s="154"/>
      <c r="Q79" s="46"/>
    </row>
    <row r="80" spans="1:19" ht="15.75" customHeight="1" x14ac:dyDescent="0.15">
      <c r="A80" s="36" t="s">
        <v>149</v>
      </c>
      <c r="B80" s="127">
        <f>酒一!B46</f>
        <v>-802.2429000000011</v>
      </c>
      <c r="C80" s="85">
        <f>酒一!C46</f>
        <v>-42.30106</v>
      </c>
      <c r="D80" s="85">
        <f>酒一!D46</f>
        <v>-175.661385</v>
      </c>
      <c r="E80" s="85">
        <f>酒一!E46</f>
        <v>-84.363511999999901</v>
      </c>
      <c r="F80" s="85">
        <f>酒一!F46</f>
        <v>-43.660663</v>
      </c>
      <c r="G80" s="85">
        <f>酒一!G46</f>
        <v>0</v>
      </c>
      <c r="H80" s="85">
        <f>酒一!H46</f>
        <v>0</v>
      </c>
      <c r="I80" s="85">
        <f>酒一!I46</f>
        <v>0</v>
      </c>
      <c r="J80" s="85">
        <f>酒一!J46</f>
        <v>0</v>
      </c>
      <c r="K80" s="85">
        <f>酒一!K46</f>
        <v>0</v>
      </c>
      <c r="L80" s="85">
        <f>酒一!L46</f>
        <v>0</v>
      </c>
      <c r="M80" s="85">
        <f>酒一!M46</f>
        <v>0</v>
      </c>
      <c r="N80" s="85">
        <f>酒一!N46</f>
        <v>0</v>
      </c>
      <c r="O80" s="151">
        <f>SUM(C80:N80)</f>
        <v>-345.9866199999999</v>
      </c>
      <c r="P80" s="154"/>
      <c r="Q80" s="46"/>
    </row>
    <row r="81" spans="1:18" ht="15.75" customHeight="1" x14ac:dyDescent="0.15">
      <c r="A81" s="36" t="s">
        <v>150</v>
      </c>
      <c r="B81" s="127">
        <f>酒二!B46</f>
        <v>-1514.4050307691978</v>
      </c>
      <c r="C81" s="85">
        <f>酒二!C46</f>
        <v>-214.18537799999999</v>
      </c>
      <c r="D81" s="85">
        <f>酒二!D46</f>
        <v>-311.62316099999998</v>
      </c>
      <c r="E81" s="85">
        <f>酒二!E46</f>
        <v>-107.459436</v>
      </c>
      <c r="F81" s="85">
        <f>酒二!F46</f>
        <v>4.1576849999999599</v>
      </c>
      <c r="G81" s="85">
        <f>酒二!G46</f>
        <v>0</v>
      </c>
      <c r="H81" s="85">
        <f>酒二!H46</f>
        <v>0</v>
      </c>
      <c r="I81" s="85">
        <f>酒二!I46</f>
        <v>0</v>
      </c>
      <c r="J81" s="85">
        <f>酒二!J46</f>
        <v>0</v>
      </c>
      <c r="K81" s="85">
        <f>酒二!K46</f>
        <v>0</v>
      </c>
      <c r="L81" s="85">
        <f>酒二!L46</f>
        <v>0</v>
      </c>
      <c r="M81" s="85">
        <f>酒二!M46</f>
        <v>0</v>
      </c>
      <c r="N81" s="85">
        <f>酒二!N46</f>
        <v>0</v>
      </c>
      <c r="O81" s="151">
        <f t="shared" ref="O81:O91" si="11">SUM(C81:N81)</f>
        <v>-629.11028999999996</v>
      </c>
      <c r="P81" s="154">
        <f>SUM(O79:O81,O89)</f>
        <v>-214.7948539999999</v>
      </c>
      <c r="Q81" s="46"/>
    </row>
    <row r="82" spans="1:18" ht="15.75" customHeight="1" x14ac:dyDescent="0.15">
      <c r="A82" s="36" t="s">
        <v>151</v>
      </c>
      <c r="B82" s="127">
        <f>青海!B46</f>
        <v>4291.2189087179504</v>
      </c>
      <c r="C82" s="85">
        <f>青海!C46</f>
        <v>218.82375699999901</v>
      </c>
      <c r="D82" s="85">
        <f>青海!D46</f>
        <v>487.193017</v>
      </c>
      <c r="E82" s="85">
        <f>青海!E46</f>
        <v>223.76550899999901</v>
      </c>
      <c r="F82" s="85">
        <f>青海!F46</f>
        <v>727.51738799999998</v>
      </c>
      <c r="G82" s="85">
        <f>青海!G46</f>
        <v>0</v>
      </c>
      <c r="H82" s="85">
        <f>青海!H46</f>
        <v>0</v>
      </c>
      <c r="I82" s="85">
        <f>青海!I46</f>
        <v>0</v>
      </c>
      <c r="J82" s="85">
        <f>青海!J46</f>
        <v>0</v>
      </c>
      <c r="K82" s="85">
        <f>青海!K46</f>
        <v>0</v>
      </c>
      <c r="L82" s="85">
        <f>青海!L46</f>
        <v>0</v>
      </c>
      <c r="M82" s="85">
        <f>青海!M46</f>
        <v>0</v>
      </c>
      <c r="N82" s="85">
        <f>青海!N46</f>
        <v>0</v>
      </c>
      <c r="O82" s="151">
        <f t="shared" si="11"/>
        <v>1657.2996709999979</v>
      </c>
      <c r="P82" s="154"/>
      <c r="Q82" s="46"/>
      <c r="R82" s="135"/>
    </row>
    <row r="83" spans="1:18" ht="15.75" customHeight="1" x14ac:dyDescent="0.15">
      <c r="A83" s="36" t="s">
        <v>152</v>
      </c>
      <c r="B83" s="127">
        <f>哈密!B46</f>
        <v>259.92924495726947</v>
      </c>
      <c r="C83" s="85">
        <f>哈密!C46</f>
        <v>882.13013899999999</v>
      </c>
      <c r="D83" s="85">
        <f>哈密!D46</f>
        <v>-335.50134000000003</v>
      </c>
      <c r="E83" s="85">
        <f>哈密!E46</f>
        <v>1101.7666180000001</v>
      </c>
      <c r="F83" s="94">
        <f>哈密!F46</f>
        <v>566.20788299999901</v>
      </c>
      <c r="G83" s="85">
        <f>哈密!G46</f>
        <v>0</v>
      </c>
      <c r="H83" s="85">
        <f>哈密!H46</f>
        <v>0</v>
      </c>
      <c r="I83" s="85">
        <f>哈密!I46</f>
        <v>0</v>
      </c>
      <c r="J83" s="85">
        <f>哈密!J46</f>
        <v>0</v>
      </c>
      <c r="K83" s="85">
        <f>哈密!K46</f>
        <v>0</v>
      </c>
      <c r="L83" s="85">
        <f>哈密!L46</f>
        <v>0</v>
      </c>
      <c r="M83" s="85">
        <f>哈密!M46</f>
        <v>0</v>
      </c>
      <c r="N83" s="85">
        <f>哈密!N46</f>
        <v>0</v>
      </c>
      <c r="O83" s="151">
        <f t="shared" si="11"/>
        <v>2214.6032999999993</v>
      </c>
      <c r="P83" s="154">
        <f>SUM(O83,O88)</f>
        <v>1906.3827279999994</v>
      </c>
      <c r="Q83" s="46"/>
    </row>
    <row r="84" spans="1:18" ht="15.75" customHeight="1" x14ac:dyDescent="0.15">
      <c r="A84" s="36" t="s">
        <v>153</v>
      </c>
      <c r="B84" s="127">
        <f>三塘湖!B46</f>
        <v>263.47516671794983</v>
      </c>
      <c r="C84" s="85">
        <f>三塘湖!C46</f>
        <v>163.87831799999998</v>
      </c>
      <c r="D84" s="85">
        <f>三塘湖!D46</f>
        <v>98.607449000000031</v>
      </c>
      <c r="E84" s="85">
        <f>三塘湖!E46</f>
        <v>192.95239200000003</v>
      </c>
      <c r="F84" s="85">
        <f>三塘湖!F46</f>
        <v>67.240696000000014</v>
      </c>
      <c r="G84" s="85">
        <f>三塘湖!G46</f>
        <v>0</v>
      </c>
      <c r="H84" s="85">
        <f>三塘湖!H46</f>
        <v>0</v>
      </c>
      <c r="I84" s="85">
        <f>三塘湖!I46</f>
        <v>0</v>
      </c>
      <c r="J84" s="85">
        <f>三塘湖!J46</f>
        <v>0</v>
      </c>
      <c r="K84" s="85">
        <f>三塘湖!K46</f>
        <v>0</v>
      </c>
      <c r="L84" s="85">
        <f>三塘湖!L46</f>
        <v>0</v>
      </c>
      <c r="M84" s="85">
        <f>三塘湖!M46</f>
        <v>0</v>
      </c>
      <c r="N84" s="85">
        <f>三塘湖!N46</f>
        <v>0</v>
      </c>
      <c r="O84" s="151">
        <f t="shared" si="11"/>
        <v>522.67885500000011</v>
      </c>
      <c r="P84" s="154"/>
      <c r="Q84" s="160"/>
    </row>
    <row r="85" spans="1:18" ht="15.75" customHeight="1" x14ac:dyDescent="0.15">
      <c r="A85" s="36" t="s">
        <v>154</v>
      </c>
      <c r="B85" s="127">
        <f>淖毛湖!B46</f>
        <v>-1263.4571383760695</v>
      </c>
      <c r="C85" s="85">
        <f>淖毛湖!C46</f>
        <v>-248.73685699999999</v>
      </c>
      <c r="D85" s="85">
        <f>淖毛湖!D46</f>
        <v>-193.10629300000002</v>
      </c>
      <c r="E85" s="85">
        <f>淖毛湖!E46</f>
        <v>-52.783874999999966</v>
      </c>
      <c r="F85" s="85">
        <f>淖毛湖!F46</f>
        <v>-144.36316599999998</v>
      </c>
      <c r="G85" s="85">
        <f>淖毛湖!G46</f>
        <v>0</v>
      </c>
      <c r="H85" s="85">
        <f>淖毛湖!H46</f>
        <v>0</v>
      </c>
      <c r="I85" s="85">
        <f>淖毛湖!I46</f>
        <v>0</v>
      </c>
      <c r="J85" s="85">
        <f>淖毛湖!J46</f>
        <v>0</v>
      </c>
      <c r="K85" s="85">
        <f>淖毛湖!K46</f>
        <v>0</v>
      </c>
      <c r="L85" s="85">
        <f>淖毛湖!L46</f>
        <v>0</v>
      </c>
      <c r="M85" s="85">
        <f>淖毛湖!M46</f>
        <v>0</v>
      </c>
      <c r="N85" s="85">
        <f>淖毛湖!N46</f>
        <v>0</v>
      </c>
      <c r="O85" s="151">
        <f t="shared" si="11"/>
        <v>-638.99019099999998</v>
      </c>
      <c r="P85" s="154"/>
      <c r="Q85" s="46"/>
    </row>
    <row r="86" spans="1:18" ht="15.75" customHeight="1" x14ac:dyDescent="0.15">
      <c r="A86" s="36" t="s">
        <v>155</v>
      </c>
      <c r="B86" s="127">
        <f>景峡!B46</f>
        <v>460.01990769230997</v>
      </c>
      <c r="C86" s="85">
        <f>景峡!C46</f>
        <v>512.74768099999994</v>
      </c>
      <c r="D86" s="85">
        <f>景峡!D46</f>
        <v>-156.25320200000004</v>
      </c>
      <c r="E86" s="85">
        <f>景峡!E46</f>
        <v>551.16160400000001</v>
      </c>
      <c r="F86" s="85">
        <f>景峡!F46</f>
        <v>317.50623700000006</v>
      </c>
      <c r="G86" s="85">
        <f>景峡!G46</f>
        <v>0</v>
      </c>
      <c r="H86" s="85">
        <f>景峡!H46</f>
        <v>0</v>
      </c>
      <c r="I86" s="85">
        <f>景峡!I46</f>
        <v>0</v>
      </c>
      <c r="J86" s="85">
        <f>景峡!J46</f>
        <v>0</v>
      </c>
      <c r="K86" s="85">
        <f>景峡!K46</f>
        <v>0</v>
      </c>
      <c r="L86" s="85">
        <f>景峡!L46</f>
        <v>0</v>
      </c>
      <c r="M86" s="85">
        <f>景峡!M46</f>
        <v>0</v>
      </c>
      <c r="N86" s="85">
        <f>景峡!N46</f>
        <v>0</v>
      </c>
      <c r="O86" s="151">
        <f t="shared" si="11"/>
        <v>1225.1623199999999</v>
      </c>
      <c r="P86" s="154">
        <f>SUM(O82,O90)</f>
        <v>2433.0529399999969</v>
      </c>
      <c r="Q86" s="46"/>
    </row>
    <row r="87" spans="1:18" ht="15.75" customHeight="1" x14ac:dyDescent="0.15">
      <c r="A87" s="36" t="s">
        <v>156</v>
      </c>
      <c r="B87" s="127">
        <f>烟墩!B46</f>
        <v>799.89130892307912</v>
      </c>
      <c r="C87" s="85">
        <f>烟墩!C46</f>
        <v>454.24099699999999</v>
      </c>
      <c r="D87" s="85">
        <f>烟墩!D46</f>
        <v>-84.749293999999963</v>
      </c>
      <c r="E87" s="85">
        <f>烟墩!E46</f>
        <v>410.43649699999997</v>
      </c>
      <c r="F87" s="85">
        <f>烟墩!F46</f>
        <v>325.824116</v>
      </c>
      <c r="G87" s="85">
        <f>烟墩!G46</f>
        <v>0</v>
      </c>
      <c r="H87" s="85">
        <f>烟墩!H46</f>
        <v>0</v>
      </c>
      <c r="I87" s="85">
        <f>烟墩!I46</f>
        <v>0</v>
      </c>
      <c r="J87" s="85">
        <f>烟墩!J46</f>
        <v>0</v>
      </c>
      <c r="K87" s="85">
        <f>烟墩!K46</f>
        <v>0</v>
      </c>
      <c r="L87" s="85">
        <f>烟墩!L46</f>
        <v>0</v>
      </c>
      <c r="M87" s="85">
        <f>烟墩!M46</f>
        <v>0</v>
      </c>
      <c r="N87" s="85">
        <f>烟墩!N46</f>
        <v>0</v>
      </c>
      <c r="O87" s="151">
        <f t="shared" si="11"/>
        <v>1105.7523160000001</v>
      </c>
      <c r="P87" s="154"/>
      <c r="Q87" s="46"/>
    </row>
    <row r="88" spans="1:18" ht="15.75" customHeight="1" x14ac:dyDescent="0.15">
      <c r="A88" s="36" t="s">
        <v>157</v>
      </c>
      <c r="B88" s="127">
        <f>吐鲁番!B46</f>
        <v>-349.64995284999986</v>
      </c>
      <c r="C88" s="85">
        <f>吐鲁番!C46</f>
        <v>-169.60153600000001</v>
      </c>
      <c r="D88" s="85">
        <f>吐鲁番!D46</f>
        <v>-140.47218599999999</v>
      </c>
      <c r="E88" s="85">
        <f>吐鲁番!E46</f>
        <v>-21.185619999999901</v>
      </c>
      <c r="F88" s="85">
        <f>吐鲁番!F46</f>
        <v>23.0387699999999</v>
      </c>
      <c r="G88" s="85">
        <f>吐鲁番!G46</f>
        <v>0</v>
      </c>
      <c r="H88" s="85">
        <f>吐鲁番!H46</f>
        <v>0</v>
      </c>
      <c r="I88" s="85">
        <f>吐鲁番!I46</f>
        <v>0</v>
      </c>
      <c r="J88" s="85">
        <f>吐鲁番!J46</f>
        <v>0</v>
      </c>
      <c r="K88" s="85">
        <f>吐鲁番!K46</f>
        <v>0</v>
      </c>
      <c r="L88" s="85">
        <f>吐鲁番!L46</f>
        <v>0</v>
      </c>
      <c r="M88" s="85">
        <f>吐鲁番!M46</f>
        <v>0</v>
      </c>
      <c r="N88" s="85">
        <f>吐鲁番!N46</f>
        <v>0</v>
      </c>
      <c r="O88" s="151">
        <f t="shared" si="11"/>
        <v>-308.220572</v>
      </c>
      <c r="P88" s="154"/>
      <c r="Q88" s="46"/>
    </row>
    <row r="89" spans="1:18" ht="16.5" customHeight="1" x14ac:dyDescent="0.15">
      <c r="A89" s="36" t="s">
        <v>158</v>
      </c>
      <c r="B89" s="127">
        <f>敦煌!B46</f>
        <v>110.50181538462039</v>
      </c>
      <c r="C89" s="85">
        <f>敦煌!C46</f>
        <v>-26.735671999999902</v>
      </c>
      <c r="D89" s="85">
        <f>敦煌!D46</f>
        <v>67.489910999999907</v>
      </c>
      <c r="E89" s="85">
        <f>敦煌!E46</f>
        <v>110.62910599999999</v>
      </c>
      <c r="F89" s="85">
        <f>敦煌!F46</f>
        <v>-48.475745999999901</v>
      </c>
      <c r="G89" s="85">
        <f>敦煌!G46</f>
        <v>0</v>
      </c>
      <c r="H89" s="85">
        <f>敦煌!H46</f>
        <v>0</v>
      </c>
      <c r="I89" s="85">
        <f>敦煌!I46</f>
        <v>0</v>
      </c>
      <c r="J89" s="85">
        <f>敦煌!J46</f>
        <v>0</v>
      </c>
      <c r="K89" s="85">
        <f>敦煌!K46</f>
        <v>0</v>
      </c>
      <c r="L89" s="85">
        <f>敦煌!L46</f>
        <v>0</v>
      </c>
      <c r="M89" s="85">
        <f>敦煌!M46</f>
        <v>0</v>
      </c>
      <c r="N89" s="85">
        <f>敦煌!N46</f>
        <v>0</v>
      </c>
      <c r="O89" s="151">
        <f t="shared" si="11"/>
        <v>102.90759900000009</v>
      </c>
      <c r="P89" s="154"/>
      <c r="Q89" s="46"/>
    </row>
    <row r="90" spans="1:18" ht="15.75" customHeight="1" x14ac:dyDescent="0.15">
      <c r="A90" s="36" t="s">
        <v>159</v>
      </c>
      <c r="B90" s="127">
        <f>格尔木!B46</f>
        <v>1616.2295333333286</v>
      </c>
      <c r="C90" s="85">
        <f>格尔木!C46</f>
        <v>67.520473999999993</v>
      </c>
      <c r="D90" s="85">
        <f>格尔木!D46</f>
        <v>206.35746499999999</v>
      </c>
      <c r="E90" s="85">
        <f>格尔木!E46</f>
        <v>204.05705799999899</v>
      </c>
      <c r="F90" s="85">
        <f>格尔木!F46</f>
        <v>297.81827199999998</v>
      </c>
      <c r="G90" s="85">
        <f>格尔木!G46</f>
        <v>0</v>
      </c>
      <c r="H90" s="85">
        <f>格尔木!H46</f>
        <v>0</v>
      </c>
      <c r="I90" s="85">
        <f>格尔木!I46</f>
        <v>0</v>
      </c>
      <c r="J90" s="85">
        <f>格尔木!J46</f>
        <v>0</v>
      </c>
      <c r="K90" s="85">
        <f>格尔木!K46</f>
        <v>0</v>
      </c>
      <c r="L90" s="85">
        <f>格尔木!L46</f>
        <v>0</v>
      </c>
      <c r="M90" s="85">
        <f>格尔木!M46</f>
        <v>0</v>
      </c>
      <c r="N90" s="85">
        <f>格尔木!N46</f>
        <v>0</v>
      </c>
      <c r="O90" s="151">
        <f t="shared" si="11"/>
        <v>775.75326899999891</v>
      </c>
      <c r="P90" s="154"/>
      <c r="Q90" s="46"/>
    </row>
    <row r="91" spans="1:18" ht="15.75" customHeight="1" x14ac:dyDescent="0.15">
      <c r="A91" s="36" t="s">
        <v>160</v>
      </c>
      <c r="B91" s="127">
        <f>石嘴山!B46</f>
        <v>384.78022307691936</v>
      </c>
      <c r="C91" s="85">
        <f>石嘴山!C46</f>
        <v>25.248666</v>
      </c>
      <c r="D91" s="85">
        <f>石嘴山!D46</f>
        <v>56.506101000000001</v>
      </c>
      <c r="E91" s="85">
        <f>石嘴山!E46</f>
        <v>72.092916000000102</v>
      </c>
      <c r="F91" s="94">
        <f>石嘴山!F46</f>
        <v>81.943025999999904</v>
      </c>
      <c r="G91" s="85">
        <f>石嘴山!G46</f>
        <v>0</v>
      </c>
      <c r="H91" s="85">
        <f>石嘴山!H46</f>
        <v>0</v>
      </c>
      <c r="I91" s="85">
        <f>石嘴山!I46</f>
        <v>0</v>
      </c>
      <c r="J91" s="85">
        <f>石嘴山!J46</f>
        <v>0</v>
      </c>
      <c r="K91" s="85">
        <f>石嘴山!K46</f>
        <v>0</v>
      </c>
      <c r="L91" s="85">
        <f>石嘴山!L46</f>
        <v>0</v>
      </c>
      <c r="M91" s="85">
        <f>石嘴山!M46</f>
        <v>0</v>
      </c>
      <c r="N91" s="85">
        <f>石嘴山!N46</f>
        <v>0</v>
      </c>
      <c r="O91" s="151">
        <f t="shared" si="11"/>
        <v>235.79070899999999</v>
      </c>
      <c r="P91" s="154"/>
      <c r="Q91" s="46"/>
      <c r="R91" s="159"/>
    </row>
    <row r="92" spans="1:18" ht="15.75" customHeight="1" x14ac:dyDescent="0.15">
      <c r="A92" s="54" t="s">
        <v>176</v>
      </c>
      <c r="B92" s="136">
        <f t="shared" ref="B92:O92" si="12">SUM(B79:B83,B88:B91)</f>
        <v>3756.3545356970394</v>
      </c>
      <c r="C92" s="88">
        <f t="shared" si="12"/>
        <v>794.92273999999907</v>
      </c>
      <c r="D92" s="88">
        <f t="shared" si="12"/>
        <v>-20.163993000000119</v>
      </c>
      <c r="E92" s="88">
        <f t="shared" si="12"/>
        <v>1710.4393479999983</v>
      </c>
      <c r="F92" s="88">
        <f t="shared" si="12"/>
        <v>1875.2334279999989</v>
      </c>
      <c r="G92" s="88">
        <f t="shared" si="12"/>
        <v>0</v>
      </c>
      <c r="H92" s="88">
        <f t="shared" si="12"/>
        <v>0</v>
      </c>
      <c r="I92" s="88">
        <f t="shared" si="12"/>
        <v>0</v>
      </c>
      <c r="J92" s="88">
        <f t="shared" si="12"/>
        <v>0</v>
      </c>
      <c r="K92" s="88">
        <f t="shared" si="12"/>
        <v>0</v>
      </c>
      <c r="L92" s="88">
        <f t="shared" si="12"/>
        <v>0</v>
      </c>
      <c r="M92" s="88">
        <f t="shared" si="12"/>
        <v>0</v>
      </c>
      <c r="N92" s="88">
        <f t="shared" si="12"/>
        <v>0</v>
      </c>
      <c r="O92" s="88">
        <f t="shared" si="12"/>
        <v>4360.4315229999966</v>
      </c>
      <c r="P92" s="154"/>
      <c r="Q92" s="46"/>
      <c r="R92" s="159"/>
    </row>
    <row r="93" spans="1:18" x14ac:dyDescent="0.15">
      <c r="A93" s="36" t="s">
        <v>163</v>
      </c>
      <c r="B93" s="32">
        <f>云南!B46</f>
        <v>5193.4108010152995</v>
      </c>
      <c r="C93" s="85">
        <f>云南!C46</f>
        <v>1013.7826</v>
      </c>
      <c r="D93" s="85">
        <f>云南!D46</f>
        <v>429.70254399999999</v>
      </c>
      <c r="E93" s="85">
        <f>云南!E46</f>
        <v>707.22401699999898</v>
      </c>
      <c r="F93" s="85">
        <f>云南!F46</f>
        <v>468.49205599999999</v>
      </c>
      <c r="G93" s="85">
        <f>云南!G46</f>
        <v>0</v>
      </c>
      <c r="H93" s="85">
        <f>云南!H46</f>
        <v>0</v>
      </c>
      <c r="I93" s="85">
        <f>云南!I46</f>
        <v>0</v>
      </c>
      <c r="J93" s="85">
        <f>云南!J46</f>
        <v>0</v>
      </c>
      <c r="K93" s="85">
        <f>云南!K46</f>
        <v>0</v>
      </c>
      <c r="L93" s="85">
        <f>云南!L46</f>
        <v>0</v>
      </c>
      <c r="M93" s="85">
        <f>云南!M46</f>
        <v>0</v>
      </c>
      <c r="N93" s="85">
        <f>云南!N46</f>
        <v>0</v>
      </c>
      <c r="O93" s="85">
        <f>云南!O46</f>
        <v>2619.2012169999989</v>
      </c>
      <c r="P93" s="154"/>
      <c r="Q93" s="46"/>
    </row>
    <row r="94" spans="1:18" x14ac:dyDescent="0.15">
      <c r="A94" s="36" t="s">
        <v>164</v>
      </c>
      <c r="B94" s="32">
        <f>楚雄!B46</f>
        <v>583.31890194738935</v>
      </c>
      <c r="C94" s="85">
        <f>楚雄!C46</f>
        <v>514.40731600000004</v>
      </c>
      <c r="D94" s="85">
        <f>楚雄!D46</f>
        <v>424.440425</v>
      </c>
      <c r="E94" s="85">
        <f>楚雄!E46</f>
        <v>434.51627300000001</v>
      </c>
      <c r="F94" s="85">
        <f>楚雄!F46</f>
        <v>285.47886299999999</v>
      </c>
      <c r="G94" s="85">
        <f>楚雄!G46</f>
        <v>0</v>
      </c>
      <c r="H94" s="85">
        <f>楚雄!H46</f>
        <v>0</v>
      </c>
      <c r="I94" s="85">
        <f>楚雄!I46</f>
        <v>0</v>
      </c>
      <c r="J94" s="85">
        <f>楚雄!J46</f>
        <v>0</v>
      </c>
      <c r="K94" s="85">
        <f>楚雄!K46</f>
        <v>0</v>
      </c>
      <c r="L94" s="85">
        <f>楚雄!L46</f>
        <v>0</v>
      </c>
      <c r="M94" s="85">
        <f>楚雄!M46</f>
        <v>0</v>
      </c>
      <c r="N94" s="85">
        <f>楚雄!N46</f>
        <v>0</v>
      </c>
      <c r="O94" s="85">
        <f>楚雄!O46</f>
        <v>1658.842877</v>
      </c>
      <c r="P94" s="154"/>
      <c r="Q94" s="46"/>
    </row>
    <row r="95" spans="1:18" x14ac:dyDescent="0.15">
      <c r="A95" s="36" t="s">
        <v>165</v>
      </c>
      <c r="B95" s="32">
        <f>大理!B46</f>
        <v>255.5105979670011</v>
      </c>
      <c r="C95" s="85">
        <f>大理!C46</f>
        <v>69.891005000000007</v>
      </c>
      <c r="D95" s="85">
        <f>大理!D46</f>
        <v>83.287120999999999</v>
      </c>
      <c r="E95" s="85">
        <f>大理!E46</f>
        <v>97.323334999999901</v>
      </c>
      <c r="F95" s="85">
        <f>大理!F46</f>
        <v>74.571109000000007</v>
      </c>
      <c r="G95" s="85">
        <f>大理!G46</f>
        <v>0</v>
      </c>
      <c r="H95" s="85">
        <f>大理!H46</f>
        <v>0</v>
      </c>
      <c r="I95" s="85">
        <f>大理!I46</f>
        <v>0</v>
      </c>
      <c r="J95" s="85">
        <f>大理!J46</f>
        <v>0</v>
      </c>
      <c r="K95" s="85">
        <f>大理!K46</f>
        <v>0</v>
      </c>
      <c r="L95" s="85">
        <f>大理!L46</f>
        <v>0</v>
      </c>
      <c r="M95" s="85">
        <f>大理!M46</f>
        <v>0</v>
      </c>
      <c r="N95" s="85">
        <f>大理!N46</f>
        <v>0</v>
      </c>
      <c r="O95" s="85">
        <f>大理!O46</f>
        <v>325.07256999999993</v>
      </c>
      <c r="P95" s="154"/>
      <c r="Q95" s="46"/>
    </row>
    <row r="96" spans="1:18" x14ac:dyDescent="0.15">
      <c r="A96" s="54" t="s">
        <v>176</v>
      </c>
      <c r="B96" s="142">
        <f>SUM(B93:B95)</f>
        <v>6032.2403009296904</v>
      </c>
      <c r="C96" s="123">
        <f>SUM(C93:C95)</f>
        <v>1598.080921</v>
      </c>
      <c r="D96" s="123">
        <f t="shared" ref="D96:O96" si="13">SUM(D93:D95)</f>
        <v>937.43008999999995</v>
      </c>
      <c r="E96" s="123">
        <f t="shared" si="13"/>
        <v>1239.0636249999989</v>
      </c>
      <c r="F96" s="123">
        <f t="shared" si="13"/>
        <v>828.54202799999996</v>
      </c>
      <c r="G96" s="123">
        <f t="shared" si="13"/>
        <v>0</v>
      </c>
      <c r="H96" s="123">
        <f t="shared" si="13"/>
        <v>0</v>
      </c>
      <c r="I96" s="123">
        <f t="shared" si="13"/>
        <v>0</v>
      </c>
      <c r="J96" s="123">
        <f t="shared" si="13"/>
        <v>0</v>
      </c>
      <c r="K96" s="123">
        <f t="shared" si="13"/>
        <v>0</v>
      </c>
      <c r="L96" s="123">
        <f t="shared" si="13"/>
        <v>0</v>
      </c>
      <c r="M96" s="123">
        <f t="shared" si="13"/>
        <v>0</v>
      </c>
      <c r="N96" s="123">
        <f t="shared" si="13"/>
        <v>0</v>
      </c>
      <c r="O96" s="123">
        <f t="shared" si="13"/>
        <v>4603.1166639999992</v>
      </c>
      <c r="P96" s="154"/>
      <c r="Q96" s="46"/>
    </row>
    <row r="97" spans="1:17" x14ac:dyDescent="0.15">
      <c r="A97" s="54" t="s">
        <v>180</v>
      </c>
      <c r="B97" s="142">
        <f>广西!B46</f>
        <v>1153.0872968059302</v>
      </c>
      <c r="C97" s="123">
        <f>广西!C46</f>
        <v>0</v>
      </c>
      <c r="D97" s="123">
        <f>广西!D46</f>
        <v>0</v>
      </c>
      <c r="E97" s="123">
        <f>广西!E46</f>
        <v>0</v>
      </c>
      <c r="F97" s="123">
        <f>广西!F46</f>
        <v>0</v>
      </c>
      <c r="G97" s="123">
        <f>广西!G46</f>
        <v>0</v>
      </c>
      <c r="H97" s="123">
        <f>广西!H46</f>
        <v>0</v>
      </c>
      <c r="I97" s="123">
        <f>广西!I46</f>
        <v>0</v>
      </c>
      <c r="J97" s="123">
        <f>广西!J46</f>
        <v>0</v>
      </c>
      <c r="K97" s="123">
        <f>广西!K46</f>
        <v>0</v>
      </c>
      <c r="L97" s="123">
        <f>广西!L46</f>
        <v>0</v>
      </c>
      <c r="M97" s="123">
        <f>广西!M46</f>
        <v>0</v>
      </c>
      <c r="N97" s="123">
        <f>广西!N46</f>
        <v>0</v>
      </c>
      <c r="O97" s="123">
        <f>广西!O46</f>
        <v>0</v>
      </c>
      <c r="P97" s="154"/>
      <c r="Q97" s="46"/>
    </row>
    <row r="98" spans="1:17" x14ac:dyDescent="0.15">
      <c r="A98" s="124" t="s">
        <v>95</v>
      </c>
      <c r="B98" s="143">
        <f>SUM(B92,B96:B97)</f>
        <v>10941.68213343266</v>
      </c>
      <c r="C98" s="137">
        <f>SUM(C92,C96:C97)</f>
        <v>2393.0036609999988</v>
      </c>
      <c r="D98" s="137">
        <f t="shared" ref="D98:O98" si="14">SUM(D92,D96:D97)</f>
        <v>917.26609699999983</v>
      </c>
      <c r="E98" s="137">
        <f t="shared" si="14"/>
        <v>2949.5029729999969</v>
      </c>
      <c r="F98" s="137">
        <f t="shared" si="14"/>
        <v>2703.7754559999989</v>
      </c>
      <c r="G98" s="137">
        <f t="shared" si="14"/>
        <v>0</v>
      </c>
      <c r="H98" s="137">
        <f t="shared" si="14"/>
        <v>0</v>
      </c>
      <c r="I98" s="137">
        <f t="shared" si="14"/>
        <v>0</v>
      </c>
      <c r="J98" s="137">
        <f t="shared" si="14"/>
        <v>0</v>
      </c>
      <c r="K98" s="137">
        <f t="shared" si="14"/>
        <v>0</v>
      </c>
      <c r="L98" s="137">
        <f t="shared" si="14"/>
        <v>0</v>
      </c>
      <c r="M98" s="137">
        <f t="shared" si="14"/>
        <v>0</v>
      </c>
      <c r="N98" s="137">
        <f t="shared" si="14"/>
        <v>0</v>
      </c>
      <c r="O98" s="137">
        <f t="shared" si="14"/>
        <v>8963.5481869999967</v>
      </c>
      <c r="P98" s="154">
        <f>B98/12*7</f>
        <v>6382.6479111690514</v>
      </c>
      <c r="Q98" s="46"/>
    </row>
    <row r="99" spans="1:17" x14ac:dyDescent="0.15">
      <c r="A99" s="138" t="s">
        <v>247</v>
      </c>
      <c r="B99" s="139">
        <f>本部!B46</f>
        <v>-433</v>
      </c>
      <c r="C99" s="139">
        <f>本部!C46</f>
        <v>32.942281000000001</v>
      </c>
      <c r="D99" s="139">
        <f>本部!D46</f>
        <v>26.454219999999999</v>
      </c>
      <c r="E99" s="139">
        <f>本部!E46</f>
        <v>16.899849</v>
      </c>
      <c r="F99" s="139">
        <f>本部!F46</f>
        <v>0</v>
      </c>
      <c r="G99" s="139">
        <f>本部!G46</f>
        <v>0</v>
      </c>
      <c r="H99" s="139">
        <f>本部!H46</f>
        <v>0</v>
      </c>
      <c r="I99" s="139">
        <f>本部!I46</f>
        <v>0</v>
      </c>
      <c r="J99" s="139">
        <f>本部!J46</f>
        <v>0</v>
      </c>
      <c r="K99" s="139">
        <f>本部!K46</f>
        <v>0</v>
      </c>
      <c r="L99" s="139">
        <f>本部!L46</f>
        <v>0</v>
      </c>
      <c r="M99" s="139">
        <f>本部!M46</f>
        <v>0</v>
      </c>
      <c r="N99" s="139">
        <f>本部!N46</f>
        <v>0</v>
      </c>
      <c r="O99" s="151">
        <f t="shared" ref="O99:O104" si="15">SUM(C99:N99)</f>
        <v>76.296350000000004</v>
      </c>
      <c r="P99" s="154"/>
      <c r="Q99" s="46"/>
    </row>
    <row r="100" spans="1:17" x14ac:dyDescent="0.15">
      <c r="A100" s="125" t="s">
        <v>245</v>
      </c>
      <c r="B100" s="140"/>
      <c r="C100" s="141">
        <v>2425.9459419999998</v>
      </c>
      <c r="D100" s="140">
        <v>943.72031700000002</v>
      </c>
      <c r="E100" s="140">
        <v>2966.40282199999</v>
      </c>
      <c r="F100" s="140"/>
      <c r="G100" s="140"/>
      <c r="H100" s="141"/>
      <c r="I100" s="140"/>
      <c r="J100" s="140"/>
      <c r="K100" s="140"/>
      <c r="L100" s="140"/>
      <c r="M100" s="140"/>
      <c r="N100" s="140"/>
      <c r="O100" s="153">
        <f t="shared" si="15"/>
        <v>6336.0690809999896</v>
      </c>
      <c r="P100" s="155">
        <f>O100-P75-P104</f>
        <v>-359.39283200000955</v>
      </c>
      <c r="Q100" s="46"/>
    </row>
    <row r="101" spans="1:17" x14ac:dyDescent="0.15">
      <c r="A101" s="43" t="s">
        <v>248</v>
      </c>
      <c r="B101" s="43"/>
      <c r="C101" s="76">
        <v>76.236020999999994</v>
      </c>
      <c r="D101" s="76">
        <v>213.16278800000001</v>
      </c>
      <c r="E101" s="76">
        <v>47.21</v>
      </c>
      <c r="F101" s="76">
        <v>405.38479999999998</v>
      </c>
      <c r="G101" s="43"/>
      <c r="H101" s="43"/>
      <c r="I101" s="43"/>
      <c r="J101" s="76"/>
      <c r="K101" s="156"/>
      <c r="L101" s="156"/>
      <c r="M101" s="43"/>
      <c r="N101" s="43"/>
      <c r="O101" s="151">
        <f t="shared" si="15"/>
        <v>741.99360899999999</v>
      </c>
      <c r="P101" s="157">
        <f>P100/P75</f>
        <v>-0.16421640215866717</v>
      </c>
    </row>
    <row r="102" spans="1:17" x14ac:dyDescent="0.15">
      <c r="A102" s="43" t="s">
        <v>115</v>
      </c>
      <c r="B102" s="43"/>
      <c r="C102" s="76">
        <v>142.58773600000001</v>
      </c>
      <c r="D102" s="76">
        <v>274.03022900000002</v>
      </c>
      <c r="E102" s="76">
        <v>176.56</v>
      </c>
      <c r="F102" s="76">
        <v>322.132588</v>
      </c>
      <c r="G102" s="43"/>
      <c r="H102" s="43"/>
      <c r="I102" s="43"/>
      <c r="J102" s="158"/>
      <c r="K102" s="156"/>
      <c r="L102" s="43"/>
      <c r="M102" s="158"/>
      <c r="N102" s="43"/>
      <c r="O102" s="151">
        <f t="shared" si="15"/>
        <v>915.31055300000003</v>
      </c>
    </row>
    <row r="103" spans="1:17" x14ac:dyDescent="0.15">
      <c r="A103" s="43" t="s">
        <v>249</v>
      </c>
      <c r="B103" s="43"/>
      <c r="C103" s="76">
        <v>417.92109624786298</v>
      </c>
      <c r="D103" s="76">
        <v>166.888113752137</v>
      </c>
      <c r="E103" s="76">
        <v>305.195111</v>
      </c>
      <c r="F103" s="43"/>
      <c r="G103" s="43"/>
      <c r="H103" s="43"/>
      <c r="I103" s="43"/>
      <c r="J103" s="158"/>
      <c r="K103" s="156"/>
      <c r="L103" s="43"/>
      <c r="M103" s="158"/>
      <c r="N103" s="43"/>
      <c r="O103" s="151">
        <f t="shared" si="15"/>
        <v>890.004321</v>
      </c>
    </row>
    <row r="104" spans="1:17" x14ac:dyDescent="0.15">
      <c r="A104" s="43" t="s">
        <v>250</v>
      </c>
      <c r="B104" s="43"/>
      <c r="C104" s="76">
        <v>595.86150375213697</v>
      </c>
      <c r="D104" s="76">
        <v>262.81443024786302</v>
      </c>
      <c r="E104" s="76">
        <v>402.02890600000001</v>
      </c>
      <c r="F104" s="43"/>
      <c r="G104" s="43"/>
      <c r="H104" s="43"/>
      <c r="I104" s="43"/>
      <c r="J104" s="158"/>
      <c r="K104" s="156"/>
      <c r="L104" s="43"/>
      <c r="M104" s="158"/>
      <c r="N104" s="43"/>
      <c r="O104" s="151">
        <f t="shared" si="15"/>
        <v>1260.7048399999999</v>
      </c>
      <c r="P104" s="46">
        <f>SUM(O104,O102,O87,O86)</f>
        <v>4506.9300289999992</v>
      </c>
    </row>
    <row r="105" spans="1:17" x14ac:dyDescent="0.15">
      <c r="H105" s="46"/>
      <c r="J105" s="155"/>
      <c r="K105" s="157"/>
      <c r="M105" s="157"/>
      <c r="O105" s="157"/>
    </row>
    <row r="106" spans="1:17" ht="14.25" x14ac:dyDescent="0.15">
      <c r="A106" s="144"/>
      <c r="B106" s="145" t="s">
        <v>183</v>
      </c>
      <c r="C106" s="145" t="s">
        <v>184</v>
      </c>
      <c r="D106" s="145" t="s">
        <v>111</v>
      </c>
      <c r="E106" s="145" t="s">
        <v>112</v>
      </c>
      <c r="F106" s="145" t="s">
        <v>185</v>
      </c>
      <c r="G106" s="145" t="s">
        <v>114</v>
      </c>
    </row>
    <row r="107" spans="1:17" x14ac:dyDescent="0.15">
      <c r="A107" s="146" t="s">
        <v>148</v>
      </c>
      <c r="B107" s="85">
        <f>D79</f>
        <v>125.547585</v>
      </c>
      <c r="C107" s="85">
        <f>C79</f>
        <v>54.023350000000001</v>
      </c>
      <c r="D107" s="85">
        <f>O79</f>
        <v>657.39445699999987</v>
      </c>
      <c r="E107" s="85">
        <f t="shared" ref="E107:E120" si="16">P54</f>
        <v>28.352217999999809</v>
      </c>
      <c r="F107" s="147">
        <f>(B107-C107)/C107</f>
        <v>1.3239503844171086</v>
      </c>
      <c r="G107" s="148">
        <f>(D107-E107)/E107</f>
        <v>22.186702959183101</v>
      </c>
      <c r="J107" s="46"/>
      <c r="K107" s="76">
        <v>10000</v>
      </c>
      <c r="L107" s="46"/>
      <c r="M107" s="46"/>
      <c r="N107" s="46"/>
      <c r="O107" s="46"/>
    </row>
    <row r="108" spans="1:17" x14ac:dyDescent="0.15">
      <c r="A108" s="146" t="s">
        <v>149</v>
      </c>
      <c r="B108" s="85">
        <f t="shared" ref="B108:B120" si="17">D80</f>
        <v>-175.661385</v>
      </c>
      <c r="C108" s="85">
        <f t="shared" ref="C108:C120" si="18">C80</f>
        <v>-42.30106</v>
      </c>
      <c r="D108" s="85">
        <f t="shared" ref="D108:D120" si="19">O80</f>
        <v>-345.9866199999999</v>
      </c>
      <c r="E108" s="85">
        <f t="shared" si="16"/>
        <v>-409.99639100000002</v>
      </c>
      <c r="F108" s="147">
        <f t="shared" ref="F108:F120" si="20">(B108-C108)/C108</f>
        <v>3.1526473568274644</v>
      </c>
      <c r="G108" s="149">
        <f t="shared" ref="G108:G119" si="21">(D108-E108)/E108</f>
        <v>-0.15612276694406343</v>
      </c>
      <c r="J108" s="46"/>
      <c r="K108" s="46"/>
      <c r="L108" s="46"/>
      <c r="M108" s="46"/>
      <c r="N108" s="46"/>
      <c r="O108" s="46"/>
    </row>
    <row r="109" spans="1:17" x14ac:dyDescent="0.15">
      <c r="A109" s="146" t="s">
        <v>150</v>
      </c>
      <c r="B109" s="85">
        <f t="shared" si="17"/>
        <v>-311.62316099999998</v>
      </c>
      <c r="C109" s="85">
        <f t="shared" si="18"/>
        <v>-214.18537799999999</v>
      </c>
      <c r="D109" s="85">
        <f t="shared" si="19"/>
        <v>-629.11028999999996</v>
      </c>
      <c r="E109" s="85">
        <f t="shared" si="16"/>
        <v>-652.89780299999995</v>
      </c>
      <c r="F109" s="149">
        <f t="shared" si="20"/>
        <v>0.45492266516904811</v>
      </c>
      <c r="G109" s="147">
        <f t="shared" si="21"/>
        <v>-3.6433746431215962E-2</v>
      </c>
    </row>
    <row r="110" spans="1:17" x14ac:dyDescent="0.15">
      <c r="A110" s="146" t="s">
        <v>151</v>
      </c>
      <c r="B110" s="85">
        <f t="shared" si="17"/>
        <v>487.193017</v>
      </c>
      <c r="C110" s="85">
        <f t="shared" si="18"/>
        <v>218.82375699999901</v>
      </c>
      <c r="D110" s="85">
        <f t="shared" si="19"/>
        <v>1657.2996709999979</v>
      </c>
      <c r="E110" s="85">
        <f t="shared" si="16"/>
        <v>267.24465900000001</v>
      </c>
      <c r="F110" s="147">
        <f t="shared" si="20"/>
        <v>1.2264173857503149</v>
      </c>
      <c r="G110" s="148">
        <f>(D110-E110-C101)/E110</f>
        <v>4.9161655687195527</v>
      </c>
    </row>
    <row r="111" spans="1:17" x14ac:dyDescent="0.15">
      <c r="A111" s="146" t="s">
        <v>152</v>
      </c>
      <c r="B111" s="85">
        <f t="shared" si="17"/>
        <v>-335.50134000000003</v>
      </c>
      <c r="C111" s="85">
        <f t="shared" si="18"/>
        <v>882.13013899999999</v>
      </c>
      <c r="D111" s="85">
        <f t="shared" si="19"/>
        <v>2214.6032999999993</v>
      </c>
      <c r="E111" s="85">
        <f t="shared" si="16"/>
        <v>-618.59549600000003</v>
      </c>
      <c r="F111" s="148">
        <f t="shared" si="20"/>
        <v>-1.3803308890231674</v>
      </c>
      <c r="G111" s="147"/>
    </row>
    <row r="112" spans="1:17" x14ac:dyDescent="0.15">
      <c r="A112" s="146" t="s">
        <v>153</v>
      </c>
      <c r="B112" s="85">
        <f t="shared" si="17"/>
        <v>98.607449000000031</v>
      </c>
      <c r="C112" s="85">
        <f t="shared" si="18"/>
        <v>163.87831799999998</v>
      </c>
      <c r="D112" s="85">
        <f t="shared" si="19"/>
        <v>522.67885500000011</v>
      </c>
      <c r="E112" s="85">
        <f t="shared" si="16"/>
        <v>-42.319040999999999</v>
      </c>
      <c r="F112" s="149">
        <f t="shared" si="20"/>
        <v>-0.39828861924247938</v>
      </c>
      <c r="G112" s="147">
        <f t="shared" si="21"/>
        <v>-13.35091445006989</v>
      </c>
    </row>
    <row r="113" spans="1:16" x14ac:dyDescent="0.15">
      <c r="A113" s="146" t="s">
        <v>186</v>
      </c>
      <c r="B113" s="85">
        <f t="shared" si="17"/>
        <v>-193.10629300000002</v>
      </c>
      <c r="C113" s="85">
        <f t="shared" si="18"/>
        <v>-248.73685699999999</v>
      </c>
      <c r="D113" s="85">
        <f t="shared" si="19"/>
        <v>-638.99019099999998</v>
      </c>
      <c r="E113" s="85">
        <f t="shared" si="16"/>
        <v>-576.27645499999994</v>
      </c>
      <c r="F113" s="149">
        <f t="shared" si="20"/>
        <v>-0.22365227522353057</v>
      </c>
      <c r="G113" s="147">
        <f t="shared" si="21"/>
        <v>0.10882578223675657</v>
      </c>
      <c r="O113" s="46"/>
      <c r="P113" s="154"/>
    </row>
    <row r="114" spans="1:16" x14ac:dyDescent="0.15">
      <c r="A114" s="146" t="s">
        <v>155</v>
      </c>
      <c r="B114" s="85">
        <f t="shared" si="17"/>
        <v>-156.25320200000004</v>
      </c>
      <c r="C114" s="85">
        <f t="shared" si="18"/>
        <v>512.74768099999994</v>
      </c>
      <c r="D114" s="85">
        <f t="shared" si="19"/>
        <v>1225.1623199999999</v>
      </c>
      <c r="E114" s="85">
        <f t="shared" si="16"/>
        <v>0</v>
      </c>
      <c r="F114" s="149">
        <f t="shared" si="20"/>
        <v>-1.3047370232767568</v>
      </c>
      <c r="G114" s="148" t="e">
        <f t="shared" si="21"/>
        <v>#DIV/0!</v>
      </c>
    </row>
    <row r="115" spans="1:16" x14ac:dyDescent="0.15">
      <c r="A115" s="146" t="s">
        <v>156</v>
      </c>
      <c r="B115" s="85">
        <f t="shared" si="17"/>
        <v>-84.749293999999963</v>
      </c>
      <c r="C115" s="85">
        <f t="shared" si="18"/>
        <v>454.24099699999999</v>
      </c>
      <c r="D115" s="85">
        <f t="shared" si="19"/>
        <v>1105.7523160000001</v>
      </c>
      <c r="E115" s="85">
        <f t="shared" si="16"/>
        <v>0</v>
      </c>
      <c r="F115" s="149">
        <f t="shared" si="20"/>
        <v>-1.1865734149046876</v>
      </c>
      <c r="G115" s="148" t="e">
        <f t="shared" si="21"/>
        <v>#DIV/0!</v>
      </c>
    </row>
    <row r="116" spans="1:16" x14ac:dyDescent="0.15">
      <c r="A116" s="146" t="s">
        <v>157</v>
      </c>
      <c r="B116" s="85">
        <f t="shared" si="17"/>
        <v>-140.47218599999999</v>
      </c>
      <c r="C116" s="85">
        <f t="shared" si="18"/>
        <v>-169.60153600000001</v>
      </c>
      <c r="D116" s="85">
        <f t="shared" si="19"/>
        <v>-308.220572</v>
      </c>
      <c r="E116" s="85">
        <f t="shared" si="16"/>
        <v>-455.02952699999992</v>
      </c>
      <c r="F116" s="149">
        <f t="shared" si="20"/>
        <v>-0.17175168743754782</v>
      </c>
      <c r="G116" s="147">
        <f t="shared" si="21"/>
        <v>-0.3226361066454484</v>
      </c>
    </row>
    <row r="117" spans="1:16" x14ac:dyDescent="0.15">
      <c r="A117" s="146" t="s">
        <v>158</v>
      </c>
      <c r="B117" s="85">
        <f t="shared" si="17"/>
        <v>67.489910999999907</v>
      </c>
      <c r="C117" s="85">
        <f t="shared" si="18"/>
        <v>-26.735671999999902</v>
      </c>
      <c r="D117" s="85">
        <f t="shared" si="19"/>
        <v>102.90759900000009</v>
      </c>
      <c r="E117" s="85">
        <f t="shared" si="16"/>
        <v>-24.6379319999999</v>
      </c>
      <c r="F117" s="148">
        <f t="shared" si="20"/>
        <v>-3.5243394293586543</v>
      </c>
      <c r="G117" s="148">
        <f t="shared" si="21"/>
        <v>-5.1767953170745216</v>
      </c>
    </row>
    <row r="118" spans="1:16" x14ac:dyDescent="0.15">
      <c r="A118" s="146" t="s">
        <v>159</v>
      </c>
      <c r="B118" s="85">
        <f t="shared" si="17"/>
        <v>206.35746499999999</v>
      </c>
      <c r="C118" s="85">
        <f t="shared" si="18"/>
        <v>67.520473999999993</v>
      </c>
      <c r="D118" s="85">
        <f t="shared" si="19"/>
        <v>775.75326899999891</v>
      </c>
      <c r="E118" s="85">
        <f t="shared" si="16"/>
        <v>239.68156800000008</v>
      </c>
      <c r="F118" s="148">
        <f t="shared" si="20"/>
        <v>2.0562206213185061</v>
      </c>
      <c r="G118" s="148">
        <f t="shared" si="21"/>
        <v>2.2365996078597026</v>
      </c>
    </row>
    <row r="119" spans="1:16" x14ac:dyDescent="0.15">
      <c r="A119" s="146" t="s">
        <v>160</v>
      </c>
      <c r="B119" s="85">
        <f t="shared" si="17"/>
        <v>56.506101000000001</v>
      </c>
      <c r="C119" s="85">
        <f t="shared" si="18"/>
        <v>25.248666</v>
      </c>
      <c r="D119" s="85">
        <f t="shared" si="19"/>
        <v>235.79070899999999</v>
      </c>
      <c r="E119" s="85">
        <f t="shared" si="16"/>
        <v>57.920796000000003</v>
      </c>
      <c r="F119" s="147">
        <f t="shared" si="20"/>
        <v>1.237983622580298</v>
      </c>
      <c r="G119" s="149">
        <f t="shared" si="21"/>
        <v>3.0709162387892595</v>
      </c>
    </row>
    <row r="120" spans="1:16" x14ac:dyDescent="0.15">
      <c r="A120" s="150" t="s">
        <v>176</v>
      </c>
      <c r="B120" s="85">
        <f t="shared" si="17"/>
        <v>-20.163993000000119</v>
      </c>
      <c r="C120" s="85">
        <f t="shared" si="18"/>
        <v>794.92273999999907</v>
      </c>
      <c r="D120" s="85">
        <f t="shared" si="19"/>
        <v>4360.4315229999966</v>
      </c>
      <c r="E120" s="85">
        <f t="shared" si="16"/>
        <v>-1567.9579080000001</v>
      </c>
      <c r="F120" s="148">
        <f t="shared" si="20"/>
        <v>-1.0253659783339448</v>
      </c>
      <c r="G120" s="148">
        <f>(D120-E120-D115-D114-C101)/E120</f>
        <v>-2.2457482793600581</v>
      </c>
    </row>
  </sheetData>
  <mergeCells count="2">
    <mergeCell ref="C52:N52"/>
    <mergeCell ref="C77:N77"/>
  </mergeCells>
  <phoneticPr fontId="3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F95"/>
  <sheetViews>
    <sheetView topLeftCell="M36" workbookViewId="0">
      <selection activeCell="AC63" sqref="AC63"/>
    </sheetView>
  </sheetViews>
  <sheetFormatPr defaultColWidth="9" defaultRowHeight="13.5" x14ac:dyDescent="0.15"/>
  <cols>
    <col min="1" max="1" width="13" style="78" customWidth="1"/>
    <col min="2" max="2" width="10.875" style="79" customWidth="1"/>
    <col min="3" max="14" width="7" style="78" customWidth="1"/>
    <col min="15" max="15" width="8.5" style="78" customWidth="1"/>
    <col min="16" max="16" width="7" style="78" customWidth="1"/>
    <col min="17" max="28" width="9.125" style="78" customWidth="1"/>
    <col min="29" max="29" width="9.375" style="78" customWidth="1"/>
    <col min="30" max="31" width="9" style="78"/>
    <col min="32" max="32" width="12.625" style="78"/>
    <col min="33" max="16384" width="9" style="78"/>
  </cols>
  <sheetData>
    <row r="1" spans="1:16" ht="14.25" x14ac:dyDescent="0.15">
      <c r="A1" s="52" t="s">
        <v>147</v>
      </c>
      <c r="B1" s="26" t="s">
        <v>0</v>
      </c>
      <c r="C1" s="30" t="s">
        <v>83</v>
      </c>
      <c r="D1" s="30" t="s">
        <v>84</v>
      </c>
      <c r="E1" s="30" t="s">
        <v>85</v>
      </c>
      <c r="F1" s="30" t="s">
        <v>86</v>
      </c>
      <c r="G1" s="30" t="s">
        <v>87</v>
      </c>
      <c r="H1" s="30" t="s">
        <v>88</v>
      </c>
      <c r="I1" s="30" t="s">
        <v>89</v>
      </c>
      <c r="J1" s="30" t="s">
        <v>90</v>
      </c>
      <c r="K1" s="30" t="s">
        <v>91</v>
      </c>
      <c r="L1" s="30" t="s">
        <v>92</v>
      </c>
      <c r="M1" s="30" t="s">
        <v>93</v>
      </c>
      <c r="N1" s="30" t="s">
        <v>94</v>
      </c>
      <c r="O1" s="44" t="s">
        <v>111</v>
      </c>
    </row>
    <row r="2" spans="1:16" ht="15.75" customHeight="1" x14ac:dyDescent="0.15">
      <c r="A2" s="36" t="s">
        <v>148</v>
      </c>
      <c r="B2" s="80"/>
      <c r="C2" s="81">
        <v>852.75828599999898</v>
      </c>
      <c r="D2" s="81">
        <v>542.78849000000002</v>
      </c>
      <c r="E2" s="81">
        <v>490.80520699999897</v>
      </c>
      <c r="F2" s="81">
        <v>578.46576499999901</v>
      </c>
      <c r="G2" s="81">
        <v>798.55814899999996</v>
      </c>
      <c r="H2" s="81">
        <v>336.26470499999999</v>
      </c>
      <c r="I2" s="81">
        <v>383.730224999999</v>
      </c>
      <c r="J2" s="81">
        <v>233.551714</v>
      </c>
      <c r="K2" s="81">
        <v>350.12972600000001</v>
      </c>
      <c r="L2" s="81">
        <v>352.486739</v>
      </c>
      <c r="M2" s="81">
        <v>477.04385799999898</v>
      </c>
      <c r="N2" s="81">
        <v>607.80664300000001</v>
      </c>
      <c r="O2" s="81">
        <f>SUM(C2:N2)</f>
        <v>6004.3895069999944</v>
      </c>
      <c r="P2" s="78">
        <f>SUM(C2:J2)</f>
        <v>4216.9225409999954</v>
      </c>
    </row>
    <row r="3" spans="1:16" ht="15.75" customHeight="1" x14ac:dyDescent="0.15">
      <c r="A3" s="36" t="s">
        <v>149</v>
      </c>
      <c r="B3" s="80"/>
      <c r="C3" s="81">
        <v>450.56361099999998</v>
      </c>
      <c r="D3" s="81">
        <v>562.09153800000001</v>
      </c>
      <c r="E3" s="81">
        <v>604.78921400000002</v>
      </c>
      <c r="F3" s="81">
        <v>627.59207199999901</v>
      </c>
      <c r="G3" s="81">
        <v>542.638463</v>
      </c>
      <c r="H3" s="81">
        <v>534.97192999999902</v>
      </c>
      <c r="I3" s="81">
        <v>438.01638000000003</v>
      </c>
      <c r="J3" s="81">
        <v>558.79657399999996</v>
      </c>
      <c r="K3" s="81">
        <v>403.11615399999903</v>
      </c>
      <c r="L3" s="81">
        <v>423.51678099999998</v>
      </c>
      <c r="M3" s="81">
        <v>310.907525999999</v>
      </c>
      <c r="N3" s="81">
        <v>177.49185499999999</v>
      </c>
      <c r="O3" s="81">
        <f t="shared" ref="O3:O14" si="0">SUM(C3:N3)</f>
        <v>5634.492097999997</v>
      </c>
      <c r="P3" s="78">
        <f t="shared" ref="P3:P15" si="1">SUM(C3:J3)</f>
        <v>4319.4597819999981</v>
      </c>
    </row>
    <row r="4" spans="1:16" ht="15.75" customHeight="1" x14ac:dyDescent="0.15">
      <c r="A4" s="36" t="s">
        <v>150</v>
      </c>
      <c r="B4" s="80"/>
      <c r="C4" s="81">
        <v>757.58630400000004</v>
      </c>
      <c r="D4" s="81">
        <v>871.38294899999903</v>
      </c>
      <c r="E4" s="81">
        <v>909.49238400000002</v>
      </c>
      <c r="F4" s="81">
        <v>1011.956652</v>
      </c>
      <c r="G4" s="81">
        <v>693.41784199999995</v>
      </c>
      <c r="H4" s="81">
        <v>570.97410200000002</v>
      </c>
      <c r="I4" s="81">
        <v>453.06612099999899</v>
      </c>
      <c r="J4" s="81">
        <v>847.18855399999995</v>
      </c>
      <c r="K4" s="81">
        <v>570.50239799999997</v>
      </c>
      <c r="L4" s="81">
        <v>546.803484999999</v>
      </c>
      <c r="M4" s="81">
        <v>442.79169200000001</v>
      </c>
      <c r="N4" s="81">
        <v>338.69207799999998</v>
      </c>
      <c r="O4" s="81">
        <f t="shared" si="0"/>
        <v>8013.8545609999974</v>
      </c>
      <c r="P4" s="78">
        <f t="shared" si="1"/>
        <v>6115.0649079999985</v>
      </c>
    </row>
    <row r="5" spans="1:16" ht="15.75" customHeight="1" x14ac:dyDescent="0.15">
      <c r="A5" s="36" t="s">
        <v>151</v>
      </c>
      <c r="B5" s="80"/>
      <c r="C5" s="81">
        <v>429.38077199999998</v>
      </c>
      <c r="D5" s="81">
        <v>552.92464799999902</v>
      </c>
      <c r="E5" s="81">
        <v>517.28938400000004</v>
      </c>
      <c r="F5" s="81">
        <v>737.03724499999896</v>
      </c>
      <c r="G5" s="81">
        <v>822.98614099999998</v>
      </c>
      <c r="H5" s="81">
        <v>726.73085100000003</v>
      </c>
      <c r="I5" s="81">
        <v>709.92488200000003</v>
      </c>
      <c r="J5" s="81">
        <v>601.56698399999902</v>
      </c>
      <c r="K5" s="81">
        <v>466.10757000000001</v>
      </c>
      <c r="L5" s="81">
        <v>532.05174999999997</v>
      </c>
      <c r="M5" s="81">
        <v>241.51145899999901</v>
      </c>
      <c r="N5" s="81">
        <v>434.06244500000003</v>
      </c>
      <c r="O5" s="81">
        <f t="shared" si="0"/>
        <v>6771.5741309999958</v>
      </c>
      <c r="P5" s="78">
        <f t="shared" si="1"/>
        <v>5097.8409069999971</v>
      </c>
    </row>
    <row r="6" spans="1:16" ht="15.75" customHeight="1" x14ac:dyDescent="0.15">
      <c r="A6" s="36" t="s">
        <v>152</v>
      </c>
      <c r="B6" s="80"/>
      <c r="C6" s="81">
        <v>245.275554999999</v>
      </c>
      <c r="D6" s="81">
        <v>172.09640999999999</v>
      </c>
      <c r="E6" s="81">
        <v>335.03179399999999</v>
      </c>
      <c r="F6" s="81">
        <v>362.51487200000003</v>
      </c>
      <c r="G6" s="81">
        <v>429.91384599999901</v>
      </c>
      <c r="H6" s="81">
        <v>388.36205100000001</v>
      </c>
      <c r="I6" s="81">
        <v>276.46666699999901</v>
      </c>
      <c r="J6" s="81">
        <v>260.76205099999999</v>
      </c>
      <c r="K6" s="81">
        <v>258.79897399999902</v>
      </c>
      <c r="L6" s="81">
        <v>133.162050999999</v>
      </c>
      <c r="M6" s="81">
        <v>234.914872</v>
      </c>
      <c r="N6" s="81">
        <v>178.64</v>
      </c>
      <c r="O6" s="81">
        <f t="shared" si="0"/>
        <v>3275.9391429999946</v>
      </c>
      <c r="P6" s="78">
        <f t="shared" si="1"/>
        <v>2470.4232459999971</v>
      </c>
    </row>
    <row r="7" spans="1:16" ht="15.75" customHeight="1" x14ac:dyDescent="0.15">
      <c r="A7" s="36" t="s">
        <v>153</v>
      </c>
      <c r="B7" s="80"/>
      <c r="C7" s="81">
        <v>245.275554999999</v>
      </c>
      <c r="D7" s="81">
        <v>172.09640999999999</v>
      </c>
      <c r="E7" s="81">
        <v>335.03179399999999</v>
      </c>
      <c r="F7" s="81">
        <v>362.51487200000003</v>
      </c>
      <c r="G7" s="81">
        <v>429.91384599999901</v>
      </c>
      <c r="H7" s="81">
        <v>388.36205100000001</v>
      </c>
      <c r="I7" s="81">
        <v>276.46666699999901</v>
      </c>
      <c r="J7" s="81">
        <v>260.76205099999999</v>
      </c>
      <c r="K7" s="81">
        <v>258.79897399999902</v>
      </c>
      <c r="L7" s="81">
        <v>133.162050999999</v>
      </c>
      <c r="M7" s="81">
        <v>234.914872</v>
      </c>
      <c r="N7" s="81">
        <v>178.64</v>
      </c>
      <c r="O7" s="81">
        <f t="shared" si="0"/>
        <v>3275.9391429999946</v>
      </c>
      <c r="P7" s="78">
        <f t="shared" si="1"/>
        <v>2470.4232459999971</v>
      </c>
    </row>
    <row r="8" spans="1:16" ht="15.75" customHeight="1" x14ac:dyDescent="0.15">
      <c r="A8" s="36" t="s">
        <v>154</v>
      </c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>
        <f t="shared" si="0"/>
        <v>0</v>
      </c>
      <c r="P8" s="78">
        <f t="shared" si="1"/>
        <v>0</v>
      </c>
    </row>
    <row r="9" spans="1:16" ht="15.75" customHeight="1" x14ac:dyDescent="0.15">
      <c r="A9" s="36" t="s">
        <v>155</v>
      </c>
      <c r="B9" s="80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>
        <f t="shared" si="0"/>
        <v>0</v>
      </c>
      <c r="P9" s="78">
        <f t="shared" si="1"/>
        <v>0</v>
      </c>
    </row>
    <row r="10" spans="1:16" ht="15.75" customHeight="1" x14ac:dyDescent="0.15">
      <c r="A10" s="36" t="s">
        <v>156</v>
      </c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f t="shared" si="0"/>
        <v>0</v>
      </c>
      <c r="P10" s="78">
        <f t="shared" si="1"/>
        <v>0</v>
      </c>
    </row>
    <row r="11" spans="1:16" ht="15.75" customHeight="1" x14ac:dyDescent="0.15">
      <c r="A11" s="36" t="s">
        <v>157</v>
      </c>
      <c r="B11" s="80"/>
      <c r="C11" s="81">
        <v>54.862051000000001</v>
      </c>
      <c r="D11" s="81">
        <v>64.127179999999996</v>
      </c>
      <c r="E11" s="81">
        <v>210.28717999999901</v>
      </c>
      <c r="F11" s="81">
        <v>209.97487100000001</v>
      </c>
      <c r="G11" s="81">
        <v>278.35538399999899</v>
      </c>
      <c r="H11" s="81">
        <v>362.514872999999</v>
      </c>
      <c r="I11" s="81">
        <v>444.309743999999</v>
      </c>
      <c r="J11" s="81">
        <v>416.82666699999999</v>
      </c>
      <c r="K11" s="81">
        <v>173.40512799999999</v>
      </c>
      <c r="L11" s="81">
        <v>177.33128199999999</v>
      </c>
      <c r="M11" s="81">
        <v>197.222490999999</v>
      </c>
      <c r="N11" s="81">
        <v>34.553895000000203</v>
      </c>
      <c r="O11" s="81">
        <f t="shared" si="0"/>
        <v>2623.7707459999951</v>
      </c>
      <c r="P11" s="78">
        <f t="shared" si="1"/>
        <v>2041.2579499999961</v>
      </c>
    </row>
    <row r="12" spans="1:16" ht="15.75" customHeight="1" x14ac:dyDescent="0.15">
      <c r="A12" s="36" t="s">
        <v>158</v>
      </c>
      <c r="B12" s="80"/>
      <c r="C12" s="81">
        <v>263.70228600000002</v>
      </c>
      <c r="D12" s="81">
        <v>277.05235699999997</v>
      </c>
      <c r="E12" s="81">
        <v>242.47133199999999</v>
      </c>
      <c r="F12" s="81">
        <v>277.05354199999903</v>
      </c>
      <c r="G12" s="81">
        <v>377.00693999999999</v>
      </c>
      <c r="H12" s="81">
        <v>372.02883600000001</v>
      </c>
      <c r="I12" s="81">
        <v>345.92470100000003</v>
      </c>
      <c r="J12" s="81">
        <v>376.58233799999903</v>
      </c>
      <c r="K12" s="81">
        <v>303.751972999999</v>
      </c>
      <c r="L12" s="81">
        <v>269.02012000000002</v>
      </c>
      <c r="M12" s="81">
        <v>135.418038999999</v>
      </c>
      <c r="N12" s="81">
        <v>171.62256600000001</v>
      </c>
      <c r="O12" s="81">
        <f t="shared" si="0"/>
        <v>3411.6350299999958</v>
      </c>
      <c r="P12" s="78">
        <f t="shared" si="1"/>
        <v>2531.8223319999979</v>
      </c>
    </row>
    <row r="13" spans="1:16" ht="15.75" customHeight="1" x14ac:dyDescent="0.15">
      <c r="A13" s="36" t="s">
        <v>159</v>
      </c>
      <c r="B13" s="80"/>
      <c r="C13" s="81">
        <v>581.439888</v>
      </c>
      <c r="D13" s="81">
        <v>651.96183799999994</v>
      </c>
      <c r="E13" s="81">
        <v>674.64370599999904</v>
      </c>
      <c r="F13" s="81">
        <v>825.72726199999897</v>
      </c>
      <c r="G13" s="81">
        <v>835.68937800000003</v>
      </c>
      <c r="H13" s="81">
        <v>574.608565</v>
      </c>
      <c r="I13" s="81">
        <v>655.14371999999901</v>
      </c>
      <c r="J13" s="81">
        <v>762.22737400000005</v>
      </c>
      <c r="K13" s="81">
        <v>663.54805799999895</v>
      </c>
      <c r="L13" s="81">
        <v>821.85940399999902</v>
      </c>
      <c r="M13" s="81">
        <v>712.11092099999996</v>
      </c>
      <c r="N13" s="81">
        <v>825.65617299999894</v>
      </c>
      <c r="O13" s="81">
        <f t="shared" si="0"/>
        <v>8584.6162869999935</v>
      </c>
      <c r="P13" s="78">
        <f t="shared" si="1"/>
        <v>5561.4417309999972</v>
      </c>
    </row>
    <row r="14" spans="1:16" ht="15.75" customHeight="1" x14ac:dyDescent="0.15">
      <c r="A14" s="36" t="s">
        <v>160</v>
      </c>
      <c r="B14" s="80"/>
      <c r="C14" s="81">
        <v>296.872400999999</v>
      </c>
      <c r="D14" s="81">
        <v>341.22991500000001</v>
      </c>
      <c r="E14" s="81">
        <v>427.36068299999999</v>
      </c>
      <c r="F14" s="81">
        <v>361.02119699999997</v>
      </c>
      <c r="G14" s="81">
        <v>393.23726499999901</v>
      </c>
      <c r="H14" s="81">
        <v>368.05299199999899</v>
      </c>
      <c r="I14" s="81">
        <v>381.85660899999999</v>
      </c>
      <c r="J14" s="81">
        <v>402.91946099999899</v>
      </c>
      <c r="K14" s="81">
        <v>313.95299199999999</v>
      </c>
      <c r="L14" s="81">
        <v>258.86239199999898</v>
      </c>
      <c r="M14" s="81">
        <v>61.910251999999502</v>
      </c>
      <c r="N14" s="81">
        <v>77.679377000000301</v>
      </c>
      <c r="O14" s="81">
        <f t="shared" si="0"/>
        <v>3684.9555359999954</v>
      </c>
      <c r="P14" s="78">
        <f t="shared" si="1"/>
        <v>2972.5505229999962</v>
      </c>
    </row>
    <row r="15" spans="1:16" ht="15.75" customHeight="1" x14ac:dyDescent="0.15">
      <c r="A15" s="36" t="s">
        <v>95</v>
      </c>
      <c r="B15" s="80"/>
      <c r="C15" s="81">
        <f>SUM(C2:C6,C11:C14)</f>
        <v>3932.4411539999969</v>
      </c>
      <c r="D15" s="81">
        <f t="shared" ref="D15:O15" si="2">SUM(D2:D6,D11:D14)</f>
        <v>4035.6553249999979</v>
      </c>
      <c r="E15" s="81">
        <f t="shared" si="2"/>
        <v>4412.1708839999974</v>
      </c>
      <c r="F15" s="81">
        <f t="shared" si="2"/>
        <v>4991.3434779999952</v>
      </c>
      <c r="G15" s="81">
        <f t="shared" si="2"/>
        <v>5171.803407999997</v>
      </c>
      <c r="H15" s="81">
        <f t="shared" si="2"/>
        <v>4234.508904999997</v>
      </c>
      <c r="I15" s="81">
        <f t="shared" si="2"/>
        <v>4088.4390489999955</v>
      </c>
      <c r="J15" s="81">
        <f t="shared" si="2"/>
        <v>4460.4217169999965</v>
      </c>
      <c r="K15" s="81">
        <f t="shared" si="2"/>
        <v>3503.312972999996</v>
      </c>
      <c r="L15" s="81">
        <f t="shared" si="2"/>
        <v>3515.0940039999959</v>
      </c>
      <c r="M15" s="81">
        <f t="shared" si="2"/>
        <v>2813.8311099999946</v>
      </c>
      <c r="N15" s="81">
        <f t="shared" si="2"/>
        <v>2846.2050319999998</v>
      </c>
      <c r="O15" s="81">
        <f t="shared" si="2"/>
        <v>48005.227038999961</v>
      </c>
      <c r="P15" s="78">
        <f t="shared" si="1"/>
        <v>35326.783919999973</v>
      </c>
    </row>
    <row r="16" spans="1:16" x14ac:dyDescent="0.15">
      <c r="A16" s="35"/>
      <c r="B16" s="82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1:16" x14ac:dyDescent="0.15">
      <c r="C17"/>
      <c r="D17"/>
      <c r="E17"/>
      <c r="F17"/>
      <c r="G17"/>
      <c r="H17"/>
      <c r="I17"/>
      <c r="J17"/>
      <c r="K17"/>
      <c r="L17"/>
      <c r="M17"/>
      <c r="N17"/>
    </row>
    <row r="18" spans="1:16" x14ac:dyDescent="0.15">
      <c r="A18" s="78" t="s">
        <v>244</v>
      </c>
    </row>
    <row r="19" spans="1:16" ht="15.75" customHeight="1" x14ac:dyDescent="0.15">
      <c r="A19" s="52"/>
      <c r="B19" s="53" t="s">
        <v>162</v>
      </c>
      <c r="C19" s="380" t="s">
        <v>251</v>
      </c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26"/>
    </row>
    <row r="20" spans="1:16" ht="15.75" customHeight="1" x14ac:dyDescent="0.15">
      <c r="A20" s="52" t="s">
        <v>162</v>
      </c>
      <c r="B20" s="26" t="s">
        <v>0</v>
      </c>
      <c r="C20" s="30" t="s">
        <v>83</v>
      </c>
      <c r="D20" s="30" t="s">
        <v>84</v>
      </c>
      <c r="E20" s="30" t="s">
        <v>85</v>
      </c>
      <c r="F20" s="30" t="s">
        <v>86</v>
      </c>
      <c r="G20" s="30" t="s">
        <v>87</v>
      </c>
      <c r="H20" s="30" t="s">
        <v>88</v>
      </c>
      <c r="I20" s="30" t="s">
        <v>89</v>
      </c>
      <c r="J20" s="30" t="s">
        <v>90</v>
      </c>
      <c r="K20" s="30" t="s">
        <v>91</v>
      </c>
      <c r="L20" s="30" t="s">
        <v>92</v>
      </c>
      <c r="M20" s="30" t="s">
        <v>93</v>
      </c>
      <c r="N20" s="30" t="s">
        <v>94</v>
      </c>
      <c r="O20" s="44" t="s">
        <v>111</v>
      </c>
    </row>
    <row r="21" spans="1:16" ht="15.75" customHeight="1" x14ac:dyDescent="0.15">
      <c r="A21" s="36" t="s">
        <v>148</v>
      </c>
      <c r="B21" s="84">
        <v>6949.7102769230796</v>
      </c>
      <c r="C21" s="85">
        <v>515.96626500000002</v>
      </c>
      <c r="D21" s="85">
        <v>471.96091299999898</v>
      </c>
      <c r="E21" s="85">
        <v>539.64717599999994</v>
      </c>
      <c r="F21" s="85">
        <v>512.44148299999904</v>
      </c>
      <c r="G21" s="85">
        <v>687.35172599999999</v>
      </c>
      <c r="H21" s="85">
        <v>334.56448799999902</v>
      </c>
      <c r="I21" s="85">
        <v>402.51761299999998</v>
      </c>
      <c r="J21" s="85">
        <v>267.62625300000002</v>
      </c>
      <c r="K21" s="85">
        <v>287.05317700000001</v>
      </c>
      <c r="L21" s="85">
        <v>601.38</v>
      </c>
      <c r="M21" s="85">
        <v>453.183303999999</v>
      </c>
      <c r="N21" s="85">
        <v>314.30345599999998</v>
      </c>
      <c r="O21" s="85">
        <v>5387.9958539999998</v>
      </c>
      <c r="P21" s="93">
        <f>SUM(C21:M21)</f>
        <v>5073.6923979999965</v>
      </c>
    </row>
    <row r="22" spans="1:16" ht="15.75" customHeight="1" x14ac:dyDescent="0.15">
      <c r="A22" s="36" t="s">
        <v>149</v>
      </c>
      <c r="B22" s="84">
        <v>7442.6503221794901</v>
      </c>
      <c r="C22" s="85">
        <v>564.72561499999995</v>
      </c>
      <c r="D22" s="85">
        <v>382.79746199999897</v>
      </c>
      <c r="E22" s="85">
        <v>429.338135999999</v>
      </c>
      <c r="F22" s="85">
        <v>328.97016799999898</v>
      </c>
      <c r="G22" s="85">
        <v>349.60425900000001</v>
      </c>
      <c r="H22" s="85">
        <v>285.61244399999998</v>
      </c>
      <c r="I22" s="85">
        <v>134.20107300000001</v>
      </c>
      <c r="J22" s="85">
        <v>214.15158799999901</v>
      </c>
      <c r="K22" s="85">
        <v>274.56425399999898</v>
      </c>
      <c r="L22" s="85">
        <v>280.62172299999997</v>
      </c>
      <c r="M22" s="85">
        <v>189.642652999999</v>
      </c>
      <c r="N22" s="85">
        <v>-16.840756000000201</v>
      </c>
      <c r="O22" s="85">
        <v>3417.3886189999898</v>
      </c>
      <c r="P22" s="93">
        <f t="shared" ref="P22:P38" si="3">SUM(C22:M22)</f>
        <v>3434.2293749999935</v>
      </c>
    </row>
    <row r="23" spans="1:16" ht="15.75" customHeight="1" x14ac:dyDescent="0.15">
      <c r="A23" s="36" t="s">
        <v>150</v>
      </c>
      <c r="B23" s="84">
        <v>10860.565901538501</v>
      </c>
      <c r="C23" s="85">
        <v>901.19641999999897</v>
      </c>
      <c r="D23" s="85">
        <v>750.00722299999995</v>
      </c>
      <c r="E23" s="85">
        <v>605.14314799999897</v>
      </c>
      <c r="F23" s="85">
        <v>697.931771999999</v>
      </c>
      <c r="G23" s="85">
        <v>540.454837</v>
      </c>
      <c r="H23" s="85">
        <v>510.999978</v>
      </c>
      <c r="I23" s="85">
        <v>443.26781499999902</v>
      </c>
      <c r="J23" s="85">
        <v>434.963371</v>
      </c>
      <c r="K23" s="85">
        <v>414.40488800000003</v>
      </c>
      <c r="L23" s="85">
        <v>379.96016899999898</v>
      </c>
      <c r="M23" s="85">
        <v>347.13117199999903</v>
      </c>
      <c r="N23" s="85">
        <v>-327.36946099999898</v>
      </c>
      <c r="O23" s="85">
        <v>5698.091332</v>
      </c>
      <c r="P23" s="93">
        <f t="shared" si="3"/>
        <v>6025.4607929999947</v>
      </c>
    </row>
    <row r="24" spans="1:16" ht="15.75" customHeight="1" x14ac:dyDescent="0.15">
      <c r="A24" s="36" t="s">
        <v>151</v>
      </c>
      <c r="B24" s="84">
        <v>6066.7479999999996</v>
      </c>
      <c r="C24" s="85">
        <v>382.76134000000002</v>
      </c>
      <c r="D24" s="85">
        <v>499.05194799999998</v>
      </c>
      <c r="E24" s="85">
        <v>701.06838100000004</v>
      </c>
      <c r="F24" s="85">
        <v>665.42815899999903</v>
      </c>
      <c r="G24" s="85">
        <v>674.15197999999896</v>
      </c>
      <c r="H24" s="85">
        <v>421.26893699999999</v>
      </c>
      <c r="I24" s="85">
        <v>591.38468199999897</v>
      </c>
      <c r="J24" s="85">
        <v>411.89622800000001</v>
      </c>
      <c r="K24" s="85">
        <v>657.49506099999905</v>
      </c>
      <c r="L24" s="85">
        <v>404.38674400000099</v>
      </c>
      <c r="M24" s="85">
        <v>387.34102999999902</v>
      </c>
      <c r="N24" s="85">
        <v>363.48851199999899</v>
      </c>
      <c r="O24" s="85">
        <v>6159.7230019999897</v>
      </c>
      <c r="P24" s="93">
        <f t="shared" si="3"/>
        <v>5796.2344899999953</v>
      </c>
    </row>
    <row r="25" spans="1:16" ht="15.75" customHeight="1" x14ac:dyDescent="0.15">
      <c r="A25" s="36" t="s">
        <v>152</v>
      </c>
      <c r="B25" s="84">
        <v>10301.6036</v>
      </c>
      <c r="C25" s="85">
        <v>189.49641</v>
      </c>
      <c r="D25" s="85">
        <v>177.85427399999901</v>
      </c>
      <c r="E25" s="85">
        <v>404.67612700000001</v>
      </c>
      <c r="F25" s="85">
        <v>715.57918299999994</v>
      </c>
      <c r="G25" s="85">
        <v>705.81335000000001</v>
      </c>
      <c r="H25" s="85">
        <v>542.25630899999896</v>
      </c>
      <c r="I25" s="85">
        <v>482.49750799999998</v>
      </c>
      <c r="J25" s="85">
        <v>429.82387799999901</v>
      </c>
      <c r="K25" s="85">
        <v>340.79405499999899</v>
      </c>
      <c r="L25" s="85">
        <v>299.83662399999997</v>
      </c>
      <c r="M25" s="85">
        <v>439.03322800000001</v>
      </c>
      <c r="N25" s="85">
        <v>240.10990199999901</v>
      </c>
      <c r="O25" s="85">
        <v>4967.7708480000001</v>
      </c>
      <c r="P25" s="93">
        <f t="shared" si="3"/>
        <v>4727.6609459999963</v>
      </c>
    </row>
    <row r="26" spans="1:16" ht="15.75" customHeight="1" x14ac:dyDescent="0.15">
      <c r="A26" s="36" t="s">
        <v>153</v>
      </c>
      <c r="B26" s="84">
        <v>4281.9692307692303</v>
      </c>
      <c r="C26" s="85">
        <v>120.094701</v>
      </c>
      <c r="D26" s="85">
        <v>146.883760999999</v>
      </c>
      <c r="E26" s="85">
        <v>265.87270799999999</v>
      </c>
      <c r="F26" s="85">
        <v>447.45991800000002</v>
      </c>
      <c r="G26" s="85">
        <v>375.06502499999999</v>
      </c>
      <c r="H26" s="85">
        <v>327.87953978632402</v>
      </c>
      <c r="I26" s="85">
        <v>322.73740512820501</v>
      </c>
      <c r="J26" s="85">
        <v>269.50387799999902</v>
      </c>
      <c r="K26" s="85">
        <v>204.771780777777</v>
      </c>
      <c r="L26" s="85">
        <v>184.50779499999999</v>
      </c>
      <c r="M26" s="85">
        <v>362.36121100000003</v>
      </c>
      <c r="N26" s="85">
        <v>223.829128</v>
      </c>
      <c r="O26" s="85">
        <v>3250.9668506922999</v>
      </c>
      <c r="P26" s="93">
        <f t="shared" si="3"/>
        <v>3027.1377226923041</v>
      </c>
    </row>
    <row r="27" spans="1:16" ht="15.75" customHeight="1" x14ac:dyDescent="0.15">
      <c r="A27" s="36" t="s">
        <v>154</v>
      </c>
      <c r="B27" s="84">
        <v>2859.4633692307698</v>
      </c>
      <c r="C27" s="85">
        <v>69.401708999999997</v>
      </c>
      <c r="D27" s="85">
        <v>30.970513</v>
      </c>
      <c r="E27" s="85">
        <v>138.80341899999999</v>
      </c>
      <c r="F27" s="85">
        <v>268.11926499999998</v>
      </c>
      <c r="G27" s="85">
        <v>330.74832500000002</v>
      </c>
      <c r="H27" s="85">
        <v>214.376769213675</v>
      </c>
      <c r="I27" s="85">
        <v>159.760102564102</v>
      </c>
      <c r="J27" s="85">
        <v>160.32</v>
      </c>
      <c r="K27" s="85">
        <v>136.02227422222199</v>
      </c>
      <c r="L27" s="85">
        <v>115.328829</v>
      </c>
      <c r="M27" s="85">
        <v>76.672016999999997</v>
      </c>
      <c r="N27" s="85">
        <v>16.280774000000001</v>
      </c>
      <c r="O27" s="85">
        <v>1716.803997</v>
      </c>
      <c r="P27" s="93">
        <f t="shared" si="3"/>
        <v>1700.523222999999</v>
      </c>
    </row>
    <row r="28" spans="1:16" ht="15.75" customHeight="1" x14ac:dyDescent="0.15">
      <c r="A28" s="36" t="s">
        <v>155</v>
      </c>
      <c r="B28" s="84">
        <v>1929.846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>
        <v>0</v>
      </c>
      <c r="P28" s="93">
        <f t="shared" si="3"/>
        <v>0</v>
      </c>
    </row>
    <row r="29" spans="1:16" ht="15.75" customHeight="1" x14ac:dyDescent="0.15">
      <c r="A29" s="36" t="s">
        <v>156</v>
      </c>
      <c r="B29" s="84">
        <v>1230.325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>
        <v>0</v>
      </c>
      <c r="P29" s="93">
        <f t="shared" si="3"/>
        <v>0</v>
      </c>
    </row>
    <row r="30" spans="1:16" ht="15.75" customHeight="1" x14ac:dyDescent="0.15">
      <c r="A30" s="36" t="s">
        <v>157</v>
      </c>
      <c r="B30" s="84">
        <v>4146.777</v>
      </c>
      <c r="C30" s="85">
        <v>54.529915000000003</v>
      </c>
      <c r="D30" s="85">
        <v>58.019827999999897</v>
      </c>
      <c r="E30" s="85">
        <v>218.11965799999999</v>
      </c>
      <c r="F30" s="85">
        <v>380.057164</v>
      </c>
      <c r="G30" s="85">
        <v>285.79531799999899</v>
      </c>
      <c r="H30" s="85">
        <v>497.03038199999901</v>
      </c>
      <c r="I30" s="85">
        <v>351.98753599999998</v>
      </c>
      <c r="J30" s="85">
        <v>315.35699899999901</v>
      </c>
      <c r="K30" s="85">
        <v>209.91997000000001</v>
      </c>
      <c r="L30" s="85">
        <v>162.046380999999</v>
      </c>
      <c r="M30" s="85">
        <v>99.140453000000093</v>
      </c>
      <c r="N30" s="85">
        <v>80.705743000000297</v>
      </c>
      <c r="O30" s="85">
        <v>2712.709347</v>
      </c>
      <c r="P30" s="93">
        <f t="shared" si="3"/>
        <v>2632.0036039999964</v>
      </c>
    </row>
    <row r="31" spans="1:16" ht="15.75" customHeight="1" x14ac:dyDescent="0.15">
      <c r="A31" s="36" t="s">
        <v>158</v>
      </c>
      <c r="B31" s="84">
        <v>3916.8519999999999</v>
      </c>
      <c r="C31" s="85">
        <v>217.62580699999901</v>
      </c>
      <c r="D31" s="85">
        <v>271.07984199999999</v>
      </c>
      <c r="E31" s="85">
        <v>207.925230999999</v>
      </c>
      <c r="F31" s="85">
        <v>310.93486799999999</v>
      </c>
      <c r="G31" s="85">
        <v>296.66265499999901</v>
      </c>
      <c r="H31" s="85">
        <v>338.83724899999999</v>
      </c>
      <c r="I31" s="85">
        <v>286.50050299999901</v>
      </c>
      <c r="J31" s="85">
        <v>251.74007900000001</v>
      </c>
      <c r="K31" s="85">
        <v>234.92630700000001</v>
      </c>
      <c r="L31" s="85">
        <v>332.51529699999998</v>
      </c>
      <c r="M31" s="85">
        <v>186.35870999999901</v>
      </c>
      <c r="N31" s="85">
        <v>118.328127999999</v>
      </c>
      <c r="O31" s="85">
        <v>3053.4346759999898</v>
      </c>
      <c r="P31" s="93">
        <f t="shared" si="3"/>
        <v>2935.1065479999952</v>
      </c>
    </row>
    <row r="32" spans="1:16" ht="15.75" customHeight="1" x14ac:dyDescent="0.15">
      <c r="A32" s="36" t="s">
        <v>159</v>
      </c>
      <c r="B32" s="84">
        <v>8184.147008547</v>
      </c>
      <c r="C32" s="85">
        <v>532.05105599999899</v>
      </c>
      <c r="D32" s="85">
        <v>651.193165999999</v>
      </c>
      <c r="E32" s="85">
        <v>662.459563</v>
      </c>
      <c r="F32" s="85">
        <v>855.48106199999904</v>
      </c>
      <c r="G32" s="85">
        <v>616.50543700000003</v>
      </c>
      <c r="H32" s="85">
        <v>598.68940999999904</v>
      </c>
      <c r="I32" s="85">
        <v>550.05647799999997</v>
      </c>
      <c r="J32" s="85">
        <v>598.79752399999995</v>
      </c>
      <c r="K32" s="85">
        <v>654.71239699999899</v>
      </c>
      <c r="L32" s="85">
        <v>463.91814199999902</v>
      </c>
      <c r="M32" s="85">
        <v>389.64550400000098</v>
      </c>
      <c r="N32" s="85">
        <v>490.425423999999</v>
      </c>
      <c r="O32" s="85">
        <v>7063.9351629999901</v>
      </c>
      <c r="P32" s="93">
        <f t="shared" si="3"/>
        <v>6573.5097389999946</v>
      </c>
    </row>
    <row r="33" spans="1:30" ht="15.75" customHeight="1" x14ac:dyDescent="0.15">
      <c r="A33" s="36" t="s">
        <v>160</v>
      </c>
      <c r="B33" s="84">
        <v>3765.2660000000001</v>
      </c>
      <c r="C33" s="85">
        <v>246.98290600000001</v>
      </c>
      <c r="D33" s="85">
        <v>193.19059799999999</v>
      </c>
      <c r="E33" s="85">
        <v>281.01713099999898</v>
      </c>
      <c r="F33" s="85">
        <v>353.84732000000002</v>
      </c>
      <c r="G33" s="85">
        <v>386.666991</v>
      </c>
      <c r="H33" s="85">
        <v>348.67781499999899</v>
      </c>
      <c r="I33" s="85">
        <v>302.76065399999999</v>
      </c>
      <c r="J33" s="85">
        <v>224.529350999999</v>
      </c>
      <c r="K33" s="85">
        <v>352.82781399999999</v>
      </c>
      <c r="L33" s="85">
        <v>280.55527899999998</v>
      </c>
      <c r="M33" s="85">
        <v>314.93949500000002</v>
      </c>
      <c r="N33" s="85">
        <v>248.62161899999899</v>
      </c>
      <c r="O33" s="85">
        <v>3534.6169730000001</v>
      </c>
      <c r="P33" s="93">
        <f t="shared" si="3"/>
        <v>3285.9953539999974</v>
      </c>
    </row>
    <row r="34" spans="1:30" ht="15.75" customHeight="1" x14ac:dyDescent="0.15">
      <c r="A34" s="36" t="s">
        <v>95</v>
      </c>
      <c r="B34" s="84">
        <v>61634.320109187996</v>
      </c>
      <c r="C34" s="85">
        <v>3605.3357339999998</v>
      </c>
      <c r="D34" s="85">
        <v>3455.1552539999998</v>
      </c>
      <c r="E34" s="85">
        <v>4049.3945509999999</v>
      </c>
      <c r="F34" s="85">
        <v>4820.6711789999899</v>
      </c>
      <c r="G34" s="85">
        <v>4543.0065530000002</v>
      </c>
      <c r="H34" s="85">
        <v>3877.9370119999999</v>
      </c>
      <c r="I34" s="94">
        <v>3545.1738620000001</v>
      </c>
      <c r="J34" s="85">
        <v>3148.8852710000001</v>
      </c>
      <c r="K34" s="85">
        <v>3426.6979230000002</v>
      </c>
      <c r="L34" s="85">
        <v>3205.2203589999999</v>
      </c>
      <c r="M34" s="85">
        <v>2806.4155489999998</v>
      </c>
      <c r="N34" s="94">
        <v>1511.772567</v>
      </c>
      <c r="O34" s="85">
        <v>41995.665814</v>
      </c>
      <c r="P34" s="93">
        <f t="shared" si="3"/>
        <v>40483.893246999985</v>
      </c>
    </row>
    <row r="35" spans="1:30" x14ac:dyDescent="0.15">
      <c r="P35" s="93">
        <f t="shared" si="3"/>
        <v>0</v>
      </c>
    </row>
    <row r="36" spans="1:30" x14ac:dyDescent="0.15">
      <c r="A36" s="36" t="s">
        <v>163</v>
      </c>
      <c r="B36" s="26"/>
      <c r="C36" s="86">
        <v>935.29914499999995</v>
      </c>
      <c r="D36" s="86">
        <v>656.998425</v>
      </c>
      <c r="E36" s="86">
        <v>925.76466600000003</v>
      </c>
      <c r="F36" s="86">
        <v>983.54340000000002</v>
      </c>
      <c r="G36" s="86">
        <v>619.93151399999999</v>
      </c>
      <c r="H36" s="86">
        <v>556.482472999999</v>
      </c>
      <c r="I36" s="86">
        <v>285.77645699999999</v>
      </c>
      <c r="J36" s="86">
        <v>402.81037300000003</v>
      </c>
      <c r="K36" s="86">
        <v>197.16262699999999</v>
      </c>
      <c r="L36" s="86">
        <v>557.097028999999</v>
      </c>
      <c r="M36" s="86">
        <v>-3.3765299999997</v>
      </c>
      <c r="N36" s="86">
        <v>665.43360499999994</v>
      </c>
      <c r="O36" s="86">
        <v>6782.9231840000002</v>
      </c>
      <c r="P36" s="93">
        <f t="shared" si="3"/>
        <v>6117.4895789999982</v>
      </c>
    </row>
    <row r="37" spans="1:30" x14ac:dyDescent="0.15">
      <c r="A37" s="36"/>
      <c r="B37" s="2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93">
        <f t="shared" si="3"/>
        <v>0</v>
      </c>
    </row>
    <row r="38" spans="1:30" x14ac:dyDescent="0.15">
      <c r="A38" s="36" t="s">
        <v>165</v>
      </c>
      <c r="B38" s="36"/>
      <c r="C38" s="81">
        <v>0</v>
      </c>
      <c r="D38" s="81">
        <v>0</v>
      </c>
      <c r="E38" s="81">
        <v>0</v>
      </c>
      <c r="F38" s="81">
        <v>0</v>
      </c>
      <c r="G38" s="81">
        <v>0</v>
      </c>
      <c r="H38" s="87">
        <v>208.58879999999999</v>
      </c>
      <c r="I38" s="87">
        <v>178.837006</v>
      </c>
      <c r="J38" s="81">
        <v>198.44562099999899</v>
      </c>
      <c r="K38" s="81">
        <v>156.79771500000001</v>
      </c>
      <c r="L38" s="81">
        <v>187.289908</v>
      </c>
      <c r="M38" s="81">
        <v>43.8895839999999</v>
      </c>
      <c r="N38" s="81">
        <v>188.74048199999999</v>
      </c>
      <c r="O38" s="86">
        <v>1162.5891160000001</v>
      </c>
      <c r="P38" s="93">
        <f t="shared" si="3"/>
        <v>973.84863399999881</v>
      </c>
    </row>
    <row r="39" spans="1:30" x14ac:dyDescent="0.15">
      <c r="C39"/>
      <c r="D39"/>
      <c r="E39"/>
      <c r="F39"/>
      <c r="G39"/>
      <c r="H39"/>
      <c r="I39"/>
      <c r="J39"/>
      <c r="K39"/>
      <c r="L39"/>
      <c r="M39"/>
      <c r="N39"/>
    </row>
    <row r="40" spans="1:30" x14ac:dyDescent="0.15">
      <c r="A40" s="78" t="s">
        <v>244</v>
      </c>
    </row>
    <row r="41" spans="1:30" ht="15.75" customHeight="1" x14ac:dyDescent="0.15">
      <c r="A41" s="52"/>
      <c r="B41" s="53" t="s">
        <v>170</v>
      </c>
      <c r="C41" s="380" t="s">
        <v>251</v>
      </c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0"/>
      <c r="O41" s="26"/>
      <c r="P41" s="383" t="s">
        <v>252</v>
      </c>
      <c r="Q41" s="383"/>
      <c r="R41" s="383"/>
      <c r="S41" s="383"/>
      <c r="T41" s="383"/>
      <c r="U41" s="383"/>
      <c r="V41" s="383"/>
      <c r="W41" s="383"/>
      <c r="X41" s="383"/>
      <c r="Y41" s="383"/>
      <c r="Z41" s="383"/>
      <c r="AA41" s="383"/>
      <c r="AB41" s="383"/>
      <c r="AC41" s="383"/>
    </row>
    <row r="42" spans="1:30" ht="15.75" customHeight="1" x14ac:dyDescent="0.15">
      <c r="A42" s="52" t="s">
        <v>170</v>
      </c>
      <c r="B42" s="26" t="s">
        <v>0</v>
      </c>
      <c r="C42" s="30" t="s">
        <v>83</v>
      </c>
      <c r="D42" s="30" t="s">
        <v>84</v>
      </c>
      <c r="E42" s="30" t="s">
        <v>85</v>
      </c>
      <c r="F42" s="30" t="s">
        <v>86</v>
      </c>
      <c r="G42" s="30" t="s">
        <v>87</v>
      </c>
      <c r="H42" s="30" t="s">
        <v>88</v>
      </c>
      <c r="I42" s="30" t="s">
        <v>89</v>
      </c>
      <c r="J42" s="30" t="s">
        <v>90</v>
      </c>
      <c r="K42" s="30" t="s">
        <v>91</v>
      </c>
      <c r="L42" s="30" t="s">
        <v>92</v>
      </c>
      <c r="M42" s="30" t="s">
        <v>93</v>
      </c>
      <c r="N42" s="30" t="s">
        <v>94</v>
      </c>
      <c r="O42" s="44" t="s">
        <v>111</v>
      </c>
      <c r="P42" s="26" t="s">
        <v>0</v>
      </c>
      <c r="Q42" s="30" t="s">
        <v>83</v>
      </c>
      <c r="R42" s="30" t="s">
        <v>84</v>
      </c>
      <c r="S42" s="30" t="s">
        <v>85</v>
      </c>
      <c r="T42" s="30" t="s">
        <v>86</v>
      </c>
      <c r="U42" s="30" t="s">
        <v>87</v>
      </c>
      <c r="V42" s="30" t="s">
        <v>88</v>
      </c>
      <c r="W42" s="30" t="s">
        <v>89</v>
      </c>
      <c r="X42" s="30" t="s">
        <v>90</v>
      </c>
      <c r="Y42" s="30" t="s">
        <v>91</v>
      </c>
      <c r="Z42" s="30" t="s">
        <v>92</v>
      </c>
      <c r="AA42" s="30" t="s">
        <v>93</v>
      </c>
      <c r="AB42" s="30" t="s">
        <v>94</v>
      </c>
      <c r="AC42" s="44" t="s">
        <v>111</v>
      </c>
      <c r="AD42" s="93"/>
    </row>
    <row r="43" spans="1:30" ht="15.75" customHeight="1" x14ac:dyDescent="0.15">
      <c r="A43" s="36" t="s">
        <v>148</v>
      </c>
      <c r="B43" s="84">
        <v>4894.5487690940199</v>
      </c>
      <c r="C43" s="85">
        <v>637.16319099999998</v>
      </c>
      <c r="D43" s="85">
        <v>448.79357700000003</v>
      </c>
      <c r="E43" s="85">
        <v>476.10321699999997</v>
      </c>
      <c r="F43" s="85">
        <v>586.55561999999998</v>
      </c>
      <c r="G43" s="85">
        <v>447.10930200000001</v>
      </c>
      <c r="H43" s="85">
        <v>358.11560900000001</v>
      </c>
      <c r="I43" s="85">
        <v>453.72594800000002</v>
      </c>
      <c r="J43" s="85">
        <v>300.61734999999999</v>
      </c>
      <c r="K43" s="85">
        <v>454.54442499999999</v>
      </c>
      <c r="L43" s="85">
        <v>526.59826199999895</v>
      </c>
      <c r="M43" s="85">
        <v>485.70329400000003</v>
      </c>
      <c r="N43" s="85">
        <v>529.73739899999998</v>
      </c>
      <c r="O43" s="85">
        <v>5704.767194</v>
      </c>
      <c r="P43" s="95">
        <v>4894.5487690940199</v>
      </c>
      <c r="Q43" s="95">
        <v>637.16319099999998</v>
      </c>
      <c r="R43" s="95">
        <v>448.79357700000003</v>
      </c>
      <c r="S43" s="95">
        <v>476.10321699999997</v>
      </c>
      <c r="T43" s="95">
        <v>586.55561999999998</v>
      </c>
      <c r="U43" s="95">
        <v>447.10930200000001</v>
      </c>
      <c r="V43" s="95">
        <v>358.11560900000001</v>
      </c>
      <c r="W43" s="95">
        <v>453.72594800000002</v>
      </c>
      <c r="X43" s="95">
        <v>300.61734999999999</v>
      </c>
      <c r="Y43" s="95">
        <v>454.54442499999999</v>
      </c>
      <c r="Z43" s="95">
        <v>526.59826199999895</v>
      </c>
      <c r="AA43" s="95">
        <v>485.70329400000003</v>
      </c>
      <c r="AB43" s="95">
        <v>529.73739899999998</v>
      </c>
      <c r="AC43" s="95">
        <v>5704.767194</v>
      </c>
      <c r="AD43" s="93">
        <f>SUM(Q43:T43)</f>
        <v>2148.615605</v>
      </c>
    </row>
    <row r="44" spans="1:30" ht="15.75" customHeight="1" x14ac:dyDescent="0.15">
      <c r="A44" s="36" t="s">
        <v>149</v>
      </c>
      <c r="B44" s="84">
        <v>4320.9399999999996</v>
      </c>
      <c r="C44" s="85">
        <v>222.51366899999999</v>
      </c>
      <c r="D44" s="85">
        <v>423.99715700000002</v>
      </c>
      <c r="E44" s="85">
        <v>575.11782500000004</v>
      </c>
      <c r="F44" s="85">
        <v>394.78979700000002</v>
      </c>
      <c r="G44" s="85">
        <v>651.79886899999894</v>
      </c>
      <c r="H44" s="85">
        <v>333.87805500000002</v>
      </c>
      <c r="I44" s="85">
        <v>497.77412399999997</v>
      </c>
      <c r="J44" s="85">
        <v>487.68353399999899</v>
      </c>
      <c r="K44" s="85">
        <v>493.81611500000002</v>
      </c>
      <c r="L44" s="85">
        <v>400.56976599999899</v>
      </c>
      <c r="M44" s="85">
        <v>269.46298899999999</v>
      </c>
      <c r="N44" s="85">
        <v>659.17913999999996</v>
      </c>
      <c r="O44" s="85">
        <v>5410.58104</v>
      </c>
      <c r="P44" s="95">
        <v>4320.9399999999996</v>
      </c>
      <c r="Q44" s="95">
        <v>222.51366899999999</v>
      </c>
      <c r="R44" s="95">
        <v>423.99715700000002</v>
      </c>
      <c r="S44" s="95">
        <v>575.11782500000004</v>
      </c>
      <c r="T44" s="95">
        <v>394.78979700000002</v>
      </c>
      <c r="U44" s="95">
        <v>651.79886899999894</v>
      </c>
      <c r="V44" s="95">
        <v>333.87805500000002</v>
      </c>
      <c r="W44" s="95">
        <v>497.77412399999997</v>
      </c>
      <c r="X44" s="95">
        <v>487.68353399999899</v>
      </c>
      <c r="Y44" s="95">
        <v>493.81611500000002</v>
      </c>
      <c r="Z44" s="95">
        <v>400.56976599999899</v>
      </c>
      <c r="AA44" s="95">
        <v>269.46298899999999</v>
      </c>
      <c r="AB44" s="95">
        <v>659.17913999999996</v>
      </c>
      <c r="AC44" s="95">
        <v>5410.58104</v>
      </c>
      <c r="AD44" s="93">
        <f t="shared" ref="AD44:AD61" si="4">SUM(Q44:T44)</f>
        <v>1616.4184479999999</v>
      </c>
    </row>
    <row r="45" spans="1:30" ht="15.75" customHeight="1" x14ac:dyDescent="0.15">
      <c r="A45" s="36" t="s">
        <v>150</v>
      </c>
      <c r="B45" s="84">
        <v>7960.7759999999998</v>
      </c>
      <c r="C45" s="85">
        <v>442.33795099999998</v>
      </c>
      <c r="D45" s="85">
        <v>523.25831100000005</v>
      </c>
      <c r="E45" s="85">
        <v>1141.6935040000001</v>
      </c>
      <c r="F45" s="85">
        <v>842.43353200000001</v>
      </c>
      <c r="G45" s="85">
        <v>1149.6273289999899</v>
      </c>
      <c r="H45" s="85">
        <v>386.998559</v>
      </c>
      <c r="I45" s="85">
        <v>668.36610499999904</v>
      </c>
      <c r="J45" s="85">
        <v>1183.4573799999901</v>
      </c>
      <c r="K45" s="85">
        <v>721.36508900000103</v>
      </c>
      <c r="L45" s="85">
        <v>574.07398699999897</v>
      </c>
      <c r="M45" s="85">
        <v>503.819862</v>
      </c>
      <c r="N45" s="85">
        <v>1076.10725799999</v>
      </c>
      <c r="O45" s="85">
        <v>9213.5388669999702</v>
      </c>
      <c r="P45" s="95">
        <v>7960.7759999999998</v>
      </c>
      <c r="Q45" s="95">
        <v>442.33795099999998</v>
      </c>
      <c r="R45" s="95">
        <v>523.25831100000005</v>
      </c>
      <c r="S45" s="95">
        <v>1141.6935040000001</v>
      </c>
      <c r="T45" s="95">
        <v>842.43353200000001</v>
      </c>
      <c r="U45" s="95">
        <v>1149.6273289999899</v>
      </c>
      <c r="V45" s="95">
        <v>386.998559</v>
      </c>
      <c r="W45" s="95">
        <v>668.36610499999904</v>
      </c>
      <c r="X45" s="95">
        <v>1183.4573799999901</v>
      </c>
      <c r="Y45" s="95">
        <v>721.36508900000103</v>
      </c>
      <c r="Z45" s="95">
        <v>574.07398699999897</v>
      </c>
      <c r="AA45" s="95">
        <v>503.819862</v>
      </c>
      <c r="AB45" s="95">
        <v>1076.10725799999</v>
      </c>
      <c r="AC45" s="95">
        <v>9213.5388669999702</v>
      </c>
      <c r="AD45" s="93">
        <f t="shared" si="4"/>
        <v>2949.7232979999999</v>
      </c>
    </row>
    <row r="46" spans="1:30" ht="15.75" customHeight="1" x14ac:dyDescent="0.15">
      <c r="A46" s="36" t="s">
        <v>151</v>
      </c>
      <c r="B46" s="84">
        <v>6834.3964051282101</v>
      </c>
      <c r="C46" s="85">
        <v>304.88753600000001</v>
      </c>
      <c r="D46" s="85">
        <v>398.51624299999997</v>
      </c>
      <c r="E46" s="85">
        <v>318.68475599999999</v>
      </c>
      <c r="F46" s="85">
        <v>720.71648100000004</v>
      </c>
      <c r="G46" s="85">
        <v>647.98967299999902</v>
      </c>
      <c r="H46" s="85">
        <v>471.87535700000001</v>
      </c>
      <c r="I46" s="85">
        <v>435.24877600000002</v>
      </c>
      <c r="J46" s="85">
        <v>290.701582999999</v>
      </c>
      <c r="K46" s="85">
        <v>344.451753</v>
      </c>
      <c r="L46" s="85">
        <v>611.16463099999999</v>
      </c>
      <c r="M46" s="85">
        <v>676.74775599999998</v>
      </c>
      <c r="N46" s="85">
        <v>452.72049899999899</v>
      </c>
      <c r="O46" s="85">
        <v>5673.7050440000003</v>
      </c>
      <c r="P46" s="95">
        <v>6834.3964051282101</v>
      </c>
      <c r="Q46" s="95">
        <v>304.88753600000001</v>
      </c>
      <c r="R46" s="95">
        <v>398.51624299999997</v>
      </c>
      <c r="S46" s="95">
        <v>318.68475599999999</v>
      </c>
      <c r="T46" s="95">
        <v>720.71648100000004</v>
      </c>
      <c r="U46" s="95">
        <v>647.98967299999902</v>
      </c>
      <c r="V46" s="95">
        <v>471.87535700000001</v>
      </c>
      <c r="W46" s="95">
        <v>435.24877600000002</v>
      </c>
      <c r="X46" s="95">
        <v>290.701582999999</v>
      </c>
      <c r="Y46" s="95">
        <v>344.451753</v>
      </c>
      <c r="Z46" s="95">
        <v>611.16463099999999</v>
      </c>
      <c r="AA46" s="95">
        <v>676.74775599999998</v>
      </c>
      <c r="AB46" s="95">
        <v>452.72049899999899</v>
      </c>
      <c r="AC46" s="95">
        <v>5673.7050440000003</v>
      </c>
      <c r="AD46" s="93">
        <f t="shared" si="4"/>
        <v>1742.805016</v>
      </c>
    </row>
    <row r="47" spans="1:30" ht="15.75" customHeight="1" x14ac:dyDescent="0.15">
      <c r="A47" s="36" t="s">
        <v>152</v>
      </c>
      <c r="B47" s="84">
        <v>17474.222290230799</v>
      </c>
      <c r="C47" s="85">
        <v>258.73253999999997</v>
      </c>
      <c r="D47" s="85">
        <v>251.36093600000001</v>
      </c>
      <c r="E47" s="85">
        <v>458.85968400000002</v>
      </c>
      <c r="F47" s="85">
        <v>652.86474699999997</v>
      </c>
      <c r="G47" s="85">
        <v>1574.2462949999999</v>
      </c>
      <c r="H47" s="85">
        <v>1207.131997</v>
      </c>
      <c r="I47" s="85">
        <v>1637.01187799999</v>
      </c>
      <c r="J47" s="85">
        <v>1723.156334</v>
      </c>
      <c r="K47" s="85">
        <v>1474.94235999999</v>
      </c>
      <c r="L47" s="85">
        <v>1744.42882099999</v>
      </c>
      <c r="M47" s="85">
        <v>1364.4472969999999</v>
      </c>
      <c r="N47" s="85">
        <v>1396.024946</v>
      </c>
      <c r="O47" s="85">
        <v>13743.207834999999</v>
      </c>
      <c r="P47" s="95">
        <v>16998.092290230801</v>
      </c>
      <c r="Q47" s="95">
        <v>258.73253999999997</v>
      </c>
      <c r="R47" s="95">
        <v>251.36093600000001</v>
      </c>
      <c r="S47" s="95">
        <v>390.17944899999998</v>
      </c>
      <c r="T47" s="95">
        <v>652.86474699999997</v>
      </c>
      <c r="U47" s="95">
        <v>1574.2462949999999</v>
      </c>
      <c r="V47" s="95">
        <v>1138.4517619999899</v>
      </c>
      <c r="W47" s="95">
        <v>1637.011878</v>
      </c>
      <c r="X47" s="95">
        <v>1723.156334</v>
      </c>
      <c r="Y47" s="95">
        <v>1406.26212499999</v>
      </c>
      <c r="Z47" s="95">
        <v>1515.7963420000001</v>
      </c>
      <c r="AA47" s="95">
        <v>1364.4472969999999</v>
      </c>
      <c r="AB47" s="95">
        <v>1327.344711</v>
      </c>
      <c r="AC47" s="95">
        <v>13239.854416</v>
      </c>
      <c r="AD47" s="93">
        <f t="shared" si="4"/>
        <v>1553.1376719999998</v>
      </c>
    </row>
    <row r="48" spans="1:30" ht="15.75" customHeight="1" x14ac:dyDescent="0.15">
      <c r="A48" s="36" t="s">
        <v>153</v>
      </c>
      <c r="B48" s="84">
        <v>3502.6006992307698</v>
      </c>
      <c r="C48" s="85">
        <v>230.18103600000001</v>
      </c>
      <c r="D48" s="85">
        <v>210.21789699999999</v>
      </c>
      <c r="E48" s="85">
        <v>268.59495299999998</v>
      </c>
      <c r="F48" s="85">
        <v>421.64568300000002</v>
      </c>
      <c r="G48" s="85">
        <v>385.34906699999999</v>
      </c>
      <c r="H48" s="85">
        <v>340.58324099999999</v>
      </c>
      <c r="I48" s="85">
        <v>403.19490300000001</v>
      </c>
      <c r="J48" s="85">
        <v>322.73740500000002</v>
      </c>
      <c r="K48" s="85">
        <v>395.028164</v>
      </c>
      <c r="L48" s="85">
        <v>225.341487</v>
      </c>
      <c r="M48" s="85">
        <v>319.41021599999999</v>
      </c>
      <c r="N48" s="85">
        <v>266.780123</v>
      </c>
      <c r="O48" s="85">
        <v>3789.064175</v>
      </c>
      <c r="P48" s="95">
        <v>3502.6006992307698</v>
      </c>
      <c r="Q48" s="95">
        <v>230.18103600000001</v>
      </c>
      <c r="R48" s="95">
        <v>210.21789699999999</v>
      </c>
      <c r="S48" s="95">
        <v>268.59495299999998</v>
      </c>
      <c r="T48" s="95">
        <v>421.64568300000002</v>
      </c>
      <c r="U48" s="95">
        <v>385.34906699999999</v>
      </c>
      <c r="V48" s="95">
        <v>340.58324099999999</v>
      </c>
      <c r="W48" s="95">
        <v>403.19490300000001</v>
      </c>
      <c r="X48" s="95">
        <v>322.73740500000002</v>
      </c>
      <c r="Y48" s="95">
        <v>395.028164</v>
      </c>
      <c r="Z48" s="95">
        <v>225.341487</v>
      </c>
      <c r="AA48" s="95">
        <v>319.41021599999999</v>
      </c>
      <c r="AB48" s="95">
        <v>266.780123</v>
      </c>
      <c r="AC48" s="95">
        <v>3789.064175</v>
      </c>
      <c r="AD48" s="93">
        <f t="shared" si="4"/>
        <v>1130.6395689999999</v>
      </c>
    </row>
    <row r="49" spans="1:32" ht="15.75" customHeight="1" x14ac:dyDescent="0.15">
      <c r="A49" s="36" t="s">
        <v>154</v>
      </c>
      <c r="B49" s="84">
        <v>2449.5610986923102</v>
      </c>
      <c r="C49" s="85">
        <v>28.551504000000001</v>
      </c>
      <c r="D49" s="85">
        <v>41.143039000000002</v>
      </c>
      <c r="E49" s="85">
        <v>190.26473100000001</v>
      </c>
      <c r="F49" s="85">
        <v>231.219064</v>
      </c>
      <c r="G49" s="85">
        <v>252.31188900000001</v>
      </c>
      <c r="H49" s="85">
        <v>271.82900000000001</v>
      </c>
      <c r="I49" s="85">
        <v>270.03627799999998</v>
      </c>
      <c r="J49" s="85">
        <v>231.37946600000001</v>
      </c>
      <c r="K49" s="85">
        <v>273.914222</v>
      </c>
      <c r="L49" s="85">
        <v>358.71826499999997</v>
      </c>
      <c r="M49" s="85">
        <v>76.030411000000001</v>
      </c>
      <c r="N49" s="85">
        <v>105.251824</v>
      </c>
      <c r="O49" s="85">
        <v>2330.6496929999998</v>
      </c>
      <c r="P49" s="95">
        <v>1973.4310986923099</v>
      </c>
      <c r="Q49" s="95">
        <v>28.551504000000001</v>
      </c>
      <c r="R49" s="95">
        <v>41.143039000000002</v>
      </c>
      <c r="S49" s="95">
        <v>121.584496</v>
      </c>
      <c r="T49" s="95">
        <v>231.219064</v>
      </c>
      <c r="U49" s="95">
        <v>252.31188900000001</v>
      </c>
      <c r="V49" s="95">
        <v>203.148765</v>
      </c>
      <c r="W49" s="95">
        <v>270.03627799999998</v>
      </c>
      <c r="X49" s="95">
        <v>231.37946600000001</v>
      </c>
      <c r="Y49" s="95">
        <v>205.23398700000001</v>
      </c>
      <c r="Z49" s="95">
        <v>130.08578600000001</v>
      </c>
      <c r="AA49" s="95">
        <v>76.030411000000001</v>
      </c>
      <c r="AB49" s="95">
        <v>36.571589000000003</v>
      </c>
      <c r="AC49" s="95">
        <v>1827.296274</v>
      </c>
      <c r="AD49" s="93">
        <f t="shared" si="4"/>
        <v>422.49810300000001</v>
      </c>
    </row>
    <row r="50" spans="1:32" ht="15.75" customHeight="1" x14ac:dyDescent="0.15">
      <c r="A50" s="36" t="s">
        <v>155</v>
      </c>
      <c r="B50" s="84">
        <v>5759.6007692307703</v>
      </c>
      <c r="C50" s="85">
        <v>0</v>
      </c>
      <c r="D50" s="85">
        <v>0</v>
      </c>
      <c r="E50" s="85">
        <v>0</v>
      </c>
      <c r="F50" s="85">
        <v>0</v>
      </c>
      <c r="G50" s="85">
        <v>529.55943300000001</v>
      </c>
      <c r="H50" s="85">
        <v>285.50713200000001</v>
      </c>
      <c r="I50" s="85">
        <v>496.28879899999998</v>
      </c>
      <c r="J50" s="85">
        <v>590.95723099999998</v>
      </c>
      <c r="K50" s="85">
        <v>425.99735900000002</v>
      </c>
      <c r="L50" s="85">
        <v>601.99067500000001</v>
      </c>
      <c r="M50" s="85">
        <v>490.29073099999999</v>
      </c>
      <c r="N50" s="85">
        <v>577.89031199999999</v>
      </c>
      <c r="O50" s="85">
        <v>3998.4816719999999</v>
      </c>
      <c r="P50" s="95">
        <v>5759.6007692307703</v>
      </c>
      <c r="Q50" s="95">
        <v>0</v>
      </c>
      <c r="R50" s="95">
        <v>0</v>
      </c>
      <c r="S50" s="95">
        <v>0</v>
      </c>
      <c r="T50" s="95">
        <v>0</v>
      </c>
      <c r="U50" s="95">
        <v>529.55943300000001</v>
      </c>
      <c r="V50" s="95">
        <v>285.50713200000001</v>
      </c>
      <c r="W50" s="95">
        <v>496.28879899999998</v>
      </c>
      <c r="X50" s="95">
        <v>590.95723099999998</v>
      </c>
      <c r="Y50" s="95">
        <v>425.99735900000002</v>
      </c>
      <c r="Z50" s="95">
        <v>601.99067500000001</v>
      </c>
      <c r="AA50" s="95">
        <v>490.29073099999999</v>
      </c>
      <c r="AB50" s="95">
        <v>577.89031199999999</v>
      </c>
      <c r="AC50" s="95">
        <v>3998.4816719999999</v>
      </c>
      <c r="AD50" s="93">
        <f t="shared" si="4"/>
        <v>0</v>
      </c>
    </row>
    <row r="51" spans="1:32" ht="15.75" customHeight="1" x14ac:dyDescent="0.15">
      <c r="A51" s="36" t="s">
        <v>156</v>
      </c>
      <c r="B51" s="84">
        <v>5762.4597230769205</v>
      </c>
      <c r="C51" s="85">
        <v>0</v>
      </c>
      <c r="D51" s="85">
        <v>0</v>
      </c>
      <c r="E51" s="85">
        <v>0</v>
      </c>
      <c r="F51" s="85">
        <v>0</v>
      </c>
      <c r="G51" s="85">
        <v>407.02590600000002</v>
      </c>
      <c r="H51" s="85">
        <v>309.21262400000001</v>
      </c>
      <c r="I51" s="85">
        <v>467.49189799999999</v>
      </c>
      <c r="J51" s="85">
        <v>578.08223199999998</v>
      </c>
      <c r="K51" s="85">
        <v>380.00261499999999</v>
      </c>
      <c r="L51" s="85">
        <v>558.37839399999996</v>
      </c>
      <c r="M51" s="85">
        <v>478.71593899999999</v>
      </c>
      <c r="N51" s="85">
        <v>446.102687</v>
      </c>
      <c r="O51" s="85">
        <v>3625.012295</v>
      </c>
      <c r="P51" s="95">
        <v>5762.4597230769205</v>
      </c>
      <c r="Q51" s="95">
        <v>0</v>
      </c>
      <c r="R51" s="95">
        <v>0</v>
      </c>
      <c r="S51" s="95">
        <v>0</v>
      </c>
      <c r="T51" s="95">
        <v>0</v>
      </c>
      <c r="U51" s="95">
        <v>407.02590600000002</v>
      </c>
      <c r="V51" s="95">
        <v>309.21262400000001</v>
      </c>
      <c r="W51" s="95">
        <v>467.49189799999999</v>
      </c>
      <c r="X51" s="95">
        <v>578.08223199999998</v>
      </c>
      <c r="Y51" s="95">
        <v>380.00261499999999</v>
      </c>
      <c r="Z51" s="95">
        <v>558.37839399999996</v>
      </c>
      <c r="AA51" s="95">
        <v>478.71593899999999</v>
      </c>
      <c r="AB51" s="95">
        <v>446.102687</v>
      </c>
      <c r="AC51" s="95">
        <v>3625.012295</v>
      </c>
      <c r="AD51" s="93">
        <f t="shared" si="4"/>
        <v>0</v>
      </c>
    </row>
    <row r="52" spans="1:32" ht="15.75" customHeight="1" x14ac:dyDescent="0.15">
      <c r="A52" s="36" t="s">
        <v>157</v>
      </c>
      <c r="B52" s="84">
        <v>3274.78949134615</v>
      </c>
      <c r="C52" s="85">
        <v>71.782050999999996</v>
      </c>
      <c r="D52" s="85">
        <v>97.845043000000004</v>
      </c>
      <c r="E52" s="85">
        <v>225.56630100000001</v>
      </c>
      <c r="F52" s="85">
        <v>404.55627299999998</v>
      </c>
      <c r="G52" s="85">
        <v>370.15350000000001</v>
      </c>
      <c r="H52" s="85">
        <v>427.61553199999997</v>
      </c>
      <c r="I52" s="85">
        <v>552.62641599999995</v>
      </c>
      <c r="J52" s="85">
        <v>455.45633199999901</v>
      </c>
      <c r="K52" s="85">
        <v>299.18916899999999</v>
      </c>
      <c r="L52" s="85">
        <v>215.07900799999999</v>
      </c>
      <c r="M52" s="85">
        <v>139.25930599999899</v>
      </c>
      <c r="N52" s="85">
        <v>86.730215999999999</v>
      </c>
      <c r="O52" s="85">
        <v>3345.8591470000001</v>
      </c>
      <c r="P52" s="95">
        <v>3274.78949134615</v>
      </c>
      <c r="Q52" s="95">
        <v>71.782050999999996</v>
      </c>
      <c r="R52" s="95">
        <v>97.845043000000004</v>
      </c>
      <c r="S52" s="95">
        <v>225.56630100000001</v>
      </c>
      <c r="T52" s="95">
        <v>404.55627299999998</v>
      </c>
      <c r="U52" s="95">
        <v>370.15350000000001</v>
      </c>
      <c r="V52" s="95">
        <v>427.61553199999997</v>
      </c>
      <c r="W52" s="95">
        <v>552.62641599999995</v>
      </c>
      <c r="X52" s="95">
        <v>455.45633199999901</v>
      </c>
      <c r="Y52" s="95">
        <v>299.18916899999999</v>
      </c>
      <c r="Z52" s="95">
        <v>215.07900799999999</v>
      </c>
      <c r="AA52" s="95">
        <v>139.25930599999899</v>
      </c>
      <c r="AB52" s="95">
        <v>86.730215999999999</v>
      </c>
      <c r="AC52" s="95">
        <v>3345.8591470000001</v>
      </c>
      <c r="AD52" s="93">
        <f t="shared" si="4"/>
        <v>799.74966799999993</v>
      </c>
    </row>
    <row r="53" spans="1:32" ht="15.75" customHeight="1" x14ac:dyDescent="0.15">
      <c r="A53" s="36" t="s">
        <v>158</v>
      </c>
      <c r="B53" s="84">
        <v>3492.9059999999999</v>
      </c>
      <c r="C53" s="85">
        <v>246.58112199999999</v>
      </c>
      <c r="D53" s="85">
        <v>227.65898999999999</v>
      </c>
      <c r="E53" s="85">
        <v>293.406586</v>
      </c>
      <c r="F53" s="85">
        <v>282.96250400000002</v>
      </c>
      <c r="G53" s="85">
        <v>376.43380100000002</v>
      </c>
      <c r="H53" s="85">
        <v>241.440122</v>
      </c>
      <c r="I53" s="85">
        <v>267.64450900000003</v>
      </c>
      <c r="J53" s="85">
        <v>284.30931900000002</v>
      </c>
      <c r="K53" s="85">
        <v>287.59894699999899</v>
      </c>
      <c r="L53" s="85">
        <v>298.34371499999901</v>
      </c>
      <c r="M53" s="85">
        <v>253.38271900000001</v>
      </c>
      <c r="N53" s="85">
        <v>228.952505999999</v>
      </c>
      <c r="O53" s="85">
        <v>3288.7148400000001</v>
      </c>
      <c r="P53" s="95">
        <v>3492.9059999999999</v>
      </c>
      <c r="Q53" s="95">
        <v>246.58112199999999</v>
      </c>
      <c r="R53" s="95">
        <v>227.65898999999999</v>
      </c>
      <c r="S53" s="95">
        <v>293.406586</v>
      </c>
      <c r="T53" s="95">
        <v>282.96250400000002</v>
      </c>
      <c r="U53" s="95">
        <v>376.43380100000002</v>
      </c>
      <c r="V53" s="95">
        <v>241.440122</v>
      </c>
      <c r="W53" s="95">
        <v>267.64450900000003</v>
      </c>
      <c r="X53" s="95">
        <v>284.30931900000002</v>
      </c>
      <c r="Y53" s="95">
        <v>287.59894699999899</v>
      </c>
      <c r="Z53" s="95">
        <v>298.34371499999901</v>
      </c>
      <c r="AA53" s="95">
        <v>253.38271900000001</v>
      </c>
      <c r="AB53" s="95">
        <v>228.952505999999</v>
      </c>
      <c r="AC53" s="95">
        <v>3288.7148400000001</v>
      </c>
      <c r="AD53" s="93">
        <f t="shared" si="4"/>
        <v>1050.6092020000001</v>
      </c>
    </row>
    <row r="54" spans="1:32" ht="15.75" customHeight="1" x14ac:dyDescent="0.15">
      <c r="A54" s="36" t="s">
        <v>159</v>
      </c>
      <c r="B54" s="84">
        <v>7494.7020000000002</v>
      </c>
      <c r="C54" s="85">
        <v>406.486875</v>
      </c>
      <c r="D54" s="85">
        <v>526.92377199999999</v>
      </c>
      <c r="E54" s="85">
        <v>589.34452199999998</v>
      </c>
      <c r="F54" s="85">
        <v>732.53750700000001</v>
      </c>
      <c r="G54" s="85">
        <v>805.61744499999998</v>
      </c>
      <c r="H54" s="85">
        <v>720.45836699999995</v>
      </c>
      <c r="I54" s="85">
        <v>642.13935999999899</v>
      </c>
      <c r="J54" s="85">
        <v>516.02921400000002</v>
      </c>
      <c r="K54" s="85">
        <v>555.10580599999901</v>
      </c>
      <c r="L54" s="85">
        <v>584.86076499999899</v>
      </c>
      <c r="M54" s="85">
        <v>528.33872399999996</v>
      </c>
      <c r="N54" s="85">
        <v>575.637293</v>
      </c>
      <c r="O54" s="85">
        <v>7183.4796500000002</v>
      </c>
      <c r="P54" s="95">
        <v>7494.7020000000002</v>
      </c>
      <c r="Q54" s="95">
        <v>406.486875</v>
      </c>
      <c r="R54" s="95">
        <v>526.92377199999999</v>
      </c>
      <c r="S54" s="95">
        <v>589.34452199999998</v>
      </c>
      <c r="T54" s="95">
        <v>732.53750700000001</v>
      </c>
      <c r="U54" s="95">
        <v>805.61744499999998</v>
      </c>
      <c r="V54" s="95">
        <v>720.45836699999995</v>
      </c>
      <c r="W54" s="95">
        <v>642.13935999999899</v>
      </c>
      <c r="X54" s="95">
        <v>516.02921400000002</v>
      </c>
      <c r="Y54" s="95">
        <v>555.10580599999901</v>
      </c>
      <c r="Z54" s="95">
        <v>584.86076499999899</v>
      </c>
      <c r="AA54" s="95">
        <v>528.33872399999996</v>
      </c>
      <c r="AB54" s="95">
        <v>575.637293</v>
      </c>
      <c r="AC54" s="95">
        <v>7183.4796500000002</v>
      </c>
      <c r="AD54" s="93">
        <f t="shared" si="4"/>
        <v>2255.292676</v>
      </c>
    </row>
    <row r="55" spans="1:32" ht="15.75" customHeight="1" x14ac:dyDescent="0.15">
      <c r="A55" s="36" t="s">
        <v>160</v>
      </c>
      <c r="B55" s="84">
        <v>3412.6550000000002</v>
      </c>
      <c r="C55" s="85">
        <v>218.478815</v>
      </c>
      <c r="D55" s="85">
        <v>279.71886499999999</v>
      </c>
      <c r="E55" s="85">
        <v>339.67806100000001</v>
      </c>
      <c r="F55" s="85">
        <v>352.45029599999998</v>
      </c>
      <c r="G55" s="85">
        <v>362.51691899999997</v>
      </c>
      <c r="H55" s="85">
        <v>354.49315199999899</v>
      </c>
      <c r="I55" s="85">
        <v>316.670503</v>
      </c>
      <c r="J55" s="85">
        <v>302.09138499999898</v>
      </c>
      <c r="K55" s="85">
        <v>296.72062599999998</v>
      </c>
      <c r="L55" s="85">
        <v>275.124123</v>
      </c>
      <c r="M55" s="85">
        <v>317.61239699999999</v>
      </c>
      <c r="N55" s="85">
        <v>264.26835899999901</v>
      </c>
      <c r="O55" s="85">
        <v>3679.8235009999999</v>
      </c>
      <c r="P55" s="95">
        <v>3412.6550000000002</v>
      </c>
      <c r="Q55" s="95">
        <v>218.478815</v>
      </c>
      <c r="R55" s="95">
        <v>279.71886499999999</v>
      </c>
      <c r="S55" s="95">
        <v>339.67806100000001</v>
      </c>
      <c r="T55" s="95">
        <v>352.45029599999998</v>
      </c>
      <c r="U55" s="95">
        <v>362.51691899999997</v>
      </c>
      <c r="V55" s="95">
        <v>354.49315199999899</v>
      </c>
      <c r="W55" s="95">
        <v>316.670503</v>
      </c>
      <c r="X55" s="95">
        <v>302.09138499999898</v>
      </c>
      <c r="Y55" s="95">
        <v>296.72062599999998</v>
      </c>
      <c r="Z55" s="95">
        <v>275.124123</v>
      </c>
      <c r="AA55" s="95">
        <v>317.61239699999999</v>
      </c>
      <c r="AB55" s="95">
        <v>264.26835899999901</v>
      </c>
      <c r="AC55" s="95">
        <v>3679.8235009999999</v>
      </c>
      <c r="AD55" s="93">
        <f t="shared" si="4"/>
        <v>1190.326037</v>
      </c>
    </row>
    <row r="56" spans="1:32" ht="15.75" customHeight="1" x14ac:dyDescent="0.15">
      <c r="A56" s="36" t="s">
        <v>95</v>
      </c>
      <c r="B56" s="84">
        <v>59159.935955799097</v>
      </c>
      <c r="C56" s="88">
        <v>2808.9637499999999</v>
      </c>
      <c r="D56" s="88">
        <v>3178.0728939999999</v>
      </c>
      <c r="E56" s="88">
        <v>4418.4544560000004</v>
      </c>
      <c r="F56" s="88">
        <v>4969.8667569999998</v>
      </c>
      <c r="G56" s="88">
        <v>6385.4931329999899</v>
      </c>
      <c r="H56" s="88">
        <v>4502.0067499999996</v>
      </c>
      <c r="I56" s="88">
        <v>5471.2076189999998</v>
      </c>
      <c r="J56" s="88">
        <v>5543.5024309999899</v>
      </c>
      <c r="K56" s="88">
        <v>4927.7342900000003</v>
      </c>
      <c r="L56" s="88">
        <v>5230.2430779999904</v>
      </c>
      <c r="M56" s="88">
        <v>4538.7743440000004</v>
      </c>
      <c r="N56" s="88">
        <v>5269.3576159999902</v>
      </c>
      <c r="O56" s="88">
        <v>57243.677117999898</v>
      </c>
      <c r="P56" s="96">
        <v>58683.805955799202</v>
      </c>
      <c r="Q56" s="96">
        <v>2808.9637499999999</v>
      </c>
      <c r="R56" s="96">
        <v>3178.0728939999999</v>
      </c>
      <c r="S56" s="96">
        <v>4349.7742209999997</v>
      </c>
      <c r="T56" s="96">
        <v>4969.8667569999998</v>
      </c>
      <c r="U56" s="96">
        <v>6385.4931329999899</v>
      </c>
      <c r="V56" s="96">
        <v>4433.3265149999897</v>
      </c>
      <c r="W56" s="96">
        <v>5471.2076189999998</v>
      </c>
      <c r="X56" s="96">
        <v>5543.5024309999899</v>
      </c>
      <c r="Y56" s="96">
        <v>4859.0540549999896</v>
      </c>
      <c r="Z56" s="96">
        <v>5001.6105989999896</v>
      </c>
      <c r="AA56" s="96">
        <v>4538.7743440000004</v>
      </c>
      <c r="AB56" s="96">
        <v>5200.6773809999904</v>
      </c>
      <c r="AC56" s="95">
        <v>56740.323698999899</v>
      </c>
      <c r="AD56" s="93">
        <f t="shared" si="4"/>
        <v>15306.677621999999</v>
      </c>
      <c r="AE56" s="78">
        <v>3400</v>
      </c>
      <c r="AF56" s="78">
        <f>AC56+AE56</f>
        <v>60140.323698999899</v>
      </c>
    </row>
    <row r="57" spans="1:32" ht="15.75" customHeight="1" x14ac:dyDescent="0.15">
      <c r="A57" s="36" t="s">
        <v>171</v>
      </c>
      <c r="B57" s="84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96">
        <f>SUM(P43:P47,P52)</f>
        <v>44283.542955799181</v>
      </c>
      <c r="Q57" s="96">
        <f t="shared" ref="Q57:AC57" si="5">SUM(Q43:Q47,Q52)</f>
        <v>1937.4169379999998</v>
      </c>
      <c r="R57" s="96">
        <f t="shared" si="5"/>
        <v>2143.7712670000001</v>
      </c>
      <c r="S57" s="96">
        <f t="shared" si="5"/>
        <v>3127.3450519999997</v>
      </c>
      <c r="T57" s="96">
        <f t="shared" si="5"/>
        <v>3601.9164500000002</v>
      </c>
      <c r="U57" s="96">
        <f t="shared" si="5"/>
        <v>4840.9249679999884</v>
      </c>
      <c r="V57" s="96">
        <f t="shared" si="5"/>
        <v>3116.9348739999896</v>
      </c>
      <c r="W57" s="96">
        <f t="shared" si="5"/>
        <v>4244.7532469999987</v>
      </c>
      <c r="X57" s="96">
        <f t="shared" si="5"/>
        <v>4441.0725129999873</v>
      </c>
      <c r="Y57" s="96">
        <f t="shared" si="5"/>
        <v>3719.6286759999912</v>
      </c>
      <c r="Z57" s="96">
        <f t="shared" si="5"/>
        <v>3843.2819959999974</v>
      </c>
      <c r="AA57" s="96">
        <f t="shared" si="5"/>
        <v>3439.4405039999992</v>
      </c>
      <c r="AB57" s="96">
        <f t="shared" si="5"/>
        <v>4131.8192229999886</v>
      </c>
      <c r="AC57" s="96">
        <f t="shared" si="5"/>
        <v>42588.305707999978</v>
      </c>
      <c r="AD57" s="93">
        <f t="shared" si="4"/>
        <v>10810.449707</v>
      </c>
      <c r="AF57" s="78">
        <f>AF56/P56</f>
        <v>1.0248197559697771</v>
      </c>
    </row>
    <row r="58" spans="1:32" ht="15.75" customHeight="1" x14ac:dyDescent="0.15">
      <c r="A58" s="36" t="s">
        <v>172</v>
      </c>
      <c r="B58" s="84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96">
        <f>SUM(P53:P55)</f>
        <v>14400.263000000001</v>
      </c>
      <c r="Q58" s="96">
        <f t="shared" ref="Q58:AC58" si="6">SUM(Q53:Q55)</f>
        <v>871.54681200000005</v>
      </c>
      <c r="R58" s="96">
        <f t="shared" si="6"/>
        <v>1034.3016270000001</v>
      </c>
      <c r="S58" s="96">
        <f t="shared" si="6"/>
        <v>1222.429169</v>
      </c>
      <c r="T58" s="96">
        <f t="shared" si="6"/>
        <v>1367.9503070000001</v>
      </c>
      <c r="U58" s="96">
        <f t="shared" si="6"/>
        <v>1544.5681649999999</v>
      </c>
      <c r="V58" s="96">
        <f t="shared" si="6"/>
        <v>1316.3916409999988</v>
      </c>
      <c r="W58" s="96">
        <f t="shared" si="6"/>
        <v>1226.454371999999</v>
      </c>
      <c r="X58" s="96">
        <f t="shared" si="6"/>
        <v>1102.4299179999991</v>
      </c>
      <c r="Y58" s="96">
        <f t="shared" si="6"/>
        <v>1139.425378999998</v>
      </c>
      <c r="Z58" s="96">
        <f t="shared" si="6"/>
        <v>1158.3286029999981</v>
      </c>
      <c r="AA58" s="96">
        <f t="shared" si="6"/>
        <v>1099.3338399999998</v>
      </c>
      <c r="AB58" s="96">
        <f t="shared" si="6"/>
        <v>1068.858157999998</v>
      </c>
      <c r="AC58" s="96">
        <f t="shared" si="6"/>
        <v>14152.017991000001</v>
      </c>
      <c r="AD58" s="93">
        <f t="shared" si="4"/>
        <v>4496.2279150000004</v>
      </c>
    </row>
    <row r="59" spans="1:32" x14ac:dyDescent="0.15">
      <c r="A59" s="36" t="s">
        <v>163</v>
      </c>
      <c r="B59" s="26"/>
      <c r="C59" s="86">
        <v>946.97280499999999</v>
      </c>
      <c r="D59" s="86">
        <v>827.62832400000002</v>
      </c>
      <c r="E59" s="86">
        <v>949.10703799999999</v>
      </c>
      <c r="F59" s="86">
        <v>685.14808000000005</v>
      </c>
      <c r="G59" s="86">
        <v>419.13568299999901</v>
      </c>
      <c r="H59" s="86">
        <v>268.55049299999899</v>
      </c>
      <c r="I59" s="86">
        <v>175.918092</v>
      </c>
      <c r="J59" s="86">
        <v>189.76001299999899</v>
      </c>
      <c r="K59" s="86">
        <v>254.83161100000001</v>
      </c>
      <c r="L59" s="86">
        <v>410.819906</v>
      </c>
      <c r="M59" s="86">
        <v>1284.4660839999899</v>
      </c>
      <c r="N59" s="86">
        <v>1343.4693479999901</v>
      </c>
      <c r="O59" s="86">
        <v>7755.8074769999803</v>
      </c>
      <c r="P59" s="95">
        <v>8530.18092948718</v>
      </c>
      <c r="Q59" s="95">
        <v>946.97280499999999</v>
      </c>
      <c r="R59" s="95">
        <v>827.62832400000002</v>
      </c>
      <c r="S59" s="95">
        <v>949.10703799999999</v>
      </c>
      <c r="T59" s="95">
        <v>685.14808000000005</v>
      </c>
      <c r="U59" s="95">
        <v>419.13568299999901</v>
      </c>
      <c r="V59" s="95">
        <v>268.55049299999899</v>
      </c>
      <c r="W59" s="95">
        <v>175.918092</v>
      </c>
      <c r="X59" s="95">
        <v>189.76001299999899</v>
      </c>
      <c r="Y59" s="95">
        <v>252.964539</v>
      </c>
      <c r="Z59" s="95">
        <v>409.69510600000001</v>
      </c>
      <c r="AA59" s="95">
        <v>1283.5261289999901</v>
      </c>
      <c r="AB59" s="95">
        <v>1342.63441099999</v>
      </c>
      <c r="AC59" s="95">
        <v>7751.0407129999803</v>
      </c>
      <c r="AD59" s="93">
        <f t="shared" si="4"/>
        <v>3408.8562470000002</v>
      </c>
    </row>
    <row r="60" spans="1:32" x14ac:dyDescent="0.15">
      <c r="A60" s="36" t="s">
        <v>164</v>
      </c>
      <c r="B60" s="26"/>
      <c r="C60" s="85">
        <v>434.35827799999998</v>
      </c>
      <c r="D60" s="85">
        <v>732.08763899999997</v>
      </c>
      <c r="E60" s="85">
        <v>974.76369499999998</v>
      </c>
      <c r="F60" s="85">
        <v>682.67219999999998</v>
      </c>
      <c r="G60" s="85">
        <v>353.50107100000002</v>
      </c>
      <c r="H60" s="85">
        <v>236.002375</v>
      </c>
      <c r="I60" s="85">
        <v>152.75538700000001</v>
      </c>
      <c r="J60" s="85">
        <v>163.894284999999</v>
      </c>
      <c r="K60" s="85">
        <v>182.370285</v>
      </c>
      <c r="L60" s="85">
        <v>183.88867400000001</v>
      </c>
      <c r="M60" s="85">
        <v>440.104682999999</v>
      </c>
      <c r="N60" s="85">
        <v>440.89918799999998</v>
      </c>
      <c r="O60" s="85">
        <v>4977.2977600000004</v>
      </c>
      <c r="P60" s="95">
        <v>5105.0891076922999</v>
      </c>
      <c r="Q60" s="95">
        <v>434.35827799999998</v>
      </c>
      <c r="R60" s="95">
        <v>732.08763899999997</v>
      </c>
      <c r="S60" s="95">
        <v>974.76369499999998</v>
      </c>
      <c r="T60" s="95">
        <v>682.67219999999998</v>
      </c>
      <c r="U60" s="95">
        <v>353.50107100000002</v>
      </c>
      <c r="V60" s="95">
        <v>236.002375</v>
      </c>
      <c r="W60" s="95">
        <v>152.75538700000001</v>
      </c>
      <c r="X60" s="95">
        <v>163.894284999999</v>
      </c>
      <c r="Y60" s="95">
        <v>182.370285</v>
      </c>
      <c r="Z60" s="95">
        <v>183.88867400000001</v>
      </c>
      <c r="AA60" s="95">
        <v>440.104682999999</v>
      </c>
      <c r="AB60" s="95">
        <v>440.89918799999998</v>
      </c>
      <c r="AC60" s="95">
        <v>4977.2977600000004</v>
      </c>
      <c r="AD60" s="93">
        <f t="shared" si="4"/>
        <v>2823.8818120000001</v>
      </c>
    </row>
    <row r="61" spans="1:32" x14ac:dyDescent="0.15">
      <c r="A61" s="36" t="s">
        <v>165</v>
      </c>
      <c r="B61" s="36"/>
      <c r="C61" s="85">
        <v>221.025172</v>
      </c>
      <c r="D61" s="85">
        <v>216.07045499999899</v>
      </c>
      <c r="E61" s="85">
        <v>209.422944</v>
      </c>
      <c r="F61" s="85">
        <v>171.623254</v>
      </c>
      <c r="G61" s="85">
        <v>163.82753599999899</v>
      </c>
      <c r="H61" s="85">
        <v>190.42079000000001</v>
      </c>
      <c r="I61" s="85">
        <v>137.38303599999901</v>
      </c>
      <c r="J61" s="85">
        <v>148.31224499999999</v>
      </c>
      <c r="K61" s="85">
        <v>149.57460599999999</v>
      </c>
      <c r="L61" s="85">
        <v>162.498695</v>
      </c>
      <c r="M61" s="85">
        <v>174.970935999999</v>
      </c>
      <c r="N61" s="85">
        <v>198.915696999999</v>
      </c>
      <c r="O61" s="85">
        <v>2144.0453659999898</v>
      </c>
      <c r="P61" s="95">
        <v>1889.81519230769</v>
      </c>
      <c r="Q61" s="95">
        <v>221.025172</v>
      </c>
      <c r="R61" s="95">
        <v>216.07045499999899</v>
      </c>
      <c r="S61" s="95">
        <v>209.422944</v>
      </c>
      <c r="T61" s="95">
        <v>171.623254</v>
      </c>
      <c r="U61" s="95">
        <v>163.82753599999899</v>
      </c>
      <c r="V61" s="95">
        <v>190.42079000000001</v>
      </c>
      <c r="W61" s="95">
        <v>137.38303599999901</v>
      </c>
      <c r="X61" s="95">
        <v>148.24262200000001</v>
      </c>
      <c r="Y61" s="95">
        <v>149.57460599999999</v>
      </c>
      <c r="Z61" s="95">
        <v>162.498695</v>
      </c>
      <c r="AA61" s="95">
        <v>174.970935999999</v>
      </c>
      <c r="AB61" s="95">
        <v>198.85258399999901</v>
      </c>
      <c r="AC61" s="95">
        <v>2143.9126299999898</v>
      </c>
      <c r="AD61" s="93">
        <f t="shared" si="4"/>
        <v>818.14182499999902</v>
      </c>
    </row>
    <row r="62" spans="1:32" x14ac:dyDescent="0.15">
      <c r="A62" s="36" t="s">
        <v>176</v>
      </c>
      <c r="B62" s="36"/>
      <c r="C62" s="85">
        <f>SUM(C59:C61)</f>
        <v>1602.3562550000001</v>
      </c>
      <c r="D62" s="85">
        <f t="shared" ref="D62:O62" si="7">SUM(D59:D61)</f>
        <v>1775.786417999999</v>
      </c>
      <c r="E62" s="85">
        <f t="shared" si="7"/>
        <v>2133.2936770000001</v>
      </c>
      <c r="F62" s="85">
        <f t="shared" si="7"/>
        <v>1539.443534</v>
      </c>
      <c r="G62" s="85">
        <f t="shared" si="7"/>
        <v>936.46428999999796</v>
      </c>
      <c r="H62" s="85">
        <f t="shared" si="7"/>
        <v>694.97365799999898</v>
      </c>
      <c r="I62" s="85">
        <f t="shared" si="7"/>
        <v>466.05651499999908</v>
      </c>
      <c r="J62" s="85">
        <f t="shared" si="7"/>
        <v>501.96654299999796</v>
      </c>
      <c r="K62" s="85">
        <f t="shared" si="7"/>
        <v>586.77650200000005</v>
      </c>
      <c r="L62" s="85">
        <f t="shared" si="7"/>
        <v>757.20727499999998</v>
      </c>
      <c r="M62" s="85">
        <f t="shared" si="7"/>
        <v>1899.5417029999878</v>
      </c>
      <c r="N62" s="85">
        <f t="shared" si="7"/>
        <v>1983.2842329999889</v>
      </c>
      <c r="O62" s="85">
        <f t="shared" si="7"/>
        <v>14877.150602999971</v>
      </c>
    </row>
    <row r="63" spans="1:32" ht="21" customHeight="1" x14ac:dyDescent="0.15">
      <c r="A63" s="90" t="s">
        <v>204</v>
      </c>
      <c r="B63" s="90"/>
      <c r="C63" s="91"/>
      <c r="D63" s="91"/>
      <c r="E63" s="91"/>
      <c r="F63" s="92"/>
      <c r="G63" s="92">
        <v>544.56673418803405</v>
      </c>
      <c r="H63" s="92">
        <v>479.22993247863201</v>
      </c>
      <c r="I63" s="92">
        <v>317.58653504273502</v>
      </c>
      <c r="J63" s="92">
        <v>158.977687692308</v>
      </c>
      <c r="K63" s="92">
        <v>87.224564102564102</v>
      </c>
      <c r="L63" s="92">
        <v>17.030188034188001</v>
      </c>
      <c r="M63" s="92">
        <v>0</v>
      </c>
      <c r="N63" s="92">
        <v>0</v>
      </c>
      <c r="O63" s="92">
        <v>1604.6156415384601</v>
      </c>
    </row>
    <row r="64" spans="1:32" ht="21" customHeight="1" x14ac:dyDescent="0.15">
      <c r="A64" s="90" t="s">
        <v>205</v>
      </c>
      <c r="B64" s="90"/>
      <c r="C64" s="90"/>
      <c r="D64" s="90"/>
      <c r="E64" s="90"/>
      <c r="F64" s="92"/>
      <c r="G64" s="92">
        <v>720.46078119658102</v>
      </c>
      <c r="H64" s="92">
        <v>421.67363247863199</v>
      </c>
      <c r="I64" s="92">
        <v>266.015066666667</v>
      </c>
      <c r="J64" s="92">
        <v>214.24505982906001</v>
      </c>
      <c r="K64" s="92">
        <v>117.931846153846</v>
      </c>
      <c r="L64" s="92">
        <v>35.648683760683802</v>
      </c>
      <c r="M64" s="92">
        <v>0</v>
      </c>
      <c r="N64" s="92">
        <v>0</v>
      </c>
      <c r="O64" s="92">
        <v>1775.97507008547</v>
      </c>
      <c r="P64" s="78" t="s">
        <v>253</v>
      </c>
      <c r="Q64" s="78">
        <f>结算电量表!AC86-结算电量表!AC81</f>
        <v>2818.2475999999997</v>
      </c>
    </row>
    <row r="65" spans="1:29" x14ac:dyDescent="0.15">
      <c r="A65" s="90" t="s">
        <v>254</v>
      </c>
      <c r="B65" s="97"/>
      <c r="C65" s="92"/>
      <c r="D65" s="92"/>
      <c r="E65" s="92"/>
      <c r="F65" s="92"/>
      <c r="G65" s="92"/>
      <c r="H65" s="92"/>
      <c r="I65" s="92"/>
      <c r="J65" s="92"/>
      <c r="K65" s="92">
        <v>32.479999999999997</v>
      </c>
      <c r="L65" s="92">
        <v>26.67</v>
      </c>
      <c r="M65" s="92"/>
      <c r="N65" s="92"/>
      <c r="O65" s="92">
        <v>59.15</v>
      </c>
      <c r="Q65" s="78">
        <f>Q64*0.5/1.17</f>
        <v>1204.3793162393163</v>
      </c>
    </row>
    <row r="66" spans="1:29" x14ac:dyDescent="0.15">
      <c r="A66" s="98" t="s">
        <v>255</v>
      </c>
      <c r="B66" s="99"/>
      <c r="C66" s="100">
        <v>0</v>
      </c>
      <c r="D66" s="100">
        <v>0</v>
      </c>
      <c r="E66" s="100">
        <v>0</v>
      </c>
      <c r="F66" s="100">
        <v>0</v>
      </c>
      <c r="G66" s="100">
        <v>1265.0275153846201</v>
      </c>
      <c r="H66" s="100">
        <v>900.90356495726496</v>
      </c>
      <c r="I66" s="100">
        <v>583.60160170940196</v>
      </c>
      <c r="J66" s="100">
        <v>373.22274752136798</v>
      </c>
      <c r="K66" s="100">
        <v>237.63641025640999</v>
      </c>
      <c r="L66" s="100">
        <v>79.348871794871798</v>
      </c>
      <c r="M66" s="100">
        <v>0</v>
      </c>
      <c r="N66" s="100">
        <v>0</v>
      </c>
      <c r="O66" s="100">
        <v>3439.7407116239301</v>
      </c>
      <c r="Q66" s="93">
        <f>Q65+O51+O50</f>
        <v>8827.8732832393162</v>
      </c>
    </row>
    <row r="67" spans="1:29" x14ac:dyDescent="0.15">
      <c r="A67" s="101" t="s">
        <v>256</v>
      </c>
      <c r="B67" s="102"/>
      <c r="C67" s="103">
        <v>2808.9637499999999</v>
      </c>
      <c r="D67" s="103">
        <v>3178.0728939999999</v>
      </c>
      <c r="E67" s="103">
        <v>4349.7742209999997</v>
      </c>
      <c r="F67" s="103">
        <v>4969.8667569999998</v>
      </c>
      <c r="G67" s="103">
        <v>7650.5206483845996</v>
      </c>
      <c r="H67" s="103">
        <v>5334.2300799572604</v>
      </c>
      <c r="I67" s="103">
        <v>6054.8092207093996</v>
      </c>
      <c r="J67" s="103">
        <v>5916.7251785213502</v>
      </c>
      <c r="K67" s="103">
        <v>5096.6904652564099</v>
      </c>
      <c r="L67" s="103">
        <v>5080.95947079487</v>
      </c>
      <c r="M67" s="103">
        <v>4538.7743440000004</v>
      </c>
      <c r="N67" s="103">
        <v>5200.6773809999904</v>
      </c>
      <c r="O67" s="103">
        <v>60180.064410623898</v>
      </c>
      <c r="P67" s="109">
        <f>O67/B56</f>
        <v>1.0172435692896453</v>
      </c>
    </row>
    <row r="68" spans="1:29" ht="13.5" customHeight="1" x14ac:dyDescent="0.15"/>
    <row r="69" spans="1:29" x14ac:dyDescent="0.15">
      <c r="P69" s="93"/>
    </row>
    <row r="70" spans="1:29" ht="14.25" x14ac:dyDescent="0.15">
      <c r="A70" s="52"/>
      <c r="B70" s="53"/>
      <c r="C70" s="380" t="s">
        <v>120</v>
      </c>
      <c r="D70" s="380"/>
      <c r="E70" s="380"/>
      <c r="F70" s="380"/>
      <c r="G70" s="380"/>
      <c r="H70" s="380"/>
      <c r="I70" s="380"/>
      <c r="J70" s="380"/>
      <c r="K70" s="380"/>
      <c r="L70" s="380"/>
      <c r="M70" s="380"/>
      <c r="N70" s="380"/>
      <c r="O70" s="26"/>
      <c r="P70" s="383" t="s">
        <v>252</v>
      </c>
      <c r="Q70" s="383"/>
      <c r="R70" s="383"/>
      <c r="S70" s="383"/>
      <c r="T70" s="383"/>
      <c r="U70" s="383"/>
      <c r="V70" s="383"/>
      <c r="W70" s="383"/>
      <c r="X70" s="383"/>
      <c r="Y70" s="383"/>
      <c r="Z70" s="383"/>
      <c r="AA70" s="383"/>
      <c r="AB70" s="383"/>
      <c r="AC70" s="383"/>
    </row>
    <row r="71" spans="1:29" ht="14.25" x14ac:dyDescent="0.15">
      <c r="A71" s="53" t="s">
        <v>179</v>
      </c>
      <c r="B71" s="26" t="s">
        <v>0</v>
      </c>
      <c r="C71" s="30" t="s">
        <v>83</v>
      </c>
      <c r="D71" s="30" t="s">
        <v>84</v>
      </c>
      <c r="E71" s="30" t="s">
        <v>85</v>
      </c>
      <c r="F71" s="30" t="s">
        <v>86</v>
      </c>
      <c r="G71" s="30" t="s">
        <v>87</v>
      </c>
      <c r="H71" s="30" t="s">
        <v>88</v>
      </c>
      <c r="I71" s="30" t="s">
        <v>89</v>
      </c>
      <c r="J71" s="30" t="s">
        <v>90</v>
      </c>
      <c r="K71" s="30" t="s">
        <v>91</v>
      </c>
      <c r="L71" s="30" t="s">
        <v>92</v>
      </c>
      <c r="M71" s="30" t="s">
        <v>93</v>
      </c>
      <c r="N71" s="30" t="s">
        <v>94</v>
      </c>
      <c r="O71" s="44" t="s">
        <v>111</v>
      </c>
      <c r="P71" s="26" t="s">
        <v>0</v>
      </c>
      <c r="Q71" s="30" t="s">
        <v>83</v>
      </c>
      <c r="R71" s="30" t="s">
        <v>84</v>
      </c>
      <c r="S71" s="30" t="s">
        <v>85</v>
      </c>
      <c r="T71" s="30" t="s">
        <v>86</v>
      </c>
      <c r="U71" s="30" t="s">
        <v>87</v>
      </c>
      <c r="V71" s="30" t="s">
        <v>88</v>
      </c>
      <c r="W71" s="30" t="s">
        <v>89</v>
      </c>
      <c r="X71" s="30" t="s">
        <v>90</v>
      </c>
      <c r="Y71" s="30" t="s">
        <v>91</v>
      </c>
      <c r="Z71" s="30" t="s">
        <v>92</v>
      </c>
      <c r="AA71" s="30" t="s">
        <v>93</v>
      </c>
      <c r="AB71" s="30" t="s">
        <v>94</v>
      </c>
      <c r="AC71" s="44" t="s">
        <v>111</v>
      </c>
    </row>
    <row r="72" spans="1:29" x14ac:dyDescent="0.15">
      <c r="A72" s="36" t="s">
        <v>148</v>
      </c>
      <c r="B72" s="104">
        <f>白银!B3</f>
        <v>5981.1398938461498</v>
      </c>
      <c r="C72" s="104">
        <f>白银!C3</f>
        <v>574.29209300000002</v>
      </c>
      <c r="D72" s="104">
        <f>白银!D3</f>
        <v>607.63820999999996</v>
      </c>
      <c r="E72" s="104">
        <f>白银!E3</f>
        <v>713.48253299999999</v>
      </c>
      <c r="F72" s="104">
        <f>白银!F3</f>
        <v>738.77523599999995</v>
      </c>
      <c r="G72" s="104">
        <f>白银!G3</f>
        <v>0</v>
      </c>
      <c r="H72" s="104">
        <f>白银!H3</f>
        <v>0</v>
      </c>
      <c r="I72" s="104">
        <f>白银!I3</f>
        <v>0</v>
      </c>
      <c r="J72" s="104">
        <f>白银!J3</f>
        <v>0</v>
      </c>
      <c r="K72" s="104">
        <f>白银!K3</f>
        <v>0</v>
      </c>
      <c r="L72" s="104">
        <f>白银!L3</f>
        <v>0</v>
      </c>
      <c r="M72" s="104">
        <f>白银!M3</f>
        <v>0</v>
      </c>
      <c r="N72" s="104">
        <f>白银!N3</f>
        <v>0</v>
      </c>
      <c r="O72" s="110">
        <f>SUM(C72:N72)</f>
        <v>2634.1880719999999</v>
      </c>
      <c r="P72" s="95">
        <f>白银!B5</f>
        <v>5981.1398938461498</v>
      </c>
      <c r="Q72" s="95">
        <f>白银!C5</f>
        <v>574.29209300000002</v>
      </c>
      <c r="R72" s="95">
        <f>白银!D5</f>
        <v>607.63820999999996</v>
      </c>
      <c r="S72" s="95">
        <f>白银!E5</f>
        <v>713.48253299999999</v>
      </c>
      <c r="T72" s="95">
        <f>白银!F5</f>
        <v>738.77523599999995</v>
      </c>
      <c r="U72" s="95">
        <f>白银!G5</f>
        <v>0</v>
      </c>
      <c r="V72" s="95">
        <f>白银!H5</f>
        <v>0</v>
      </c>
      <c r="W72" s="95">
        <f>白银!I5</f>
        <v>0</v>
      </c>
      <c r="X72" s="95">
        <f>白银!J5</f>
        <v>0</v>
      </c>
      <c r="Y72" s="95">
        <f>白银!K5</f>
        <v>0</v>
      </c>
      <c r="Z72" s="95">
        <f>白银!L5</f>
        <v>0</v>
      </c>
      <c r="AA72" s="95">
        <f>白银!M5</f>
        <v>0</v>
      </c>
      <c r="AB72" s="95">
        <f>白银!N5</f>
        <v>0</v>
      </c>
      <c r="AC72" s="95">
        <f>SUM(Q72:AB72)</f>
        <v>2634.1880719999999</v>
      </c>
    </row>
    <row r="73" spans="1:29" x14ac:dyDescent="0.15">
      <c r="A73" s="36" t="s">
        <v>149</v>
      </c>
      <c r="B73" s="104">
        <f>酒一!B3</f>
        <v>5940</v>
      </c>
      <c r="C73" s="104">
        <f>酒一!C3</f>
        <v>494.09477199999998</v>
      </c>
      <c r="D73" s="104">
        <f>酒一!D3</f>
        <v>314.611289</v>
      </c>
      <c r="E73" s="104">
        <f>酒一!E3</f>
        <v>439.11761599999897</v>
      </c>
      <c r="F73" s="104">
        <f>酒一!F3</f>
        <v>492.495248</v>
      </c>
      <c r="G73" s="104">
        <f>酒一!G3</f>
        <v>0</v>
      </c>
      <c r="H73" s="104">
        <f>酒一!H3</f>
        <v>0</v>
      </c>
      <c r="I73" s="104">
        <f>酒一!I3</f>
        <v>0</v>
      </c>
      <c r="J73" s="104">
        <f>酒一!J3</f>
        <v>0</v>
      </c>
      <c r="K73" s="104">
        <f>酒一!K3</f>
        <v>0</v>
      </c>
      <c r="L73" s="104">
        <f>酒一!L3</f>
        <v>0</v>
      </c>
      <c r="M73" s="104">
        <f>酒一!M3</f>
        <v>0</v>
      </c>
      <c r="N73" s="104">
        <f>酒一!N3</f>
        <v>0</v>
      </c>
      <c r="O73" s="110">
        <f t="shared" ref="O73:O95" si="8">SUM(C73:N73)</f>
        <v>1740.3189249999989</v>
      </c>
      <c r="P73" s="95">
        <f>酒一!B5</f>
        <v>5940</v>
      </c>
      <c r="Q73" s="95">
        <f>酒一!C5</f>
        <v>494.09477199999998</v>
      </c>
      <c r="R73" s="95">
        <f>酒一!D5</f>
        <v>314.611289</v>
      </c>
      <c r="S73" s="95">
        <f>酒一!E5</f>
        <v>439.11761599999897</v>
      </c>
      <c r="T73" s="95">
        <f>酒一!F5</f>
        <v>492.495248</v>
      </c>
      <c r="U73" s="95">
        <f>酒一!G5</f>
        <v>0</v>
      </c>
      <c r="V73" s="95">
        <f>酒一!H5</f>
        <v>0</v>
      </c>
      <c r="W73" s="95">
        <f>酒一!I5</f>
        <v>0</v>
      </c>
      <c r="X73" s="95">
        <f>酒一!J5</f>
        <v>0</v>
      </c>
      <c r="Y73" s="95">
        <f>酒一!K5</f>
        <v>0</v>
      </c>
      <c r="Z73" s="95">
        <f>酒一!L5</f>
        <v>0</v>
      </c>
      <c r="AA73" s="95">
        <f>酒一!M5</f>
        <v>0</v>
      </c>
      <c r="AB73" s="95">
        <f>酒一!N5</f>
        <v>0</v>
      </c>
      <c r="AC73" s="95">
        <f t="shared" ref="AC73:AC87" si="9">SUM(Q73:AB73)</f>
        <v>1740.3189249999989</v>
      </c>
    </row>
    <row r="74" spans="1:29" x14ac:dyDescent="0.15">
      <c r="A74" s="36" t="s">
        <v>150</v>
      </c>
      <c r="B74" s="104">
        <f>酒二!B3</f>
        <v>10714.490769230801</v>
      </c>
      <c r="C74" s="104">
        <f>酒二!C3</f>
        <v>724.98089400000003</v>
      </c>
      <c r="D74" s="104">
        <f>酒二!D3</f>
        <v>559.77480500000001</v>
      </c>
      <c r="E74" s="104">
        <f>酒二!E3</f>
        <v>774.83779700000002</v>
      </c>
      <c r="F74" s="104">
        <f>酒二!F3</f>
        <v>988.47315000000003</v>
      </c>
      <c r="G74" s="104">
        <f>酒二!G3</f>
        <v>0</v>
      </c>
      <c r="H74" s="104">
        <f>酒二!H3</f>
        <v>0</v>
      </c>
      <c r="I74" s="104">
        <f>酒二!I3</f>
        <v>0</v>
      </c>
      <c r="J74" s="104">
        <f>酒二!J3</f>
        <v>0</v>
      </c>
      <c r="K74" s="104">
        <f>酒二!K3</f>
        <v>0</v>
      </c>
      <c r="L74" s="104">
        <f>酒二!L3</f>
        <v>0</v>
      </c>
      <c r="M74" s="104">
        <f>酒二!M3</f>
        <v>0</v>
      </c>
      <c r="N74" s="104">
        <f>酒二!N3</f>
        <v>0</v>
      </c>
      <c r="O74" s="110">
        <f t="shared" si="8"/>
        <v>3048.0666460000002</v>
      </c>
      <c r="P74" s="95">
        <f>酒二!B5</f>
        <v>10714.490769230801</v>
      </c>
      <c r="Q74" s="95">
        <f>酒二!C5</f>
        <v>724.98089400000003</v>
      </c>
      <c r="R74" s="95">
        <f>酒二!D5</f>
        <v>559.77480500000001</v>
      </c>
      <c r="S74" s="95">
        <f>酒二!E5</f>
        <v>774.83779700000002</v>
      </c>
      <c r="T74" s="95">
        <f>酒二!F5</f>
        <v>988.47315000000003</v>
      </c>
      <c r="U74" s="95">
        <f>酒二!G5</f>
        <v>0</v>
      </c>
      <c r="V74" s="95">
        <f>酒二!H5</f>
        <v>0</v>
      </c>
      <c r="W74" s="95">
        <f>酒二!I5</f>
        <v>0</v>
      </c>
      <c r="X74" s="95">
        <f>酒二!J5</f>
        <v>0</v>
      </c>
      <c r="Y74" s="95">
        <f>酒二!K5</f>
        <v>0</v>
      </c>
      <c r="Z74" s="95">
        <f>酒二!L5</f>
        <v>0</v>
      </c>
      <c r="AA74" s="95">
        <f>酒二!M5</f>
        <v>0</v>
      </c>
      <c r="AB74" s="95">
        <f>酒二!N5</f>
        <v>0</v>
      </c>
      <c r="AC74" s="95">
        <f t="shared" si="9"/>
        <v>3048.0666460000002</v>
      </c>
    </row>
    <row r="75" spans="1:29" x14ac:dyDescent="0.15">
      <c r="A75" s="36" t="s">
        <v>151</v>
      </c>
      <c r="B75" s="104">
        <f>青海!B3</f>
        <v>9577.1979487179506</v>
      </c>
      <c r="C75" s="104">
        <f>青海!C3</f>
        <v>680.75964399999998</v>
      </c>
      <c r="D75" s="104">
        <f>青海!D3</f>
        <v>869.01808700000004</v>
      </c>
      <c r="E75" s="104">
        <f>青海!E3</f>
        <v>686.75865999999996</v>
      </c>
      <c r="F75" s="104">
        <f>青海!F3</f>
        <v>1216.628788</v>
      </c>
      <c r="G75" s="104">
        <f>青海!G3</f>
        <v>0</v>
      </c>
      <c r="H75" s="104">
        <f>青海!H3</f>
        <v>0</v>
      </c>
      <c r="I75" s="104">
        <f>青海!I3</f>
        <v>0</v>
      </c>
      <c r="J75" s="104">
        <f>青海!J3</f>
        <v>0</v>
      </c>
      <c r="K75" s="104">
        <f>青海!K3</f>
        <v>0</v>
      </c>
      <c r="L75" s="104">
        <f>青海!L3</f>
        <v>0</v>
      </c>
      <c r="M75" s="104">
        <f>青海!M3</f>
        <v>0</v>
      </c>
      <c r="N75" s="104">
        <f>青海!N3</f>
        <v>0</v>
      </c>
      <c r="O75" s="110">
        <f t="shared" si="8"/>
        <v>3453.1651790000001</v>
      </c>
      <c r="P75" s="95">
        <f>青海!B5</f>
        <v>9577.1979487179506</v>
      </c>
      <c r="Q75" s="95">
        <f>青海!C5</f>
        <v>680.75964399999998</v>
      </c>
      <c r="R75" s="95">
        <f>青海!D5</f>
        <v>869.01808700000004</v>
      </c>
      <c r="S75" s="95">
        <f>青海!E5</f>
        <v>686.75865999999996</v>
      </c>
      <c r="T75" s="95">
        <f>青海!F5</f>
        <v>1216.628788</v>
      </c>
      <c r="U75" s="95">
        <f>青海!G5</f>
        <v>0</v>
      </c>
      <c r="V75" s="95">
        <f>青海!H5</f>
        <v>0</v>
      </c>
      <c r="W75" s="95">
        <f>青海!I5</f>
        <v>0</v>
      </c>
      <c r="X75" s="95">
        <f>青海!J5</f>
        <v>0</v>
      </c>
      <c r="Y75" s="95">
        <f>青海!K5</f>
        <v>0</v>
      </c>
      <c r="Z75" s="95">
        <f>青海!L5</f>
        <v>0</v>
      </c>
      <c r="AA75" s="95">
        <f>青海!M5</f>
        <v>0</v>
      </c>
      <c r="AB75" s="95">
        <f>青海!N5</f>
        <v>0</v>
      </c>
      <c r="AC75" s="95">
        <f t="shared" si="9"/>
        <v>3453.1651790000001</v>
      </c>
    </row>
    <row r="76" spans="1:29" x14ac:dyDescent="0.15">
      <c r="A76" s="36" t="s">
        <v>152</v>
      </c>
      <c r="B76" s="104">
        <f>哈密!B3</f>
        <v>21754.090612957269</v>
      </c>
      <c r="C76" s="104">
        <f>哈密!C3</f>
        <v>2520.9866269999902</v>
      </c>
      <c r="D76" s="104">
        <f>哈密!D3</f>
        <v>1052.2324610000001</v>
      </c>
      <c r="E76" s="104">
        <f>哈密!E3</f>
        <v>2560.2786689999998</v>
      </c>
      <c r="F76" s="104">
        <f>哈密!F3</f>
        <v>2420.1347059999898</v>
      </c>
      <c r="G76" s="104">
        <f>哈密!G3</f>
        <v>0</v>
      </c>
      <c r="H76" s="104">
        <f>哈密!H3</f>
        <v>0</v>
      </c>
      <c r="I76" s="104">
        <f>哈密!I3</f>
        <v>0</v>
      </c>
      <c r="J76" s="104">
        <f>哈密!J3</f>
        <v>0</v>
      </c>
      <c r="K76" s="104">
        <f>哈密!K3</f>
        <v>0</v>
      </c>
      <c r="L76" s="104">
        <f>哈密!L3</f>
        <v>0</v>
      </c>
      <c r="M76" s="104">
        <f>哈密!M3</f>
        <v>0</v>
      </c>
      <c r="N76" s="104">
        <f>哈密!N3</f>
        <v>0</v>
      </c>
      <c r="O76" s="110">
        <f t="shared" si="8"/>
        <v>8553.6324629999799</v>
      </c>
      <c r="P76" s="95">
        <f>哈密!B5</f>
        <v>21250.74061295727</v>
      </c>
      <c r="Q76" s="95">
        <f>哈密!C5</f>
        <v>2520.9866269999902</v>
      </c>
      <c r="R76" s="95">
        <f>哈密!D5</f>
        <v>1052.2324610000001</v>
      </c>
      <c r="S76" s="95">
        <f>哈密!E5</f>
        <v>2491.59843399999</v>
      </c>
      <c r="T76" s="95">
        <f>哈密!F5</f>
        <v>2420.1347059999898</v>
      </c>
      <c r="U76" s="95">
        <f>哈密!G5</f>
        <v>0</v>
      </c>
      <c r="V76" s="95">
        <f>哈密!H5</f>
        <v>0</v>
      </c>
      <c r="W76" s="95">
        <f>哈密!I5</f>
        <v>0</v>
      </c>
      <c r="X76" s="95">
        <f>哈密!J5</f>
        <v>0</v>
      </c>
      <c r="Y76" s="95">
        <f>哈密!K5</f>
        <v>0</v>
      </c>
      <c r="Z76" s="95">
        <f>哈密!L5</f>
        <v>0</v>
      </c>
      <c r="AA76" s="95">
        <f>哈密!M5</f>
        <v>0</v>
      </c>
      <c r="AB76" s="95">
        <f>哈密!N5</f>
        <v>0</v>
      </c>
      <c r="AC76" s="95">
        <f t="shared" si="9"/>
        <v>8484.9522279999692</v>
      </c>
    </row>
    <row r="77" spans="1:29" x14ac:dyDescent="0.15">
      <c r="A77" s="36" t="s">
        <v>153</v>
      </c>
      <c r="B77" s="104">
        <f>三塘湖!B3</f>
        <v>3808.0471667179499</v>
      </c>
      <c r="C77" s="104">
        <f>三塘湖!C3</f>
        <v>434.34949699999999</v>
      </c>
      <c r="D77" s="104">
        <f>三塘湖!D3</f>
        <v>305.79898400000002</v>
      </c>
      <c r="E77" s="104">
        <f>三塘湖!E3</f>
        <v>424.972872</v>
      </c>
      <c r="F77" s="104">
        <f>三塘湖!F3</f>
        <v>359.03402</v>
      </c>
      <c r="G77" s="104">
        <f>三塘湖!G3</f>
        <v>0</v>
      </c>
      <c r="H77" s="104">
        <f>三塘湖!H3</f>
        <v>0</v>
      </c>
      <c r="I77" s="104">
        <f>三塘湖!I3</f>
        <v>0</v>
      </c>
      <c r="J77" s="104">
        <f>三塘湖!J3</f>
        <v>0</v>
      </c>
      <c r="K77" s="104">
        <f>三塘湖!K3</f>
        <v>0</v>
      </c>
      <c r="L77" s="104">
        <f>三塘湖!L3</f>
        <v>0</v>
      </c>
      <c r="M77" s="104">
        <f>三塘湖!M3</f>
        <v>0</v>
      </c>
      <c r="N77" s="104">
        <f>三塘湖!N3</f>
        <v>0</v>
      </c>
      <c r="O77" s="110">
        <f t="shared" si="8"/>
        <v>1524.1553730000001</v>
      </c>
      <c r="P77" s="95">
        <f>三塘湖!B5</f>
        <v>3808.0471667179499</v>
      </c>
      <c r="Q77" s="95">
        <f>三塘湖!C5</f>
        <v>434.34949699999999</v>
      </c>
      <c r="R77" s="95">
        <f>三塘湖!D5</f>
        <v>305.79898400000002</v>
      </c>
      <c r="S77" s="95">
        <f>三塘湖!E5</f>
        <v>424.972872</v>
      </c>
      <c r="T77" s="95">
        <f>三塘湖!F5</f>
        <v>359.03402</v>
      </c>
      <c r="U77" s="95">
        <f>三塘湖!G5</f>
        <v>0</v>
      </c>
      <c r="V77" s="95">
        <f>三塘湖!H5</f>
        <v>0</v>
      </c>
      <c r="W77" s="95">
        <f>三塘湖!I5</f>
        <v>0</v>
      </c>
      <c r="X77" s="95">
        <f>三塘湖!J5</f>
        <v>0</v>
      </c>
      <c r="Y77" s="95">
        <f>三塘湖!K5</f>
        <v>0</v>
      </c>
      <c r="Z77" s="95">
        <f>三塘湖!L5</f>
        <v>0</v>
      </c>
      <c r="AA77" s="95">
        <f>三塘湖!M5</f>
        <v>0</v>
      </c>
      <c r="AB77" s="95">
        <f>三塘湖!N5</f>
        <v>0</v>
      </c>
      <c r="AC77" s="95">
        <f t="shared" si="9"/>
        <v>1524.1553730000001</v>
      </c>
    </row>
    <row r="78" spans="1:29" x14ac:dyDescent="0.15">
      <c r="A78" s="36" t="s">
        <v>154</v>
      </c>
      <c r="B78" s="104">
        <f>淖毛湖!B3</f>
        <v>2718.2228616239299</v>
      </c>
      <c r="C78" s="104">
        <f>淖毛湖!C3</f>
        <v>60.150641</v>
      </c>
      <c r="D78" s="104">
        <f>淖毛湖!D3</f>
        <v>66.165705000000003</v>
      </c>
      <c r="E78" s="104">
        <f>淖毛湖!E3</f>
        <v>218.81623500000001</v>
      </c>
      <c r="F78" s="104">
        <f>淖毛湖!F3</f>
        <v>240.12135799999999</v>
      </c>
      <c r="G78" s="104">
        <f>淖毛湖!G3</f>
        <v>0</v>
      </c>
      <c r="H78" s="104">
        <f>淖毛湖!H3</f>
        <v>0</v>
      </c>
      <c r="I78" s="104">
        <f>淖毛湖!I3</f>
        <v>0</v>
      </c>
      <c r="J78" s="104">
        <f>淖毛湖!J3</f>
        <v>0</v>
      </c>
      <c r="K78" s="104">
        <f>淖毛湖!K3</f>
        <v>0</v>
      </c>
      <c r="L78" s="104">
        <f>淖毛湖!L3</f>
        <v>0</v>
      </c>
      <c r="M78" s="104">
        <f>淖毛湖!M3</f>
        <v>0</v>
      </c>
      <c r="N78" s="104">
        <f>淖毛湖!N3</f>
        <v>0</v>
      </c>
      <c r="O78" s="110">
        <f t="shared" si="8"/>
        <v>585.25393899999995</v>
      </c>
      <c r="P78" s="95">
        <f>淖毛湖!B5</f>
        <v>2214.87286162393</v>
      </c>
      <c r="Q78" s="95">
        <f>淖毛湖!C5</f>
        <v>60.150641</v>
      </c>
      <c r="R78" s="95">
        <f>淖毛湖!D5</f>
        <v>66.165705000000003</v>
      </c>
      <c r="S78" s="95">
        <f>淖毛湖!E5</f>
        <v>150.136</v>
      </c>
      <c r="T78" s="95">
        <f>淖毛湖!F5</f>
        <v>240.12135799999999</v>
      </c>
      <c r="U78" s="95">
        <f>淖毛湖!G5</f>
        <v>0</v>
      </c>
      <c r="V78" s="95">
        <f>淖毛湖!H5</f>
        <v>0</v>
      </c>
      <c r="W78" s="95">
        <f>淖毛湖!I5</f>
        <v>0</v>
      </c>
      <c r="X78" s="95">
        <f>淖毛湖!J5</f>
        <v>0</v>
      </c>
      <c r="Y78" s="95">
        <f>淖毛湖!K5</f>
        <v>0</v>
      </c>
      <c r="Z78" s="95">
        <f>淖毛湖!L5</f>
        <v>0</v>
      </c>
      <c r="AA78" s="95">
        <f>淖毛湖!M5</f>
        <v>0</v>
      </c>
      <c r="AB78" s="95">
        <f>淖毛湖!N5</f>
        <v>0</v>
      </c>
      <c r="AC78" s="95">
        <f t="shared" si="9"/>
        <v>516.57370400000002</v>
      </c>
    </row>
    <row r="79" spans="1:29" x14ac:dyDescent="0.15">
      <c r="A79" s="36" t="s">
        <v>155</v>
      </c>
      <c r="B79" s="104">
        <f>景峡!B3</f>
        <v>7600.05230769231</v>
      </c>
      <c r="C79" s="104">
        <f>景峡!C3</f>
        <v>1050.709658</v>
      </c>
      <c r="D79" s="104">
        <f>景峡!D3</f>
        <v>317.15416199999999</v>
      </c>
      <c r="E79" s="104">
        <f>景峡!E3</f>
        <v>1037.970106</v>
      </c>
      <c r="F79" s="104">
        <f>景峡!F3</f>
        <v>934.59774800000002</v>
      </c>
      <c r="G79" s="104">
        <f>景峡!G3</f>
        <v>0</v>
      </c>
      <c r="H79" s="104">
        <f>景峡!H3</f>
        <v>0</v>
      </c>
      <c r="I79" s="104">
        <f>景峡!I3</f>
        <v>0</v>
      </c>
      <c r="J79" s="104">
        <f>景峡!J3</f>
        <v>0</v>
      </c>
      <c r="K79" s="104">
        <f>景峡!K3</f>
        <v>0</v>
      </c>
      <c r="L79" s="104">
        <f>景峡!L3</f>
        <v>0</v>
      </c>
      <c r="M79" s="104">
        <f>景峡!M3</f>
        <v>0</v>
      </c>
      <c r="N79" s="104">
        <f>景峡!N3</f>
        <v>0</v>
      </c>
      <c r="O79" s="110">
        <f t="shared" si="8"/>
        <v>3340.4316740000004</v>
      </c>
      <c r="P79" s="95">
        <f>景峡!B5</f>
        <v>7600.05230769231</v>
      </c>
      <c r="Q79" s="95">
        <f>景峡!C5</f>
        <v>1050.709658</v>
      </c>
      <c r="R79" s="95">
        <f>景峡!D5</f>
        <v>317.15416199999999</v>
      </c>
      <c r="S79" s="95">
        <f>景峡!E5</f>
        <v>1037.970106</v>
      </c>
      <c r="T79" s="95">
        <f>景峡!F5</f>
        <v>934.59774800000002</v>
      </c>
      <c r="U79" s="95">
        <f>景峡!G5</f>
        <v>0</v>
      </c>
      <c r="V79" s="95">
        <f>景峡!H5</f>
        <v>0</v>
      </c>
      <c r="W79" s="95">
        <f>景峡!I5</f>
        <v>0</v>
      </c>
      <c r="X79" s="95">
        <f>景峡!J5</f>
        <v>0</v>
      </c>
      <c r="Y79" s="95">
        <f>景峡!K5</f>
        <v>0</v>
      </c>
      <c r="Z79" s="95">
        <f>景峡!L5</f>
        <v>0</v>
      </c>
      <c r="AA79" s="95">
        <f>景峡!M5</f>
        <v>0</v>
      </c>
      <c r="AB79" s="95">
        <f>景峡!N5</f>
        <v>0</v>
      </c>
      <c r="AC79" s="95">
        <f t="shared" si="9"/>
        <v>3340.4316740000004</v>
      </c>
    </row>
    <row r="80" spans="1:29" x14ac:dyDescent="0.15">
      <c r="A80" s="36" t="s">
        <v>156</v>
      </c>
      <c r="B80" s="104">
        <f>烟墩!B3</f>
        <v>7627.7682769230796</v>
      </c>
      <c r="C80" s="104">
        <f>烟墩!C3</f>
        <v>975.77683100000002</v>
      </c>
      <c r="D80" s="104">
        <f>烟墩!D3</f>
        <v>363.11360999999999</v>
      </c>
      <c r="E80" s="104">
        <f>烟墩!E3</f>
        <v>878.51945599999999</v>
      </c>
      <c r="F80" s="104">
        <f>烟墩!F3</f>
        <v>886.38157999999999</v>
      </c>
      <c r="G80" s="104">
        <f>烟墩!G3</f>
        <v>0</v>
      </c>
      <c r="H80" s="104">
        <f>烟墩!H3</f>
        <v>0</v>
      </c>
      <c r="I80" s="104">
        <f>烟墩!I3</f>
        <v>0</v>
      </c>
      <c r="J80" s="104">
        <f>烟墩!J3</f>
        <v>0</v>
      </c>
      <c r="K80" s="104">
        <f>烟墩!K3</f>
        <v>0</v>
      </c>
      <c r="L80" s="104">
        <f>烟墩!L3</f>
        <v>0</v>
      </c>
      <c r="M80" s="104">
        <f>烟墩!M3</f>
        <v>0</v>
      </c>
      <c r="N80" s="104">
        <f>烟墩!N3</f>
        <v>0</v>
      </c>
      <c r="O80" s="110">
        <f t="shared" si="8"/>
        <v>3103.7914769999998</v>
      </c>
      <c r="P80" s="95">
        <f>烟墩!B5</f>
        <v>7627.7682769230796</v>
      </c>
      <c r="Q80" s="95">
        <f>烟墩!C5</f>
        <v>975.77683100000002</v>
      </c>
      <c r="R80" s="95">
        <f>烟墩!D5</f>
        <v>363.11360999999999</v>
      </c>
      <c r="S80" s="95">
        <f>烟墩!E5</f>
        <v>878.51945599999999</v>
      </c>
      <c r="T80" s="95">
        <f>烟墩!F5</f>
        <v>886.38157999999999</v>
      </c>
      <c r="U80" s="95">
        <f>烟墩!G5</f>
        <v>0</v>
      </c>
      <c r="V80" s="95">
        <f>烟墩!H5</f>
        <v>0</v>
      </c>
      <c r="W80" s="95">
        <f>烟墩!I5</f>
        <v>0</v>
      </c>
      <c r="X80" s="95">
        <f>烟墩!J5</f>
        <v>0</v>
      </c>
      <c r="Y80" s="95">
        <f>烟墩!K5</f>
        <v>0</v>
      </c>
      <c r="Z80" s="95">
        <f>烟墩!L5</f>
        <v>0</v>
      </c>
      <c r="AA80" s="95">
        <f>烟墩!M5</f>
        <v>0</v>
      </c>
      <c r="AB80" s="95">
        <f>烟墩!N5</f>
        <v>0</v>
      </c>
      <c r="AC80" s="95">
        <f t="shared" si="9"/>
        <v>3103.7914769999998</v>
      </c>
    </row>
    <row r="81" spans="1:29" x14ac:dyDescent="0.15">
      <c r="A81" s="36" t="s">
        <v>157</v>
      </c>
      <c r="B81" s="104">
        <f>吐鲁番!B3</f>
        <v>3400.4480471500001</v>
      </c>
      <c r="C81" s="104">
        <f>吐鲁番!C3</f>
        <v>126.07595000000001</v>
      </c>
      <c r="D81" s="104">
        <f>吐鲁番!D3</f>
        <v>119.036300999999</v>
      </c>
      <c r="E81" s="104">
        <f>吐鲁番!E3</f>
        <v>259.94865299999998</v>
      </c>
      <c r="F81" s="104">
        <f>吐鲁番!F3</f>
        <v>320.92321500000003</v>
      </c>
      <c r="G81" s="104">
        <f>吐鲁番!G3</f>
        <v>0</v>
      </c>
      <c r="H81" s="104">
        <f>吐鲁番!H3</f>
        <v>0</v>
      </c>
      <c r="I81" s="104">
        <f>吐鲁番!I3</f>
        <v>0</v>
      </c>
      <c r="J81" s="104">
        <f>吐鲁番!J3</f>
        <v>0</v>
      </c>
      <c r="K81" s="104">
        <f>吐鲁番!K3</f>
        <v>0</v>
      </c>
      <c r="L81" s="104">
        <f>吐鲁番!L3</f>
        <v>0</v>
      </c>
      <c r="M81" s="104">
        <f>吐鲁番!M3</f>
        <v>0</v>
      </c>
      <c r="N81" s="104">
        <f>吐鲁番!N3</f>
        <v>0</v>
      </c>
      <c r="O81" s="110">
        <f t="shared" si="8"/>
        <v>825.98411899999905</v>
      </c>
      <c r="P81" s="95">
        <f>吐鲁番!B5</f>
        <v>3400.4480471500001</v>
      </c>
      <c r="Q81" s="95">
        <f>吐鲁番!C5</f>
        <v>126.07595000000001</v>
      </c>
      <c r="R81" s="95">
        <f>吐鲁番!D5</f>
        <v>119.036300999999</v>
      </c>
      <c r="S81" s="95">
        <f>吐鲁番!E5</f>
        <v>259.94865299999998</v>
      </c>
      <c r="T81" s="95">
        <f>吐鲁番!F5</f>
        <v>320.92321500000003</v>
      </c>
      <c r="U81" s="95">
        <f>吐鲁番!G5</f>
        <v>0</v>
      </c>
      <c r="V81" s="95">
        <f>吐鲁番!H5</f>
        <v>0</v>
      </c>
      <c r="W81" s="95">
        <f>吐鲁番!I5</f>
        <v>0</v>
      </c>
      <c r="X81" s="95">
        <f>吐鲁番!J5</f>
        <v>0</v>
      </c>
      <c r="Y81" s="95">
        <f>吐鲁番!K5</f>
        <v>0</v>
      </c>
      <c r="Z81" s="95">
        <f>吐鲁番!L5</f>
        <v>0</v>
      </c>
      <c r="AA81" s="95">
        <f>吐鲁番!M5</f>
        <v>0</v>
      </c>
      <c r="AB81" s="95">
        <f>吐鲁番!N5</f>
        <v>0</v>
      </c>
      <c r="AC81" s="95">
        <f t="shared" si="9"/>
        <v>825.98411899999905</v>
      </c>
    </row>
    <row r="82" spans="1:29" x14ac:dyDescent="0.15">
      <c r="A82" s="36" t="s">
        <v>158</v>
      </c>
      <c r="B82" s="104">
        <f>敦煌!B3</f>
        <v>3435.5336153846201</v>
      </c>
      <c r="C82" s="104">
        <f>敦煌!C3</f>
        <v>250.47741400000001</v>
      </c>
      <c r="D82" s="104">
        <f>敦煌!D3</f>
        <v>309.14243199999999</v>
      </c>
      <c r="E82" s="104">
        <f>敦煌!E3</f>
        <v>362.594335</v>
      </c>
      <c r="F82" s="104">
        <f>敦煌!F3</f>
        <v>248.35813099999899</v>
      </c>
      <c r="G82" s="104">
        <f>敦煌!G3</f>
        <v>0</v>
      </c>
      <c r="H82" s="104">
        <f>敦煌!H3</f>
        <v>0</v>
      </c>
      <c r="I82" s="104">
        <f>敦煌!I3</f>
        <v>0</v>
      </c>
      <c r="J82" s="104">
        <f>敦煌!J3</f>
        <v>0</v>
      </c>
      <c r="K82" s="104">
        <f>敦煌!K3</f>
        <v>0</v>
      </c>
      <c r="L82" s="104">
        <f>敦煌!L3</f>
        <v>0</v>
      </c>
      <c r="M82" s="104">
        <f>敦煌!M3</f>
        <v>0</v>
      </c>
      <c r="N82" s="104">
        <f>敦煌!N3</f>
        <v>0</v>
      </c>
      <c r="O82" s="110">
        <f t="shared" si="8"/>
        <v>1170.5723119999991</v>
      </c>
      <c r="P82" s="95">
        <f>敦煌!B5</f>
        <v>3435.5336153846201</v>
      </c>
      <c r="Q82" s="95">
        <f>敦煌!C5</f>
        <v>250.47741400000001</v>
      </c>
      <c r="R82" s="95">
        <f>敦煌!D5</f>
        <v>309.14243199999999</v>
      </c>
      <c r="S82" s="95">
        <f>敦煌!E5</f>
        <v>362.594335</v>
      </c>
      <c r="T82" s="95">
        <f>敦煌!F5</f>
        <v>248.35813099999899</v>
      </c>
      <c r="U82" s="95">
        <f>敦煌!G5</f>
        <v>0</v>
      </c>
      <c r="V82" s="95">
        <f>敦煌!H5</f>
        <v>0</v>
      </c>
      <c r="W82" s="95">
        <f>敦煌!I5</f>
        <v>0</v>
      </c>
      <c r="X82" s="95">
        <f>敦煌!J5</f>
        <v>0</v>
      </c>
      <c r="Y82" s="95">
        <f>敦煌!K5</f>
        <v>0</v>
      </c>
      <c r="Z82" s="95">
        <f>敦煌!L5</f>
        <v>0</v>
      </c>
      <c r="AA82" s="95">
        <f>敦煌!M5</f>
        <v>0</v>
      </c>
      <c r="AB82" s="95">
        <f>敦煌!N5</f>
        <v>0</v>
      </c>
      <c r="AC82" s="95">
        <f t="shared" si="9"/>
        <v>1170.5723119999991</v>
      </c>
    </row>
    <row r="83" spans="1:29" x14ac:dyDescent="0.15">
      <c r="A83" s="36" t="s">
        <v>159</v>
      </c>
      <c r="B83" s="104">
        <f>格尔木!B3</f>
        <v>7076.30933333333</v>
      </c>
      <c r="C83" s="104">
        <f>格尔木!C3</f>
        <v>529.70098899999903</v>
      </c>
      <c r="D83" s="104">
        <f>格尔木!D3</f>
        <v>614.67724899999996</v>
      </c>
      <c r="E83" s="104">
        <f>格尔木!E3</f>
        <v>673.06985699999905</v>
      </c>
      <c r="F83" s="104">
        <f>格尔木!F3</f>
        <v>765.69357600000001</v>
      </c>
      <c r="G83" s="104">
        <f>格尔木!G3</f>
        <v>0</v>
      </c>
      <c r="H83" s="104">
        <f>格尔木!H3</f>
        <v>0</v>
      </c>
      <c r="I83" s="104">
        <f>格尔木!I3</f>
        <v>0</v>
      </c>
      <c r="J83" s="104">
        <f>格尔木!J3</f>
        <v>0</v>
      </c>
      <c r="K83" s="104">
        <f>格尔木!K3</f>
        <v>0</v>
      </c>
      <c r="L83" s="104">
        <f>格尔木!L3</f>
        <v>0</v>
      </c>
      <c r="M83" s="104">
        <f>格尔木!M3</f>
        <v>0</v>
      </c>
      <c r="N83" s="104">
        <f>格尔木!N3</f>
        <v>0</v>
      </c>
      <c r="O83" s="110">
        <f t="shared" si="8"/>
        <v>2583.141670999998</v>
      </c>
      <c r="P83" s="95">
        <f>格尔木!B5</f>
        <v>7076.30933333333</v>
      </c>
      <c r="Q83" s="95">
        <f>格尔木!C5</f>
        <v>529.70098899999903</v>
      </c>
      <c r="R83" s="95">
        <f>格尔木!D5</f>
        <v>614.67724899999996</v>
      </c>
      <c r="S83" s="95">
        <f>格尔木!E5</f>
        <v>673.06985699999905</v>
      </c>
      <c r="T83" s="95">
        <f>格尔木!F5</f>
        <v>765.69357600000001</v>
      </c>
      <c r="U83" s="95">
        <f>格尔木!G5</f>
        <v>0</v>
      </c>
      <c r="V83" s="95">
        <f>格尔木!H5</f>
        <v>0</v>
      </c>
      <c r="W83" s="95">
        <f>格尔木!I5</f>
        <v>0</v>
      </c>
      <c r="X83" s="95">
        <f>格尔木!J5</f>
        <v>0</v>
      </c>
      <c r="Y83" s="95">
        <f>格尔木!K5</f>
        <v>0</v>
      </c>
      <c r="Z83" s="95">
        <f>格尔木!L5</f>
        <v>0</v>
      </c>
      <c r="AA83" s="95">
        <f>格尔木!M5</f>
        <v>0</v>
      </c>
      <c r="AB83" s="95">
        <f>格尔木!N5</f>
        <v>0</v>
      </c>
      <c r="AC83" s="95">
        <f t="shared" si="9"/>
        <v>2583.141670999998</v>
      </c>
    </row>
    <row r="84" spans="1:29" x14ac:dyDescent="0.15">
      <c r="A84" s="36" t="s">
        <v>160</v>
      </c>
      <c r="B84" s="104">
        <f>石嘴山!B3</f>
        <v>3464.4084230769199</v>
      </c>
      <c r="C84" s="104">
        <f>石嘴山!C3</f>
        <v>275.881013</v>
      </c>
      <c r="D84" s="104">
        <f>石嘴山!D3</f>
        <v>287.24142699999999</v>
      </c>
      <c r="E84" s="104">
        <f>石嘴山!E3</f>
        <v>355.65563100000003</v>
      </c>
      <c r="F84" s="104">
        <f>石嘴山!F3</f>
        <v>349.186173</v>
      </c>
      <c r="G84" s="104">
        <f>石嘴山!G3</f>
        <v>0</v>
      </c>
      <c r="H84" s="104">
        <f>石嘴山!H3</f>
        <v>0</v>
      </c>
      <c r="I84" s="104">
        <f>石嘴山!I3</f>
        <v>0</v>
      </c>
      <c r="J84" s="104">
        <f>石嘴山!J3</f>
        <v>0</v>
      </c>
      <c r="K84" s="104">
        <f>石嘴山!K3</f>
        <v>0</v>
      </c>
      <c r="L84" s="104">
        <f>石嘴山!L3</f>
        <v>0</v>
      </c>
      <c r="M84" s="104">
        <f>石嘴山!M3</f>
        <v>0</v>
      </c>
      <c r="N84" s="104">
        <f>石嘴山!N3</f>
        <v>0</v>
      </c>
      <c r="O84" s="110">
        <f t="shared" si="8"/>
        <v>1267.964244</v>
      </c>
      <c r="P84" s="95">
        <f>石嘴山!B5</f>
        <v>3464.4084230769199</v>
      </c>
      <c r="Q84" s="95">
        <f>石嘴山!C5</f>
        <v>275.881013</v>
      </c>
      <c r="R84" s="95">
        <f>石嘴山!D5</f>
        <v>287.24142699999999</v>
      </c>
      <c r="S84" s="95">
        <f>石嘴山!E5</f>
        <v>355.65563100000003</v>
      </c>
      <c r="T84" s="95">
        <f>石嘴山!F5</f>
        <v>349.186173</v>
      </c>
      <c r="U84" s="95">
        <f>石嘴山!G5</f>
        <v>0</v>
      </c>
      <c r="V84" s="95">
        <f>石嘴山!H5</f>
        <v>0</v>
      </c>
      <c r="W84" s="95">
        <f>石嘴山!I5</f>
        <v>0</v>
      </c>
      <c r="X84" s="95">
        <f>石嘴山!J5</f>
        <v>0</v>
      </c>
      <c r="Y84" s="95">
        <f>石嘴山!K5</f>
        <v>0</v>
      </c>
      <c r="Z84" s="95">
        <f>石嘴山!L5</f>
        <v>0</v>
      </c>
      <c r="AA84" s="95">
        <f>石嘴山!M5</f>
        <v>0</v>
      </c>
      <c r="AB84" s="95">
        <f>石嘴山!N5</f>
        <v>0</v>
      </c>
      <c r="AC84" s="95">
        <f t="shared" si="9"/>
        <v>1267.964244</v>
      </c>
    </row>
    <row r="85" spans="1:29" x14ac:dyDescent="0.15">
      <c r="A85" s="73" t="s">
        <v>176</v>
      </c>
      <c r="B85" s="105">
        <f>SUM(B72:B76,B81:B84)</f>
        <v>71343.618643697046</v>
      </c>
      <c r="C85" s="105">
        <f t="shared" ref="C85:N85" si="10">SUM(C72:C76,C81:C84)</f>
        <v>6177.2493959999892</v>
      </c>
      <c r="D85" s="105">
        <f t="shared" si="10"/>
        <v>4733.3722609999995</v>
      </c>
      <c r="E85" s="105">
        <f t="shared" si="10"/>
        <v>6825.7437509999982</v>
      </c>
      <c r="F85" s="105">
        <f t="shared" si="10"/>
        <v>7540.6682229999888</v>
      </c>
      <c r="G85" s="105">
        <f t="shared" si="10"/>
        <v>0</v>
      </c>
      <c r="H85" s="105">
        <f t="shared" si="10"/>
        <v>0</v>
      </c>
      <c r="I85" s="105">
        <f t="shared" si="10"/>
        <v>0</v>
      </c>
      <c r="J85" s="105">
        <f t="shared" si="10"/>
        <v>0</v>
      </c>
      <c r="K85" s="105">
        <f t="shared" si="10"/>
        <v>0</v>
      </c>
      <c r="L85" s="105">
        <f t="shared" si="10"/>
        <v>0</v>
      </c>
      <c r="M85" s="105">
        <f t="shared" si="10"/>
        <v>0</v>
      </c>
      <c r="N85" s="105">
        <f t="shared" si="10"/>
        <v>0</v>
      </c>
      <c r="O85" s="111">
        <f t="shared" si="8"/>
        <v>25277.033630999977</v>
      </c>
      <c r="P85" s="96">
        <f>SUM(P72:P76,P81:P84)</f>
        <v>70840.26864369704</v>
      </c>
      <c r="Q85" s="96">
        <f t="shared" ref="Q85:AB85" si="11">SUM(Q72:Q76,Q81:Q84)</f>
        <v>6177.2493959999892</v>
      </c>
      <c r="R85" s="96">
        <f t="shared" si="11"/>
        <v>4733.3722609999995</v>
      </c>
      <c r="S85" s="96">
        <f t="shared" si="11"/>
        <v>6757.0635159999874</v>
      </c>
      <c r="T85" s="96">
        <f t="shared" si="11"/>
        <v>7540.6682229999888</v>
      </c>
      <c r="U85" s="96">
        <f t="shared" si="11"/>
        <v>0</v>
      </c>
      <c r="V85" s="96">
        <f t="shared" si="11"/>
        <v>0</v>
      </c>
      <c r="W85" s="96">
        <f t="shared" si="11"/>
        <v>0</v>
      </c>
      <c r="X85" s="96">
        <f t="shared" si="11"/>
        <v>0</v>
      </c>
      <c r="Y85" s="96">
        <f t="shared" si="11"/>
        <v>0</v>
      </c>
      <c r="Z85" s="96">
        <f t="shared" si="11"/>
        <v>0</v>
      </c>
      <c r="AA85" s="96">
        <f t="shared" si="11"/>
        <v>0</v>
      </c>
      <c r="AB85" s="96">
        <f t="shared" si="11"/>
        <v>0</v>
      </c>
      <c r="AC85" s="95">
        <f t="shared" si="9"/>
        <v>25208.353395999966</v>
      </c>
    </row>
    <row r="86" spans="1:29" x14ac:dyDescent="0.15">
      <c r="A86" s="106" t="s">
        <v>171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11"/>
      <c r="P86" s="96">
        <f>SUM(P72:P76,P81)</f>
        <v>56864.017271902172</v>
      </c>
      <c r="Q86" s="96">
        <f t="shared" ref="Q86:AB86" si="12">SUM(Q72:Q76,Q81)</f>
        <v>5121.1899799999901</v>
      </c>
      <c r="R86" s="96">
        <f t="shared" si="12"/>
        <v>3522.3111529999992</v>
      </c>
      <c r="S86" s="96">
        <f t="shared" si="12"/>
        <v>5365.7436929999894</v>
      </c>
      <c r="T86" s="96">
        <f t="shared" si="12"/>
        <v>6177.43034299999</v>
      </c>
      <c r="U86" s="96">
        <f t="shared" si="12"/>
        <v>0</v>
      </c>
      <c r="V86" s="96">
        <f t="shared" si="12"/>
        <v>0</v>
      </c>
      <c r="W86" s="96">
        <f t="shared" si="12"/>
        <v>0</v>
      </c>
      <c r="X86" s="96">
        <f t="shared" si="12"/>
        <v>0</v>
      </c>
      <c r="Y86" s="96">
        <f t="shared" si="12"/>
        <v>0</v>
      </c>
      <c r="Z86" s="96">
        <f t="shared" si="12"/>
        <v>0</v>
      </c>
      <c r="AA86" s="96">
        <f t="shared" si="12"/>
        <v>0</v>
      </c>
      <c r="AB86" s="96">
        <f t="shared" si="12"/>
        <v>0</v>
      </c>
      <c r="AC86" s="95">
        <f t="shared" si="9"/>
        <v>20186.675168999969</v>
      </c>
    </row>
    <row r="87" spans="1:29" x14ac:dyDescent="0.15">
      <c r="A87" s="106" t="s">
        <v>172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11"/>
      <c r="P87" s="96">
        <f>SUM(P82:P84)</f>
        <v>13976.25137179487</v>
      </c>
      <c r="Q87" s="96">
        <f t="shared" ref="Q87:AB87" si="13">SUM(Q82:Q84)</f>
        <v>1056.0594159999989</v>
      </c>
      <c r="R87" s="96">
        <f t="shared" si="13"/>
        <v>1211.0611079999999</v>
      </c>
      <c r="S87" s="96">
        <f t="shared" si="13"/>
        <v>1391.3198229999991</v>
      </c>
      <c r="T87" s="96">
        <f t="shared" si="13"/>
        <v>1363.237879999999</v>
      </c>
      <c r="U87" s="96">
        <f t="shared" si="13"/>
        <v>0</v>
      </c>
      <c r="V87" s="96">
        <f t="shared" si="13"/>
        <v>0</v>
      </c>
      <c r="W87" s="96">
        <f t="shared" si="13"/>
        <v>0</v>
      </c>
      <c r="X87" s="96">
        <f t="shared" si="13"/>
        <v>0</v>
      </c>
      <c r="Y87" s="96">
        <f t="shared" si="13"/>
        <v>0</v>
      </c>
      <c r="Z87" s="96">
        <f t="shared" si="13"/>
        <v>0</v>
      </c>
      <c r="AA87" s="96">
        <f t="shared" si="13"/>
        <v>0</v>
      </c>
      <c r="AB87" s="96">
        <f t="shared" si="13"/>
        <v>0</v>
      </c>
      <c r="AC87" s="95">
        <f t="shared" si="9"/>
        <v>5021.6782269999967</v>
      </c>
    </row>
    <row r="88" spans="1:29" x14ac:dyDescent="0.15">
      <c r="A88" s="36" t="s">
        <v>163</v>
      </c>
      <c r="B88" s="104">
        <f>云南!B3</f>
        <v>12729.2004214153</v>
      </c>
      <c r="C88" s="104">
        <f>云南!C3</f>
        <v>1521.8600160000001</v>
      </c>
      <c r="D88" s="104">
        <f>云南!D3</f>
        <v>937.77311799999995</v>
      </c>
      <c r="E88" s="104">
        <f>云南!E3</f>
        <v>1287.363701</v>
      </c>
      <c r="F88" s="104">
        <f>云南!F3</f>
        <v>1035.78469899999</v>
      </c>
      <c r="G88" s="104">
        <f>云南!G3</f>
        <v>0</v>
      </c>
      <c r="H88" s="104">
        <f>云南!H3</f>
        <v>0</v>
      </c>
      <c r="I88" s="104">
        <f>云南!I3</f>
        <v>0</v>
      </c>
      <c r="J88" s="104">
        <f>云南!J3</f>
        <v>0</v>
      </c>
      <c r="K88" s="104">
        <f>云南!K3</f>
        <v>0</v>
      </c>
      <c r="L88" s="104">
        <f>云南!L3</f>
        <v>0</v>
      </c>
      <c r="M88" s="104">
        <f>云南!M3</f>
        <v>0</v>
      </c>
      <c r="N88" s="104">
        <f>云南!N3</f>
        <v>0</v>
      </c>
      <c r="O88" s="110">
        <f t="shared" si="8"/>
        <v>4782.7815339999897</v>
      </c>
      <c r="P88" s="95">
        <f>云南!B5</f>
        <v>12725.3908214153</v>
      </c>
      <c r="Q88" s="95">
        <f>云南!C5</f>
        <v>1521.8600160000001</v>
      </c>
      <c r="R88" s="95">
        <f>云南!D5</f>
        <v>937.77311799999995</v>
      </c>
      <c r="S88" s="95">
        <f>云南!E5</f>
        <v>1286.2033409999999</v>
      </c>
      <c r="T88" s="95">
        <f>云南!F5</f>
        <v>1035.78469899999</v>
      </c>
      <c r="U88" s="95">
        <f>云南!G5</f>
        <v>0</v>
      </c>
      <c r="V88" s="95">
        <f>云南!H5</f>
        <v>0</v>
      </c>
      <c r="W88" s="95">
        <f>云南!I5</f>
        <v>0</v>
      </c>
      <c r="X88" s="95">
        <f>云南!J5</f>
        <v>0</v>
      </c>
      <c r="Y88" s="95">
        <f>云南!K5</f>
        <v>0</v>
      </c>
      <c r="Z88" s="95">
        <f>云南!L5</f>
        <v>0</v>
      </c>
      <c r="AA88" s="95">
        <f>云南!M5</f>
        <v>0</v>
      </c>
      <c r="AB88" s="95">
        <f>云南!N5</f>
        <v>0</v>
      </c>
      <c r="AC88" s="95">
        <f>云南!O5</f>
        <v>4781.6211739999899</v>
      </c>
    </row>
    <row r="89" spans="1:29" x14ac:dyDescent="0.15">
      <c r="A89" s="36" t="s">
        <v>164</v>
      </c>
      <c r="B89" s="104">
        <f>楚雄!B3</f>
        <v>5437.2152151794799</v>
      </c>
      <c r="C89" s="104">
        <f>楚雄!C3</f>
        <v>795.50037299999997</v>
      </c>
      <c r="D89" s="104">
        <f>楚雄!D3</f>
        <v>718.92490799999905</v>
      </c>
      <c r="E89" s="104">
        <f>楚雄!E3</f>
        <v>789.52221199999997</v>
      </c>
      <c r="F89" s="104">
        <f>楚雄!F3</f>
        <v>578.86346899999899</v>
      </c>
      <c r="G89" s="104">
        <f>楚雄!G3</f>
        <v>0</v>
      </c>
      <c r="H89" s="104">
        <f>楚雄!H3</f>
        <v>0</v>
      </c>
      <c r="I89" s="104">
        <f>楚雄!I3</f>
        <v>0</v>
      </c>
      <c r="J89" s="104">
        <f>楚雄!J3</f>
        <v>0</v>
      </c>
      <c r="K89" s="104">
        <f>楚雄!K3</f>
        <v>0</v>
      </c>
      <c r="L89" s="104">
        <f>楚雄!L3</f>
        <v>0</v>
      </c>
      <c r="M89" s="104">
        <f>楚雄!M3</f>
        <v>0</v>
      </c>
      <c r="N89" s="104">
        <f>楚雄!N3</f>
        <v>0</v>
      </c>
      <c r="O89" s="110">
        <f t="shared" si="8"/>
        <v>2882.8109619999977</v>
      </c>
      <c r="P89" s="95">
        <f>楚雄!B5</f>
        <v>5437.2152151794799</v>
      </c>
      <c r="Q89" s="95">
        <f>楚雄!C5</f>
        <v>795.50037299999997</v>
      </c>
      <c r="R89" s="95">
        <f>楚雄!D5</f>
        <v>718.92490799999905</v>
      </c>
      <c r="S89" s="95">
        <f>楚雄!E5</f>
        <v>789.52221199999997</v>
      </c>
      <c r="T89" s="95">
        <f>楚雄!F5</f>
        <v>578.86346899999899</v>
      </c>
      <c r="U89" s="95">
        <f>楚雄!G5</f>
        <v>0</v>
      </c>
      <c r="V89" s="95">
        <f>楚雄!H5</f>
        <v>0</v>
      </c>
      <c r="W89" s="95">
        <f>楚雄!I5</f>
        <v>0</v>
      </c>
      <c r="X89" s="95">
        <f>楚雄!J5</f>
        <v>0</v>
      </c>
      <c r="Y89" s="95">
        <f>楚雄!K5</f>
        <v>0</v>
      </c>
      <c r="Z89" s="95">
        <f>楚雄!L5</f>
        <v>0</v>
      </c>
      <c r="AA89" s="95">
        <f>楚雄!M5</f>
        <v>0</v>
      </c>
      <c r="AB89" s="95">
        <f>楚雄!N5</f>
        <v>0</v>
      </c>
      <c r="AC89" s="95">
        <f>楚雄!O5</f>
        <v>2882.8109619999977</v>
      </c>
    </row>
    <row r="90" spans="1:29" x14ac:dyDescent="0.15">
      <c r="A90" s="36" t="s">
        <v>165</v>
      </c>
      <c r="B90" s="104">
        <f>大理!B3</f>
        <v>2839.23675</v>
      </c>
      <c r="C90" s="104">
        <f>大理!C3</f>
        <v>193.41385399999999</v>
      </c>
      <c r="D90" s="104">
        <f>大理!D3</f>
        <v>199.158435</v>
      </c>
      <c r="E90" s="104">
        <f>大理!E3</f>
        <v>238.411506</v>
      </c>
      <c r="F90" s="104">
        <f>大理!F3</f>
        <v>197.54356099999899</v>
      </c>
      <c r="G90" s="104">
        <f>大理!G3</f>
        <v>0</v>
      </c>
      <c r="H90" s="104">
        <f>大理!H3</f>
        <v>0</v>
      </c>
      <c r="I90" s="104">
        <f>大理!I3</f>
        <v>0</v>
      </c>
      <c r="J90" s="104">
        <f>大理!J3</f>
        <v>0</v>
      </c>
      <c r="K90" s="104">
        <f>大理!K3</f>
        <v>0</v>
      </c>
      <c r="L90" s="104">
        <f>大理!L3</f>
        <v>0</v>
      </c>
      <c r="M90" s="104">
        <f>大理!M3</f>
        <v>0</v>
      </c>
      <c r="N90" s="104">
        <f>大理!N3</f>
        <v>0</v>
      </c>
      <c r="O90" s="110">
        <f t="shared" si="8"/>
        <v>828.52735599999892</v>
      </c>
      <c r="P90" s="95">
        <f>大理!B5</f>
        <v>2839.23675</v>
      </c>
      <c r="Q90" s="95">
        <f>大理!C5</f>
        <v>193.41385399999999</v>
      </c>
      <c r="R90" s="95">
        <f>大理!D5</f>
        <v>199.158435</v>
      </c>
      <c r="S90" s="95">
        <f>大理!E5</f>
        <v>238.411506</v>
      </c>
      <c r="T90" s="95">
        <f>大理!F5</f>
        <v>197.54356099999899</v>
      </c>
      <c r="U90" s="95">
        <f>大理!G5</f>
        <v>0</v>
      </c>
      <c r="V90" s="95">
        <f>大理!H5</f>
        <v>0</v>
      </c>
      <c r="W90" s="95">
        <f>大理!I5</f>
        <v>0</v>
      </c>
      <c r="X90" s="95">
        <f>大理!J5</f>
        <v>0</v>
      </c>
      <c r="Y90" s="95">
        <f>大理!K5</f>
        <v>0</v>
      </c>
      <c r="Z90" s="95">
        <f>大理!L5</f>
        <v>0</v>
      </c>
      <c r="AA90" s="95">
        <f>大理!M5</f>
        <v>0</v>
      </c>
      <c r="AB90" s="95">
        <f>大理!N5</f>
        <v>0</v>
      </c>
      <c r="AC90" s="95">
        <f>大理!O5</f>
        <v>828.52735599999892</v>
      </c>
    </row>
    <row r="91" spans="1:29" x14ac:dyDescent="0.15">
      <c r="A91" s="71" t="s">
        <v>176</v>
      </c>
      <c r="B91" s="107">
        <f>SUM(B88:B90)</f>
        <v>21005.652386594778</v>
      </c>
      <c r="C91" s="107">
        <f t="shared" ref="C91:N91" si="14">SUM(C88:C90)</f>
        <v>2510.7742429999998</v>
      </c>
      <c r="D91" s="107">
        <f t="shared" si="14"/>
        <v>1855.8564609999992</v>
      </c>
      <c r="E91" s="107">
        <f t="shared" si="14"/>
        <v>2315.297419</v>
      </c>
      <c r="F91" s="107">
        <f t="shared" si="14"/>
        <v>1812.1917289999881</v>
      </c>
      <c r="G91" s="107">
        <f t="shared" si="14"/>
        <v>0</v>
      </c>
      <c r="H91" s="107">
        <f t="shared" si="14"/>
        <v>0</v>
      </c>
      <c r="I91" s="107">
        <f t="shared" si="14"/>
        <v>0</v>
      </c>
      <c r="J91" s="107">
        <f t="shared" si="14"/>
        <v>0</v>
      </c>
      <c r="K91" s="107">
        <f t="shared" si="14"/>
        <v>0</v>
      </c>
      <c r="L91" s="107">
        <f t="shared" si="14"/>
        <v>0</v>
      </c>
      <c r="M91" s="107">
        <f t="shared" si="14"/>
        <v>0</v>
      </c>
      <c r="N91" s="107">
        <f t="shared" si="14"/>
        <v>0</v>
      </c>
      <c r="O91" s="112">
        <f t="shared" si="8"/>
        <v>8494.1198519999871</v>
      </c>
      <c r="P91" s="96">
        <f>SUM(P88:P90)</f>
        <v>21001.842786594778</v>
      </c>
      <c r="Q91" s="96">
        <f t="shared" ref="Q91:AC91" si="15">SUM(Q88:Q90)</f>
        <v>2510.7742429999998</v>
      </c>
      <c r="R91" s="96">
        <f t="shared" si="15"/>
        <v>1855.8564609999992</v>
      </c>
      <c r="S91" s="96">
        <f t="shared" si="15"/>
        <v>2314.1370589999997</v>
      </c>
      <c r="T91" s="96">
        <f t="shared" si="15"/>
        <v>1812.1917289999881</v>
      </c>
      <c r="U91" s="96">
        <f t="shared" si="15"/>
        <v>0</v>
      </c>
      <c r="V91" s="96">
        <f t="shared" si="15"/>
        <v>0</v>
      </c>
      <c r="W91" s="96">
        <f t="shared" si="15"/>
        <v>0</v>
      </c>
      <c r="X91" s="96">
        <f t="shared" si="15"/>
        <v>0</v>
      </c>
      <c r="Y91" s="96">
        <f t="shared" si="15"/>
        <v>0</v>
      </c>
      <c r="Z91" s="96">
        <f t="shared" si="15"/>
        <v>0</v>
      </c>
      <c r="AA91" s="96">
        <f t="shared" si="15"/>
        <v>0</v>
      </c>
      <c r="AB91" s="96">
        <f t="shared" si="15"/>
        <v>0</v>
      </c>
      <c r="AC91" s="96">
        <f t="shared" si="15"/>
        <v>8492.9594919999872</v>
      </c>
    </row>
    <row r="92" spans="1:29" x14ac:dyDescent="0.15">
      <c r="A92" s="73" t="s">
        <v>238</v>
      </c>
      <c r="B92" s="105">
        <f>广西!B3</f>
        <v>4930.6185968059299</v>
      </c>
      <c r="C92" s="105">
        <f>广西!C3</f>
        <v>0</v>
      </c>
      <c r="D92" s="105">
        <f>广西!D3</f>
        <v>0</v>
      </c>
      <c r="E92" s="105">
        <f>广西!E3</f>
        <v>0</v>
      </c>
      <c r="F92" s="105">
        <f>广西!F3</f>
        <v>0</v>
      </c>
      <c r="G92" s="105">
        <f>广西!G3</f>
        <v>0</v>
      </c>
      <c r="H92" s="105">
        <f>广西!H3</f>
        <v>0</v>
      </c>
      <c r="I92" s="105">
        <f>广西!I3</f>
        <v>0</v>
      </c>
      <c r="J92" s="105">
        <f>广西!J3</f>
        <v>0</v>
      </c>
      <c r="K92" s="105">
        <f>广西!K3</f>
        <v>0</v>
      </c>
      <c r="L92" s="105">
        <f>广西!L3</f>
        <v>0</v>
      </c>
      <c r="M92" s="105">
        <f>广西!M3</f>
        <v>0</v>
      </c>
      <c r="N92" s="105">
        <f>广西!N3</f>
        <v>0</v>
      </c>
      <c r="O92" s="111">
        <f t="shared" si="8"/>
        <v>0</v>
      </c>
      <c r="P92" s="95">
        <f>广西!B5</f>
        <v>4930.6185968059299</v>
      </c>
      <c r="Q92" s="95">
        <f>广西!C5</f>
        <v>0</v>
      </c>
      <c r="R92" s="95">
        <f>广西!D5</f>
        <v>0</v>
      </c>
      <c r="S92" s="95">
        <f>广西!E5</f>
        <v>0</v>
      </c>
      <c r="T92" s="95">
        <f>广西!F5</f>
        <v>0</v>
      </c>
      <c r="U92" s="95">
        <f>广西!G5</f>
        <v>0</v>
      </c>
      <c r="V92" s="95">
        <f>广西!H5</f>
        <v>0</v>
      </c>
      <c r="W92" s="95">
        <f>广西!I5</f>
        <v>0</v>
      </c>
      <c r="X92" s="95">
        <f>广西!J5</f>
        <v>0</v>
      </c>
      <c r="Y92" s="95">
        <f>广西!K5</f>
        <v>0</v>
      </c>
      <c r="Z92" s="95">
        <f>广西!L5</f>
        <v>0</v>
      </c>
      <c r="AA92" s="95">
        <f>广西!M5</f>
        <v>0</v>
      </c>
      <c r="AB92" s="95">
        <f>广西!N5</f>
        <v>0</v>
      </c>
      <c r="AC92" s="95">
        <f>广西!O5</f>
        <v>0</v>
      </c>
    </row>
    <row r="93" spans="1:29" x14ac:dyDescent="0.15">
      <c r="A93" s="75" t="s">
        <v>95</v>
      </c>
      <c r="B93" s="108">
        <f>SUM(B85,B91:B92)</f>
        <v>97279.889627097757</v>
      </c>
      <c r="C93" s="108">
        <f t="shared" ref="C93:N93" si="16">SUM(C85,C91:C92)</f>
        <v>8688.0236389999882</v>
      </c>
      <c r="D93" s="108">
        <f t="shared" si="16"/>
        <v>6589.2287219999989</v>
      </c>
      <c r="E93" s="108">
        <f t="shared" si="16"/>
        <v>9141.0411699999986</v>
      </c>
      <c r="F93" s="108">
        <f t="shared" si="16"/>
        <v>9352.8599519999771</v>
      </c>
      <c r="G93" s="108">
        <f t="shared" si="16"/>
        <v>0</v>
      </c>
      <c r="H93" s="108">
        <f t="shared" si="16"/>
        <v>0</v>
      </c>
      <c r="I93" s="108">
        <f t="shared" si="16"/>
        <v>0</v>
      </c>
      <c r="J93" s="108">
        <f t="shared" si="16"/>
        <v>0</v>
      </c>
      <c r="K93" s="108">
        <f t="shared" si="16"/>
        <v>0</v>
      </c>
      <c r="L93" s="108">
        <f t="shared" si="16"/>
        <v>0</v>
      </c>
      <c r="M93" s="108">
        <f t="shared" si="16"/>
        <v>0</v>
      </c>
      <c r="N93" s="108">
        <f t="shared" si="16"/>
        <v>0</v>
      </c>
      <c r="O93" s="113">
        <f t="shared" si="8"/>
        <v>33771.153482999965</v>
      </c>
      <c r="P93" s="96">
        <f>SUM(P85,P91,P92)</f>
        <v>96772.730027097743</v>
      </c>
      <c r="Q93" s="96">
        <f t="shared" ref="Q93:AC93" si="17">SUM(Q85,Q91,Q92)</f>
        <v>8688.0236389999882</v>
      </c>
      <c r="R93" s="96">
        <f t="shared" si="17"/>
        <v>6589.2287219999989</v>
      </c>
      <c r="S93" s="96">
        <f t="shared" si="17"/>
        <v>9071.200574999988</v>
      </c>
      <c r="T93" s="96">
        <f t="shared" si="17"/>
        <v>9352.8599519999771</v>
      </c>
      <c r="U93" s="96">
        <f t="shared" si="17"/>
        <v>0</v>
      </c>
      <c r="V93" s="96">
        <f t="shared" si="17"/>
        <v>0</v>
      </c>
      <c r="W93" s="96">
        <f t="shared" si="17"/>
        <v>0</v>
      </c>
      <c r="X93" s="96">
        <f t="shared" si="17"/>
        <v>0</v>
      </c>
      <c r="Y93" s="96">
        <f t="shared" si="17"/>
        <v>0</v>
      </c>
      <c r="Z93" s="96">
        <f t="shared" si="17"/>
        <v>0</v>
      </c>
      <c r="AA93" s="96">
        <f t="shared" si="17"/>
        <v>0</v>
      </c>
      <c r="AB93" s="96">
        <f t="shared" si="17"/>
        <v>0</v>
      </c>
      <c r="AC93" s="96">
        <f t="shared" si="17"/>
        <v>33701.312887999957</v>
      </c>
    </row>
    <row r="94" spans="1:29" x14ac:dyDescent="0.15">
      <c r="A94" s="43" t="s">
        <v>248</v>
      </c>
      <c r="B94" s="80"/>
      <c r="C94" s="104">
        <v>298.03846299999998</v>
      </c>
      <c r="D94" s="104">
        <v>395.68369100000001</v>
      </c>
      <c r="E94" s="104">
        <f>S94</f>
        <v>306.81765799999999</v>
      </c>
      <c r="F94" s="104">
        <f t="shared" ref="F94:N94" si="18">T94</f>
        <v>557.449973</v>
      </c>
      <c r="G94" s="104">
        <f t="shared" si="18"/>
        <v>0</v>
      </c>
      <c r="H94" s="104">
        <f t="shared" si="18"/>
        <v>0</v>
      </c>
      <c r="I94" s="104">
        <f t="shared" si="18"/>
        <v>0</v>
      </c>
      <c r="J94" s="104">
        <f t="shared" si="18"/>
        <v>0</v>
      </c>
      <c r="K94" s="104">
        <f t="shared" si="18"/>
        <v>0</v>
      </c>
      <c r="L94" s="104">
        <f t="shared" si="18"/>
        <v>0</v>
      </c>
      <c r="M94" s="104">
        <f t="shared" si="18"/>
        <v>0</v>
      </c>
      <c r="N94" s="104">
        <f t="shared" si="18"/>
        <v>0</v>
      </c>
      <c r="O94" s="114">
        <f t="shared" si="8"/>
        <v>1557.989785</v>
      </c>
      <c r="P94" s="81"/>
      <c r="Q94" s="104">
        <v>298.03846299999998</v>
      </c>
      <c r="R94" s="104">
        <v>395.68369100000001</v>
      </c>
      <c r="S94" s="104">
        <v>306.81765799999999</v>
      </c>
      <c r="T94" s="104">
        <v>557.449973</v>
      </c>
      <c r="U94" s="81"/>
      <c r="V94" s="81"/>
      <c r="W94" s="81"/>
      <c r="X94" s="81"/>
      <c r="Y94" s="81"/>
      <c r="Z94" s="81"/>
      <c r="AA94" s="81"/>
      <c r="AB94" s="81"/>
      <c r="AC94" s="81"/>
    </row>
    <row r="95" spans="1:29" x14ac:dyDescent="0.15">
      <c r="A95" s="43" t="s">
        <v>115</v>
      </c>
      <c r="B95" s="80"/>
      <c r="C95" s="104">
        <v>382.721181</v>
      </c>
      <c r="D95" s="104">
        <v>473.33439600000003</v>
      </c>
      <c r="E95" s="104">
        <f t="shared" ref="E95:N95" si="19">S95</f>
        <v>379.94099999999997</v>
      </c>
      <c r="F95" s="104">
        <f t="shared" si="19"/>
        <v>659.17881499999999</v>
      </c>
      <c r="G95" s="104">
        <f t="shared" si="19"/>
        <v>0</v>
      </c>
      <c r="H95" s="104">
        <f t="shared" si="19"/>
        <v>0</v>
      </c>
      <c r="I95" s="104">
        <f t="shared" si="19"/>
        <v>0</v>
      </c>
      <c r="J95" s="104">
        <f t="shared" si="19"/>
        <v>0</v>
      </c>
      <c r="K95" s="104">
        <f t="shared" si="19"/>
        <v>0</v>
      </c>
      <c r="L95" s="104">
        <f t="shared" si="19"/>
        <v>0</v>
      </c>
      <c r="M95" s="104">
        <f t="shared" si="19"/>
        <v>0</v>
      </c>
      <c r="N95" s="104">
        <f t="shared" si="19"/>
        <v>0</v>
      </c>
      <c r="O95" s="114">
        <f t="shared" si="8"/>
        <v>1895.1753920000001</v>
      </c>
      <c r="P95" s="81"/>
      <c r="Q95" s="104">
        <v>382.721181</v>
      </c>
      <c r="R95" s="104">
        <v>473.33439600000003</v>
      </c>
      <c r="S95" s="104">
        <v>379.94099999999997</v>
      </c>
      <c r="T95" s="104">
        <v>659.17881499999999</v>
      </c>
      <c r="U95" s="81"/>
      <c r="V95" s="81"/>
      <c r="W95" s="81"/>
      <c r="X95" s="81"/>
      <c r="Y95" s="81"/>
      <c r="Z95" s="81"/>
      <c r="AA95" s="81"/>
      <c r="AB95" s="81"/>
      <c r="AC95" s="81"/>
    </row>
  </sheetData>
  <mergeCells count="5">
    <mergeCell ref="C19:N19"/>
    <mergeCell ref="C41:N41"/>
    <mergeCell ref="P41:AC41"/>
    <mergeCell ref="C70:N70"/>
    <mergeCell ref="P70:AC70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45"/>
  <sheetViews>
    <sheetView topLeftCell="A18" workbookViewId="0">
      <selection activeCell="J48" sqref="J48"/>
    </sheetView>
  </sheetViews>
  <sheetFormatPr defaultColWidth="9" defaultRowHeight="13.5" x14ac:dyDescent="0.15"/>
  <cols>
    <col min="1" max="1" width="14.875" customWidth="1"/>
    <col min="5" max="5" width="11.5"/>
    <col min="6" max="6" width="10" customWidth="1"/>
  </cols>
  <sheetData>
    <row r="1" spans="1:15" ht="14.25" x14ac:dyDescent="0.15">
      <c r="A1" s="52"/>
      <c r="B1" s="53"/>
      <c r="C1" s="380" t="s">
        <v>257</v>
      </c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26"/>
    </row>
    <row r="2" spans="1:15" ht="18.75" customHeight="1" x14ac:dyDescent="0.15">
      <c r="A2" s="52" t="s">
        <v>170</v>
      </c>
      <c r="B2" s="26" t="s">
        <v>0</v>
      </c>
      <c r="C2" s="30" t="s">
        <v>83</v>
      </c>
      <c r="D2" s="30" t="s">
        <v>84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0" t="s">
        <v>93</v>
      </c>
      <c r="N2" s="30" t="s">
        <v>94</v>
      </c>
      <c r="O2" s="44" t="s">
        <v>111</v>
      </c>
    </row>
    <row r="3" spans="1:15" ht="18.75" customHeight="1" x14ac:dyDescent="0.15">
      <c r="A3" s="36" t="s">
        <v>148</v>
      </c>
      <c r="B3" s="26"/>
      <c r="C3" s="69">
        <v>529.88025300000004</v>
      </c>
      <c r="D3" s="69">
        <v>484.68999000000002</v>
      </c>
      <c r="E3" s="69">
        <v>519.13752399999998</v>
      </c>
      <c r="F3" s="69">
        <v>539.12077199999999</v>
      </c>
      <c r="G3" s="69">
        <v>506.602791999999</v>
      </c>
      <c r="H3" s="69">
        <v>520.79861300000005</v>
      </c>
      <c r="I3" s="69">
        <v>556.70217200000002</v>
      </c>
      <c r="J3" s="69">
        <v>524.52553299999897</v>
      </c>
      <c r="K3" s="69">
        <v>526.38608099999999</v>
      </c>
      <c r="L3" s="69">
        <v>569.53829599999904</v>
      </c>
      <c r="M3" s="69">
        <v>599.92264099999898</v>
      </c>
      <c r="N3" s="69">
        <v>712.44456300000002</v>
      </c>
      <c r="O3" s="69">
        <v>6589.7492300000004</v>
      </c>
    </row>
    <row r="4" spans="1:15" ht="18.75" customHeight="1" x14ac:dyDescent="0.15">
      <c r="A4" s="36" t="s">
        <v>149</v>
      </c>
      <c r="B4" s="26"/>
      <c r="C4" s="69">
        <v>574.58137499999998</v>
      </c>
      <c r="D4" s="69">
        <v>532.43422199999998</v>
      </c>
      <c r="E4" s="69">
        <v>524.60944500000005</v>
      </c>
      <c r="F4" s="69">
        <v>649.39613799999995</v>
      </c>
      <c r="G4" s="69">
        <v>538.20809799999995</v>
      </c>
      <c r="H4" s="69">
        <v>532.46192499999995</v>
      </c>
      <c r="I4" s="69">
        <v>563.46947599999896</v>
      </c>
      <c r="J4" s="69">
        <v>547.28967999999895</v>
      </c>
      <c r="K4" s="69">
        <v>541.64446699999996</v>
      </c>
      <c r="L4" s="69">
        <v>576.72515099999896</v>
      </c>
      <c r="M4" s="69">
        <v>544.46385399999895</v>
      </c>
      <c r="N4" s="69">
        <v>1043.65405099999</v>
      </c>
      <c r="O4" s="69">
        <v>7168.9378819999902</v>
      </c>
    </row>
    <row r="5" spans="1:15" ht="18.75" customHeight="1" x14ac:dyDescent="0.15">
      <c r="A5" s="36" t="s">
        <v>150</v>
      </c>
      <c r="B5" s="26"/>
      <c r="C5" s="69">
        <v>930.88566500000002</v>
      </c>
      <c r="D5" s="69">
        <v>861.27009799999996</v>
      </c>
      <c r="E5" s="69">
        <v>968.03180599999996</v>
      </c>
      <c r="F5" s="69">
        <v>954.58125700000005</v>
      </c>
      <c r="G5" s="69">
        <v>990.164842999999</v>
      </c>
      <c r="H5" s="69">
        <v>903.78742199999897</v>
      </c>
      <c r="I5" s="69">
        <v>932.97176000000002</v>
      </c>
      <c r="J5" s="69">
        <v>969.44563800000003</v>
      </c>
      <c r="K5" s="69">
        <v>935.22364599999901</v>
      </c>
      <c r="L5" s="69">
        <v>996.86867399999903</v>
      </c>
      <c r="M5" s="69">
        <v>960.48281399999996</v>
      </c>
      <c r="N5" s="69">
        <v>1745.5126459999999</v>
      </c>
      <c r="O5" s="69">
        <v>12149.226269000001</v>
      </c>
    </row>
    <row r="6" spans="1:15" ht="18.75" customHeight="1" x14ac:dyDescent="0.15">
      <c r="A6" s="36" t="s">
        <v>151</v>
      </c>
      <c r="B6" s="26"/>
      <c r="C6" s="69">
        <v>259.50614899999999</v>
      </c>
      <c r="D6" s="69">
        <v>167.133002</v>
      </c>
      <c r="E6" s="69">
        <v>328.204725</v>
      </c>
      <c r="F6" s="69">
        <v>251.53595300000001</v>
      </c>
      <c r="G6" s="69">
        <v>213.47966299999899</v>
      </c>
      <c r="H6" s="69">
        <v>213.76997700000001</v>
      </c>
      <c r="I6" s="69">
        <v>237.827709</v>
      </c>
      <c r="J6" s="69">
        <v>229.84594200000001</v>
      </c>
      <c r="K6" s="69">
        <v>234.866536999999</v>
      </c>
      <c r="L6" s="69">
        <v>251.72620000000001</v>
      </c>
      <c r="M6" s="69">
        <v>325.18048499999901</v>
      </c>
      <c r="N6" s="69">
        <v>225.86111</v>
      </c>
      <c r="O6" s="69">
        <v>2938.9374520000001</v>
      </c>
    </row>
    <row r="7" spans="1:15" ht="18.75" customHeight="1" x14ac:dyDescent="0.15">
      <c r="A7" s="36" t="s">
        <v>152</v>
      </c>
      <c r="B7" s="26"/>
      <c r="C7" s="69">
        <v>544.47496599999999</v>
      </c>
      <c r="D7" s="69">
        <v>532.65164900000002</v>
      </c>
      <c r="E7" s="69">
        <v>510.42204099999998</v>
      </c>
      <c r="F7" s="69">
        <v>581.48388</v>
      </c>
      <c r="G7" s="69">
        <v>696.81793000000005</v>
      </c>
      <c r="H7" s="69">
        <v>689.78106999999898</v>
      </c>
      <c r="I7" s="69">
        <v>864.03528299999903</v>
      </c>
      <c r="J7" s="69">
        <v>934.48521800000003</v>
      </c>
      <c r="K7" s="69">
        <v>978.32079499999895</v>
      </c>
      <c r="L7" s="69">
        <v>1291.629138</v>
      </c>
      <c r="M7" s="69">
        <v>1345.13212599999</v>
      </c>
      <c r="N7" s="69">
        <v>2126.4102029999999</v>
      </c>
      <c r="O7" s="69">
        <v>11095.644299</v>
      </c>
    </row>
    <row r="8" spans="1:15" ht="18.75" customHeight="1" x14ac:dyDescent="0.15">
      <c r="A8" s="36" t="s">
        <v>153</v>
      </c>
      <c r="B8" s="26"/>
      <c r="C8" s="69">
        <v>270.589519</v>
      </c>
      <c r="D8" s="69">
        <v>241.96655000000001</v>
      </c>
      <c r="E8" s="69">
        <v>238.75685799999999</v>
      </c>
      <c r="F8" s="69">
        <v>274.29393599999997</v>
      </c>
      <c r="G8" s="69">
        <v>243.529946</v>
      </c>
      <c r="H8" s="69">
        <v>244.73430300000001</v>
      </c>
      <c r="I8" s="69">
        <v>271.59722599999998</v>
      </c>
      <c r="J8" s="69">
        <v>244.177492</v>
      </c>
      <c r="K8" s="69">
        <v>240.32784899999999</v>
      </c>
      <c r="L8" s="69">
        <v>294.23311200000001</v>
      </c>
      <c r="M8" s="69">
        <v>258.84882900000002</v>
      </c>
      <c r="N8" s="69">
        <v>297.62831899999998</v>
      </c>
      <c r="O8" s="69">
        <v>3120.683939</v>
      </c>
    </row>
    <row r="9" spans="1:15" ht="18.75" customHeight="1" x14ac:dyDescent="0.15">
      <c r="A9" s="36" t="s">
        <v>154</v>
      </c>
      <c r="B9" s="26"/>
      <c r="C9" s="69">
        <v>273.885447</v>
      </c>
      <c r="D9" s="69">
        <v>290.68509899999998</v>
      </c>
      <c r="E9" s="69">
        <v>271.66518300000001</v>
      </c>
      <c r="F9" s="69">
        <v>307.18994400000003</v>
      </c>
      <c r="G9" s="69">
        <v>255.85432599999999</v>
      </c>
      <c r="H9" s="69">
        <v>250.738158</v>
      </c>
      <c r="I9" s="69">
        <v>279.977912</v>
      </c>
      <c r="J9" s="69">
        <v>278.43992600000001</v>
      </c>
      <c r="K9" s="69">
        <v>257.81636500000002</v>
      </c>
      <c r="L9" s="69">
        <v>292.00859000000003</v>
      </c>
      <c r="M9" s="69">
        <v>256.87782399999998</v>
      </c>
      <c r="N9" s="69">
        <v>530.18362300000001</v>
      </c>
      <c r="O9" s="69">
        <v>3545.3223969999999</v>
      </c>
    </row>
    <row r="10" spans="1:15" ht="18.75" customHeight="1" x14ac:dyDescent="0.15">
      <c r="A10" s="36" t="s">
        <v>155</v>
      </c>
      <c r="B10" s="26"/>
      <c r="C10" s="69">
        <v>0</v>
      </c>
      <c r="D10" s="69">
        <v>0</v>
      </c>
      <c r="E10" s="69">
        <v>0</v>
      </c>
      <c r="F10" s="69">
        <v>0</v>
      </c>
      <c r="G10" s="69">
        <v>110.253911</v>
      </c>
      <c r="H10" s="69">
        <v>112.93305599999999</v>
      </c>
      <c r="I10" s="69">
        <v>195.409854</v>
      </c>
      <c r="J10" s="69">
        <v>239.96125000000001</v>
      </c>
      <c r="K10" s="69">
        <v>264.73838699999999</v>
      </c>
      <c r="L10" s="69">
        <v>401.81388199999998</v>
      </c>
      <c r="M10" s="69">
        <v>392.75806899999998</v>
      </c>
      <c r="N10" s="69">
        <v>609.66366500000004</v>
      </c>
      <c r="O10" s="69">
        <v>2327.5320740000002</v>
      </c>
    </row>
    <row r="11" spans="1:15" ht="18.75" customHeight="1" x14ac:dyDescent="0.15">
      <c r="A11" s="36" t="s">
        <v>156</v>
      </c>
      <c r="B11" s="26"/>
      <c r="C11" s="69">
        <v>0</v>
      </c>
      <c r="D11" s="69">
        <v>0</v>
      </c>
      <c r="E11" s="69">
        <v>0</v>
      </c>
      <c r="F11" s="69">
        <v>0</v>
      </c>
      <c r="G11" s="69">
        <v>87.179747000000006</v>
      </c>
      <c r="H11" s="69">
        <v>81.380905999999996</v>
      </c>
      <c r="I11" s="69">
        <v>117.050291</v>
      </c>
      <c r="J11" s="69">
        <v>171.90655000000001</v>
      </c>
      <c r="K11" s="69">
        <v>215.43819400000001</v>
      </c>
      <c r="L11" s="69">
        <v>303.573553</v>
      </c>
      <c r="M11" s="69">
        <v>436.64740399999999</v>
      </c>
      <c r="N11" s="69">
        <v>688.93459700000005</v>
      </c>
      <c r="O11" s="69">
        <v>2102.1112419999999</v>
      </c>
    </row>
    <row r="12" spans="1:15" ht="18.75" customHeight="1" x14ac:dyDescent="0.15">
      <c r="A12" s="36" t="s">
        <v>157</v>
      </c>
      <c r="B12" s="26"/>
      <c r="C12" s="69">
        <v>305.18776400000002</v>
      </c>
      <c r="D12" s="69">
        <v>280.64182699999998</v>
      </c>
      <c r="E12" s="69">
        <v>264.39333099999999</v>
      </c>
      <c r="F12" s="69">
        <v>312.15420899999998</v>
      </c>
      <c r="G12" s="69">
        <v>291.62735900000001</v>
      </c>
      <c r="H12" s="69">
        <v>288.63101499999999</v>
      </c>
      <c r="I12" s="69">
        <v>312.738847999999</v>
      </c>
      <c r="J12" s="69">
        <v>295.66039299999898</v>
      </c>
      <c r="K12" s="69">
        <v>279.96151500000002</v>
      </c>
      <c r="L12" s="69">
        <v>321.81233599999899</v>
      </c>
      <c r="M12" s="69">
        <v>280.44882100000001</v>
      </c>
      <c r="N12" s="69">
        <v>344.39172100000002</v>
      </c>
      <c r="O12" s="69">
        <v>3577.6491390000001</v>
      </c>
    </row>
    <row r="13" spans="1:15" ht="18.75" customHeight="1" x14ac:dyDescent="0.15">
      <c r="A13" s="36" t="s">
        <v>158</v>
      </c>
      <c r="B13" s="26"/>
      <c r="C13" s="69">
        <v>275.70027499999998</v>
      </c>
      <c r="D13" s="69">
        <v>249.578835</v>
      </c>
      <c r="E13" s="69">
        <v>267.00551999999999</v>
      </c>
      <c r="F13" s="69">
        <v>266.53666500000003</v>
      </c>
      <c r="G13" s="69">
        <v>326.30310200000002</v>
      </c>
      <c r="H13" s="69">
        <v>257.17322000000001</v>
      </c>
      <c r="I13" s="69">
        <v>298.21345600000001</v>
      </c>
      <c r="J13" s="69">
        <v>278.90310399999902</v>
      </c>
      <c r="K13" s="69">
        <v>263.22223700000001</v>
      </c>
      <c r="L13" s="69">
        <v>298.878514</v>
      </c>
      <c r="M13" s="69">
        <v>325.45201600000001</v>
      </c>
      <c r="N13" s="69">
        <v>521.80543199999897</v>
      </c>
      <c r="O13" s="69">
        <v>3628.7723759999999</v>
      </c>
    </row>
    <row r="14" spans="1:15" ht="18.75" customHeight="1" x14ac:dyDescent="0.15">
      <c r="A14" s="36" t="s">
        <v>159</v>
      </c>
      <c r="B14" s="26"/>
      <c r="C14" s="69">
        <v>488.16138899999999</v>
      </c>
      <c r="D14" s="69">
        <v>404.61864300000002</v>
      </c>
      <c r="E14" s="69">
        <v>390.29356899999999</v>
      </c>
      <c r="F14" s="69">
        <v>470.53540700000002</v>
      </c>
      <c r="G14" s="69">
        <v>460.76282899999899</v>
      </c>
      <c r="H14" s="69">
        <v>454.11378200000001</v>
      </c>
      <c r="I14" s="69">
        <v>453.05918799999898</v>
      </c>
      <c r="J14" s="69">
        <v>450.13274200000001</v>
      </c>
      <c r="K14" s="69">
        <v>458.08879999999999</v>
      </c>
      <c r="L14" s="69">
        <v>520.80672500000003</v>
      </c>
      <c r="M14" s="69">
        <v>488.78683799999999</v>
      </c>
      <c r="N14" s="69">
        <v>701.17474299999901</v>
      </c>
      <c r="O14" s="69">
        <v>5740.5346550000004</v>
      </c>
    </row>
    <row r="15" spans="1:15" ht="18.75" customHeight="1" x14ac:dyDescent="0.15">
      <c r="A15" s="36" t="s">
        <v>160</v>
      </c>
      <c r="B15" s="26"/>
      <c r="C15" s="69">
        <v>262.98487399999999</v>
      </c>
      <c r="D15" s="69">
        <v>224.93576100000001</v>
      </c>
      <c r="E15" s="69">
        <v>292.03431</v>
      </c>
      <c r="F15" s="69">
        <v>259.91184399999997</v>
      </c>
      <c r="G15" s="69">
        <v>237.06504200000001</v>
      </c>
      <c r="H15" s="69">
        <v>277.661249</v>
      </c>
      <c r="I15" s="69">
        <v>261.50386799999899</v>
      </c>
      <c r="J15" s="69">
        <v>248.39077499999999</v>
      </c>
      <c r="K15" s="69">
        <v>295.27391799999998</v>
      </c>
      <c r="L15" s="69">
        <v>265.25277799999998</v>
      </c>
      <c r="M15" s="69">
        <v>245.36733999999899</v>
      </c>
      <c r="N15" s="69">
        <v>489.827933999999</v>
      </c>
      <c r="O15" s="69">
        <v>3360.2096929999998</v>
      </c>
    </row>
    <row r="16" spans="1:15" ht="18.75" customHeight="1" x14ac:dyDescent="0.15">
      <c r="A16" s="36" t="s">
        <v>95</v>
      </c>
      <c r="B16" s="26"/>
      <c r="C16" s="70">
        <v>4171.3627100000003</v>
      </c>
      <c r="D16" s="70">
        <v>3737.9540270000002</v>
      </c>
      <c r="E16" s="70">
        <v>4064.1322709999999</v>
      </c>
      <c r="F16" s="70">
        <v>4285.2561249999999</v>
      </c>
      <c r="G16" s="70">
        <v>4261.0316579999999</v>
      </c>
      <c r="H16" s="70">
        <v>4138.1782730000004</v>
      </c>
      <c r="I16" s="70">
        <v>4480.5217599999996</v>
      </c>
      <c r="J16" s="70">
        <v>4478.6790250000004</v>
      </c>
      <c r="K16" s="70">
        <v>4512.9879959999998</v>
      </c>
      <c r="L16" s="70">
        <v>5093.2378120000003</v>
      </c>
      <c r="M16" s="70">
        <v>5115.2369349999899</v>
      </c>
      <c r="N16" s="70">
        <v>7911.0824029999903</v>
      </c>
      <c r="O16" s="70">
        <v>56249.660994999897</v>
      </c>
    </row>
    <row r="17" spans="1:15" ht="18.75" customHeight="1" x14ac:dyDescent="0.15">
      <c r="A17" s="36" t="s">
        <v>163</v>
      </c>
      <c r="B17" s="36"/>
      <c r="C17" s="69">
        <v>274.78895299999999</v>
      </c>
      <c r="D17" s="69">
        <v>260.660438</v>
      </c>
      <c r="E17" s="69">
        <v>388.51192200000003</v>
      </c>
      <c r="F17" s="69">
        <v>272.39696899999899</v>
      </c>
      <c r="G17" s="69">
        <v>282.72573599999902</v>
      </c>
      <c r="H17" s="69">
        <v>604.03110199999901</v>
      </c>
      <c r="I17" s="69">
        <v>282.84048300000001</v>
      </c>
      <c r="J17" s="69">
        <v>296.45081299999902</v>
      </c>
      <c r="K17" s="69">
        <v>333.29214100000002</v>
      </c>
      <c r="L17" s="69">
        <v>494.29059099999898</v>
      </c>
      <c r="M17" s="69">
        <v>615.90755399999898</v>
      </c>
      <c r="N17" s="69">
        <v>1159.8344199999999</v>
      </c>
      <c r="O17" s="69">
        <v>5265.7311219999901</v>
      </c>
    </row>
    <row r="18" spans="1:15" ht="18.75" customHeight="1" x14ac:dyDescent="0.15">
      <c r="A18" s="36" t="s">
        <v>164</v>
      </c>
      <c r="B18" s="36"/>
      <c r="C18" s="69">
        <v>115.457093</v>
      </c>
      <c r="D18" s="69">
        <v>163.393102</v>
      </c>
      <c r="E18" s="69">
        <v>285.878244</v>
      </c>
      <c r="F18" s="69">
        <v>256.41676200000001</v>
      </c>
      <c r="G18" s="69">
        <v>271.19270199999897</v>
      </c>
      <c r="H18" s="69">
        <v>371.64094999999998</v>
      </c>
      <c r="I18" s="69">
        <v>292.97938099999999</v>
      </c>
      <c r="J18" s="69">
        <v>299.49728099999999</v>
      </c>
      <c r="K18" s="69">
        <v>325.07799999999997</v>
      </c>
      <c r="L18" s="69">
        <v>304.614879999999</v>
      </c>
      <c r="M18" s="69">
        <v>319.047159999999</v>
      </c>
      <c r="N18" s="69">
        <v>454.79184900000001</v>
      </c>
      <c r="O18" s="69">
        <v>3459.987404</v>
      </c>
    </row>
    <row r="19" spans="1:15" ht="18.75" customHeight="1" x14ac:dyDescent="0.15">
      <c r="A19" s="36" t="s">
        <v>165</v>
      </c>
      <c r="B19" s="36"/>
      <c r="C19" s="69">
        <v>127.24394299999901</v>
      </c>
      <c r="D19" s="69">
        <v>120.491226</v>
      </c>
      <c r="E19" s="69">
        <v>152.05031299999999</v>
      </c>
      <c r="F19" s="69">
        <v>123.71884499999901</v>
      </c>
      <c r="G19" s="69">
        <v>134.196764</v>
      </c>
      <c r="H19" s="69">
        <v>233.43315899999999</v>
      </c>
      <c r="I19" s="69">
        <v>135.34145799999999</v>
      </c>
      <c r="J19" s="69">
        <v>142.597758</v>
      </c>
      <c r="K19" s="69">
        <v>131.80369099999999</v>
      </c>
      <c r="L19" s="69">
        <v>131.09754099999901</v>
      </c>
      <c r="M19" s="69">
        <v>138.99341899999999</v>
      </c>
      <c r="N19" s="69">
        <v>316.14241999999899</v>
      </c>
      <c r="O19" s="69">
        <v>1887.110537</v>
      </c>
    </row>
    <row r="22" spans="1:15" ht="14.25" x14ac:dyDescent="0.15">
      <c r="A22" s="52"/>
      <c r="B22" s="53"/>
      <c r="C22" s="380" t="s">
        <v>257</v>
      </c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26"/>
    </row>
    <row r="23" spans="1:15" ht="14.25" x14ac:dyDescent="0.15">
      <c r="A23" s="52" t="s">
        <v>179</v>
      </c>
      <c r="B23" s="26" t="s">
        <v>0</v>
      </c>
      <c r="C23" s="30" t="s">
        <v>83</v>
      </c>
      <c r="D23" s="30" t="s">
        <v>84</v>
      </c>
      <c r="E23" s="30" t="s">
        <v>85</v>
      </c>
      <c r="F23" s="30" t="s">
        <v>86</v>
      </c>
      <c r="G23" s="30" t="s">
        <v>87</v>
      </c>
      <c r="H23" s="30" t="s">
        <v>88</v>
      </c>
      <c r="I23" s="30" t="s">
        <v>89</v>
      </c>
      <c r="J23" s="30" t="s">
        <v>90</v>
      </c>
      <c r="K23" s="30" t="s">
        <v>91</v>
      </c>
      <c r="L23" s="30" t="s">
        <v>92</v>
      </c>
      <c r="M23" s="30" t="s">
        <v>93</v>
      </c>
      <c r="N23" s="30" t="s">
        <v>94</v>
      </c>
      <c r="O23" s="44" t="s">
        <v>111</v>
      </c>
    </row>
    <row r="24" spans="1:15" ht="14.25" x14ac:dyDescent="0.15">
      <c r="A24" s="36" t="s">
        <v>148</v>
      </c>
      <c r="B24" s="26"/>
      <c r="C24" s="69">
        <f>白银!C10</f>
        <v>520.26874299999997</v>
      </c>
      <c r="D24" s="69">
        <f>白银!D10</f>
        <v>482.09062499999999</v>
      </c>
      <c r="E24" s="69">
        <f>白银!E10</f>
        <v>549.202891999999</v>
      </c>
      <c r="F24" s="69">
        <f>白银!F10</f>
        <v>522.985545</v>
      </c>
      <c r="G24" s="69">
        <f>白银!G10</f>
        <v>0</v>
      </c>
      <c r="H24" s="69">
        <f>白银!H10</f>
        <v>0</v>
      </c>
      <c r="I24" s="69">
        <f>白银!I10</f>
        <v>0</v>
      </c>
      <c r="J24" s="69">
        <f>白银!J10</f>
        <v>0</v>
      </c>
      <c r="K24" s="69">
        <f>白银!K10</f>
        <v>0</v>
      </c>
      <c r="L24" s="69">
        <f>白银!L10</f>
        <v>0</v>
      </c>
      <c r="M24" s="69">
        <f>白银!M10</f>
        <v>0</v>
      </c>
      <c r="N24" s="69">
        <f>白银!N10</f>
        <v>0</v>
      </c>
      <c r="O24" s="77">
        <f>SUM(C24:N24)</f>
        <v>2074.5478049999988</v>
      </c>
    </row>
    <row r="25" spans="1:15" ht="14.25" x14ac:dyDescent="0.15">
      <c r="A25" s="36" t="s">
        <v>149</v>
      </c>
      <c r="B25" s="26"/>
      <c r="C25" s="69">
        <f>酒一!C10</f>
        <v>536.39583200000004</v>
      </c>
      <c r="D25" s="69">
        <f>酒一!D10</f>
        <v>490.27267399999999</v>
      </c>
      <c r="E25" s="69">
        <f>酒一!E10</f>
        <v>523.48112799999899</v>
      </c>
      <c r="F25" s="69">
        <f>酒一!F10</f>
        <v>536.15591099999995</v>
      </c>
      <c r="G25" s="69">
        <f>酒一!G10</f>
        <v>0</v>
      </c>
      <c r="H25" s="69">
        <f>酒一!H10</f>
        <v>0</v>
      </c>
      <c r="I25" s="69">
        <f>酒一!I10</f>
        <v>0</v>
      </c>
      <c r="J25" s="69">
        <f>酒一!J10</f>
        <v>0</v>
      </c>
      <c r="K25" s="69">
        <f>酒一!K10</f>
        <v>0</v>
      </c>
      <c r="L25" s="69">
        <f>酒一!L10</f>
        <v>0</v>
      </c>
      <c r="M25" s="69">
        <f>酒一!M10</f>
        <v>0</v>
      </c>
      <c r="N25" s="69">
        <f>酒一!N10</f>
        <v>0</v>
      </c>
      <c r="O25" s="77">
        <f t="shared" ref="O25:O45" si="0">SUM(C25:N25)</f>
        <v>2086.3055449999988</v>
      </c>
    </row>
    <row r="26" spans="1:15" ht="14.25" x14ac:dyDescent="0.15">
      <c r="A26" s="36" t="s">
        <v>150</v>
      </c>
      <c r="B26" s="26"/>
      <c r="C26" s="69">
        <f>酒二!C10</f>
        <v>939.16627200000005</v>
      </c>
      <c r="D26" s="69">
        <f>酒二!D10</f>
        <v>871.39796599999897</v>
      </c>
      <c r="E26" s="69">
        <f>酒二!E10</f>
        <v>882.29723300000001</v>
      </c>
      <c r="F26" s="69">
        <f>酒二!F10</f>
        <v>984.31546499999899</v>
      </c>
      <c r="G26" s="69">
        <f>酒二!G10</f>
        <v>0</v>
      </c>
      <c r="H26" s="69">
        <f>酒二!H10</f>
        <v>0</v>
      </c>
      <c r="I26" s="69">
        <f>酒二!I10</f>
        <v>0</v>
      </c>
      <c r="J26" s="69">
        <f>酒二!J10</f>
        <v>0</v>
      </c>
      <c r="K26" s="69">
        <f>酒二!K10</f>
        <v>0</v>
      </c>
      <c r="L26" s="69">
        <f>酒二!L10</f>
        <v>0</v>
      </c>
      <c r="M26" s="69">
        <f>酒二!M10</f>
        <v>0</v>
      </c>
      <c r="N26" s="69">
        <f>酒二!N10</f>
        <v>0</v>
      </c>
      <c r="O26" s="77">
        <f t="shared" si="0"/>
        <v>3677.176935999998</v>
      </c>
    </row>
    <row r="27" spans="1:15" ht="14.25" x14ac:dyDescent="0.15">
      <c r="A27" s="36" t="s">
        <v>151</v>
      </c>
      <c r="B27" s="26"/>
      <c r="C27" s="69">
        <f>青海!C10</f>
        <v>461.93588699999998</v>
      </c>
      <c r="D27" s="69">
        <f>青海!D10</f>
        <v>381.82506999999998</v>
      </c>
      <c r="E27" s="69">
        <f>青海!E10</f>
        <v>462.99315099999899</v>
      </c>
      <c r="F27" s="69">
        <f>青海!F10</f>
        <v>489.11139999999898</v>
      </c>
      <c r="G27" s="69">
        <f>青海!G10</f>
        <v>0</v>
      </c>
      <c r="H27" s="69">
        <f>青海!H10</f>
        <v>0</v>
      </c>
      <c r="I27" s="69">
        <f>青海!I10</f>
        <v>0</v>
      </c>
      <c r="J27" s="69">
        <f>青海!J10</f>
        <v>0</v>
      </c>
      <c r="K27" s="69">
        <f>青海!K10</f>
        <v>0</v>
      </c>
      <c r="L27" s="69">
        <f>青海!L10</f>
        <v>0</v>
      </c>
      <c r="M27" s="69">
        <f>青海!M10</f>
        <v>0</v>
      </c>
      <c r="N27" s="69">
        <f>青海!N10</f>
        <v>0</v>
      </c>
      <c r="O27" s="77">
        <f t="shared" si="0"/>
        <v>1795.865507999998</v>
      </c>
    </row>
    <row r="28" spans="1:15" ht="14.25" x14ac:dyDescent="0.15">
      <c r="A28" s="36" t="s">
        <v>152</v>
      </c>
      <c r="B28" s="26"/>
      <c r="C28" s="69">
        <f>哈密!C10</f>
        <v>1638.8564879999999</v>
      </c>
      <c r="D28" s="69">
        <f>哈密!D10</f>
        <v>1393.3748270000001</v>
      </c>
      <c r="E28" s="69">
        <f>哈密!E10</f>
        <v>1458.5120509999999</v>
      </c>
      <c r="F28" s="69">
        <f>哈密!F10</f>
        <v>1853.92682299999</v>
      </c>
      <c r="G28" s="69">
        <f>哈密!G10</f>
        <v>0</v>
      </c>
      <c r="H28" s="69">
        <f>哈密!H10</f>
        <v>0</v>
      </c>
      <c r="I28" s="69">
        <f>哈密!I10</f>
        <v>0</v>
      </c>
      <c r="J28" s="69">
        <f>哈密!J10</f>
        <v>0</v>
      </c>
      <c r="K28" s="69">
        <f>哈密!K10</f>
        <v>0</v>
      </c>
      <c r="L28" s="69">
        <f>哈密!L10</f>
        <v>0</v>
      </c>
      <c r="M28" s="69">
        <f>哈密!M10</f>
        <v>0</v>
      </c>
      <c r="N28" s="69">
        <f>哈密!N10</f>
        <v>0</v>
      </c>
      <c r="O28" s="77">
        <f t="shared" si="0"/>
        <v>6344.6701889999895</v>
      </c>
    </row>
    <row r="29" spans="1:15" ht="14.25" x14ac:dyDescent="0.15">
      <c r="A29" s="36" t="s">
        <v>153</v>
      </c>
      <c r="B29" s="26"/>
      <c r="C29" s="69">
        <f>三塘湖!C10</f>
        <v>270.47117900000001</v>
      </c>
      <c r="D29" s="69">
        <f>三塘湖!D10</f>
        <v>208.04623599999999</v>
      </c>
      <c r="E29" s="69">
        <f>三塘湖!E10</f>
        <v>232.02047999999996</v>
      </c>
      <c r="F29" s="69">
        <f>三塘湖!F10</f>
        <v>291.79332399999998</v>
      </c>
      <c r="G29" s="69">
        <f>三塘湖!G10</f>
        <v>0</v>
      </c>
      <c r="H29" s="69">
        <f>三塘湖!H10</f>
        <v>0</v>
      </c>
      <c r="I29" s="69">
        <f>三塘湖!I10</f>
        <v>0</v>
      </c>
      <c r="J29" s="69">
        <f>三塘湖!J10</f>
        <v>0</v>
      </c>
      <c r="K29" s="69">
        <f>三塘湖!K10</f>
        <v>0</v>
      </c>
      <c r="L29" s="69">
        <f>三塘湖!L10</f>
        <v>0</v>
      </c>
      <c r="M29" s="69">
        <f>三塘湖!M10</f>
        <v>0</v>
      </c>
      <c r="N29" s="69">
        <f>三塘湖!N10</f>
        <v>0</v>
      </c>
      <c r="O29" s="77">
        <f t="shared" si="0"/>
        <v>1002.3312189999999</v>
      </c>
    </row>
    <row r="30" spans="1:15" ht="14.25" x14ac:dyDescent="0.15">
      <c r="A30" s="36" t="s">
        <v>154</v>
      </c>
      <c r="B30" s="26"/>
      <c r="C30" s="69">
        <f>淖毛湖!C10</f>
        <v>308.88749799999999</v>
      </c>
      <c r="D30" s="69">
        <f>淖毛湖!D10</f>
        <v>264.05832300000003</v>
      </c>
      <c r="E30" s="69">
        <f>淖毛湖!E10</f>
        <v>271.60010999999997</v>
      </c>
      <c r="F30" s="69">
        <f>淖毛湖!F10</f>
        <v>384.48452399999996</v>
      </c>
      <c r="G30" s="69">
        <f>淖毛湖!G10</f>
        <v>0</v>
      </c>
      <c r="H30" s="69">
        <f>淖毛湖!H10</f>
        <v>0</v>
      </c>
      <c r="I30" s="69">
        <f>淖毛湖!I10</f>
        <v>0</v>
      </c>
      <c r="J30" s="69">
        <f>淖毛湖!J10</f>
        <v>0</v>
      </c>
      <c r="K30" s="69">
        <f>淖毛湖!K10</f>
        <v>0</v>
      </c>
      <c r="L30" s="69">
        <f>淖毛湖!L10</f>
        <v>0</v>
      </c>
      <c r="M30" s="69">
        <f>淖毛湖!M10</f>
        <v>0</v>
      </c>
      <c r="N30" s="69">
        <f>淖毛湖!N10</f>
        <v>0</v>
      </c>
      <c r="O30" s="77">
        <f t="shared" si="0"/>
        <v>1229.0304550000001</v>
      </c>
    </row>
    <row r="31" spans="1:15" ht="14.25" x14ac:dyDescent="0.15">
      <c r="A31" s="36" t="s">
        <v>155</v>
      </c>
      <c r="B31" s="26"/>
      <c r="C31" s="69">
        <f>景峡!C10</f>
        <v>537.96197700000005</v>
      </c>
      <c r="D31" s="69">
        <f>景峡!D10</f>
        <v>473.40736400000003</v>
      </c>
      <c r="E31" s="69">
        <f>景峡!E10</f>
        <v>486.80850199999998</v>
      </c>
      <c r="F31" s="69">
        <f>景峡!F10</f>
        <v>617.09151099999997</v>
      </c>
      <c r="G31" s="69">
        <f>景峡!G10</f>
        <v>0</v>
      </c>
      <c r="H31" s="69">
        <f>景峡!H10</f>
        <v>0</v>
      </c>
      <c r="I31" s="69">
        <f>景峡!I10</f>
        <v>0</v>
      </c>
      <c r="J31" s="69">
        <f>景峡!J10</f>
        <v>0</v>
      </c>
      <c r="K31" s="69">
        <f>景峡!K10</f>
        <v>0</v>
      </c>
      <c r="L31" s="69">
        <f>景峡!L10</f>
        <v>0</v>
      </c>
      <c r="M31" s="69">
        <f>景峡!M10</f>
        <v>0</v>
      </c>
      <c r="N31" s="69">
        <f>景峡!N10</f>
        <v>0</v>
      </c>
      <c r="O31" s="77">
        <f t="shared" si="0"/>
        <v>2115.269354</v>
      </c>
    </row>
    <row r="32" spans="1:15" ht="14.25" x14ac:dyDescent="0.15">
      <c r="A32" s="36" t="s">
        <v>156</v>
      </c>
      <c r="B32" s="26"/>
      <c r="C32" s="69">
        <f>烟墩!C10</f>
        <v>521.53583400000002</v>
      </c>
      <c r="D32" s="69">
        <f>烟墩!D10</f>
        <v>447.86290399999996</v>
      </c>
      <c r="E32" s="69">
        <f>烟墩!E10</f>
        <v>468.08295900000002</v>
      </c>
      <c r="F32" s="69">
        <f>烟墩!F10</f>
        <v>560.55746399999998</v>
      </c>
      <c r="G32" s="69">
        <f>烟墩!G10</f>
        <v>0</v>
      </c>
      <c r="H32" s="69">
        <f>烟墩!H10</f>
        <v>0</v>
      </c>
      <c r="I32" s="69">
        <f>烟墩!I10</f>
        <v>0</v>
      </c>
      <c r="J32" s="69">
        <f>烟墩!J10</f>
        <v>0</v>
      </c>
      <c r="K32" s="69">
        <f>烟墩!K10</f>
        <v>0</v>
      </c>
      <c r="L32" s="69">
        <f>烟墩!L10</f>
        <v>0</v>
      </c>
      <c r="M32" s="69">
        <f>烟墩!M10</f>
        <v>0</v>
      </c>
      <c r="N32" s="69">
        <f>烟墩!N10</f>
        <v>0</v>
      </c>
      <c r="O32" s="77">
        <f t="shared" si="0"/>
        <v>1998.0391609999999</v>
      </c>
    </row>
    <row r="33" spans="1:15" ht="14.25" x14ac:dyDescent="0.15">
      <c r="A33" s="36" t="s">
        <v>157</v>
      </c>
      <c r="B33" s="26"/>
      <c r="C33" s="69">
        <f>吐鲁番!C10</f>
        <v>295.67748599999999</v>
      </c>
      <c r="D33" s="69">
        <f>吐鲁番!D10</f>
        <v>259.508487</v>
      </c>
      <c r="E33" s="69">
        <f>吐鲁番!E10</f>
        <v>281.13427299999898</v>
      </c>
      <c r="F33" s="69">
        <f>吐鲁番!F10</f>
        <v>297.884444999999</v>
      </c>
      <c r="G33" s="69">
        <f>吐鲁番!G10</f>
        <v>0</v>
      </c>
      <c r="H33" s="69">
        <f>吐鲁番!H10</f>
        <v>0</v>
      </c>
      <c r="I33" s="69">
        <f>吐鲁番!I10</f>
        <v>0</v>
      </c>
      <c r="J33" s="69">
        <f>吐鲁番!J10</f>
        <v>0</v>
      </c>
      <c r="K33" s="69">
        <f>吐鲁番!K10</f>
        <v>0</v>
      </c>
      <c r="L33" s="69">
        <f>吐鲁番!L10</f>
        <v>0</v>
      </c>
      <c r="M33" s="69">
        <f>吐鲁番!M10</f>
        <v>0</v>
      </c>
      <c r="N33" s="69">
        <f>吐鲁番!N10</f>
        <v>0</v>
      </c>
      <c r="O33" s="77">
        <f t="shared" si="0"/>
        <v>1134.2046909999981</v>
      </c>
    </row>
    <row r="34" spans="1:15" ht="14.25" x14ac:dyDescent="0.15">
      <c r="A34" s="36" t="s">
        <v>158</v>
      </c>
      <c r="B34" s="26"/>
      <c r="C34" s="69">
        <f>敦煌!C10</f>
        <v>277.21308599999998</v>
      </c>
      <c r="D34" s="69">
        <f>敦煌!D10</f>
        <v>241.65252100000001</v>
      </c>
      <c r="E34" s="69">
        <f>敦煌!E10</f>
        <v>251.96522899999999</v>
      </c>
      <c r="F34" s="69">
        <f>敦煌!F10</f>
        <v>296.83387699999997</v>
      </c>
      <c r="G34" s="69">
        <f>敦煌!G10</f>
        <v>0</v>
      </c>
      <c r="H34" s="69">
        <f>敦煌!H10</f>
        <v>0</v>
      </c>
      <c r="I34" s="69">
        <f>敦煌!I10</f>
        <v>0</v>
      </c>
      <c r="J34" s="69">
        <f>敦煌!J10</f>
        <v>0</v>
      </c>
      <c r="K34" s="69">
        <f>敦煌!K10</f>
        <v>0</v>
      </c>
      <c r="L34" s="69">
        <f>敦煌!L10</f>
        <v>0</v>
      </c>
      <c r="M34" s="69">
        <f>敦煌!M10</f>
        <v>0</v>
      </c>
      <c r="N34" s="69">
        <f>敦煌!N10</f>
        <v>0</v>
      </c>
      <c r="O34" s="77">
        <f t="shared" si="0"/>
        <v>1067.6647129999999</v>
      </c>
    </row>
    <row r="35" spans="1:15" ht="14.25" x14ac:dyDescent="0.15">
      <c r="A35" s="36" t="s">
        <v>159</v>
      </c>
      <c r="B35" s="26"/>
      <c r="C35" s="69">
        <f>格尔木!C10</f>
        <v>462.18051500000001</v>
      </c>
      <c r="D35" s="69">
        <f>格尔木!D10</f>
        <v>408.319783999999</v>
      </c>
      <c r="E35" s="69">
        <f>格尔木!E10</f>
        <v>469.01279899999997</v>
      </c>
      <c r="F35" s="69">
        <f>格尔木!F10</f>
        <v>467.87530399999901</v>
      </c>
      <c r="G35" s="69">
        <f>格尔木!G10</f>
        <v>0</v>
      </c>
      <c r="H35" s="69">
        <f>格尔木!H10</f>
        <v>0</v>
      </c>
      <c r="I35" s="69">
        <f>格尔木!I10</f>
        <v>0</v>
      </c>
      <c r="J35" s="69">
        <f>格尔木!J10</f>
        <v>0</v>
      </c>
      <c r="K35" s="69">
        <f>格尔木!K10</f>
        <v>0</v>
      </c>
      <c r="L35" s="69">
        <f>格尔木!L10</f>
        <v>0</v>
      </c>
      <c r="M35" s="69">
        <f>格尔木!M10</f>
        <v>0</v>
      </c>
      <c r="N35" s="69">
        <f>格尔木!N10</f>
        <v>0</v>
      </c>
      <c r="O35" s="77">
        <f t="shared" si="0"/>
        <v>1807.388401999998</v>
      </c>
    </row>
    <row r="36" spans="1:15" ht="14.25" x14ac:dyDescent="0.15">
      <c r="A36" s="36" t="s">
        <v>160</v>
      </c>
      <c r="B36" s="26"/>
      <c r="C36" s="69">
        <f>石嘴山!C10</f>
        <v>250.63234700000001</v>
      </c>
      <c r="D36" s="69">
        <f>石嘴山!D10</f>
        <v>230.73532599999999</v>
      </c>
      <c r="E36" s="69">
        <f>石嘴山!E10</f>
        <v>283.562714999999</v>
      </c>
      <c r="F36" s="69">
        <f>石嘴山!F10</f>
        <v>267.24314700000002</v>
      </c>
      <c r="G36" s="69">
        <f>石嘴山!G10</f>
        <v>0</v>
      </c>
      <c r="H36" s="69">
        <f>石嘴山!H10</f>
        <v>0</v>
      </c>
      <c r="I36" s="69">
        <f>石嘴山!I10</f>
        <v>0</v>
      </c>
      <c r="J36" s="69">
        <f>石嘴山!J10</f>
        <v>0</v>
      </c>
      <c r="K36" s="69">
        <f>石嘴山!K10</f>
        <v>0</v>
      </c>
      <c r="L36" s="69">
        <f>石嘴山!L10</f>
        <v>0</v>
      </c>
      <c r="M36" s="69">
        <f>石嘴山!M10</f>
        <v>0</v>
      </c>
      <c r="N36" s="69">
        <f>石嘴山!N10</f>
        <v>0</v>
      </c>
      <c r="O36" s="77">
        <f t="shared" si="0"/>
        <v>1032.173534999999</v>
      </c>
    </row>
    <row r="37" spans="1:15" ht="14.25" x14ac:dyDescent="0.15">
      <c r="A37" s="36" t="s">
        <v>95</v>
      </c>
      <c r="B37" s="26"/>
      <c r="C37" s="70">
        <f>SUM(C24:C28,C33:C36)</f>
        <v>5382.3266559999993</v>
      </c>
      <c r="D37" s="70">
        <f t="shared" ref="D37:N37" si="1">SUM(D24:D28,D33:D36)</f>
        <v>4759.177279999999</v>
      </c>
      <c r="E37" s="70">
        <f t="shared" si="1"/>
        <v>5162.1614709999949</v>
      </c>
      <c r="F37" s="70">
        <f t="shared" si="1"/>
        <v>5716.3319169999859</v>
      </c>
      <c r="G37" s="70">
        <f t="shared" si="1"/>
        <v>0</v>
      </c>
      <c r="H37" s="70">
        <f t="shared" si="1"/>
        <v>0</v>
      </c>
      <c r="I37" s="70">
        <f t="shared" si="1"/>
        <v>0</v>
      </c>
      <c r="J37" s="70">
        <f t="shared" si="1"/>
        <v>0</v>
      </c>
      <c r="K37" s="70">
        <f t="shared" si="1"/>
        <v>0</v>
      </c>
      <c r="L37" s="70">
        <f t="shared" si="1"/>
        <v>0</v>
      </c>
      <c r="M37" s="70">
        <f t="shared" si="1"/>
        <v>0</v>
      </c>
      <c r="N37" s="70">
        <f t="shared" si="1"/>
        <v>0</v>
      </c>
      <c r="O37" s="77">
        <f t="shared" si="0"/>
        <v>21019.997323999978</v>
      </c>
    </row>
    <row r="38" spans="1:15" ht="14.25" x14ac:dyDescent="0.15">
      <c r="A38" s="36" t="s">
        <v>163</v>
      </c>
      <c r="B38" s="36"/>
      <c r="C38" s="69">
        <f>云南!C10</f>
        <v>508.07741600000003</v>
      </c>
      <c r="D38" s="69">
        <f>云南!D10</f>
        <v>508.070573999999</v>
      </c>
      <c r="E38" s="69">
        <f>云南!E10</f>
        <v>580.13968399999999</v>
      </c>
      <c r="F38" s="69">
        <f>云南!F10</f>
        <v>557.29264299999898</v>
      </c>
      <c r="G38" s="69">
        <f>云南!G10</f>
        <v>0</v>
      </c>
      <c r="H38" s="69">
        <f>云南!H10</f>
        <v>0</v>
      </c>
      <c r="I38" s="69">
        <f>云南!I10</f>
        <v>0</v>
      </c>
      <c r="J38" s="69">
        <f>云南!J10</f>
        <v>0</v>
      </c>
      <c r="K38" s="69">
        <f>云南!K10</f>
        <v>0</v>
      </c>
      <c r="L38" s="69">
        <f>云南!L10</f>
        <v>0</v>
      </c>
      <c r="M38" s="69">
        <f>云南!M10</f>
        <v>0</v>
      </c>
      <c r="N38" s="69">
        <f>云南!N10</f>
        <v>0</v>
      </c>
      <c r="O38" s="77">
        <f t="shared" si="0"/>
        <v>2153.5803169999981</v>
      </c>
    </row>
    <row r="39" spans="1:15" ht="14.25" x14ac:dyDescent="0.15">
      <c r="A39" s="36" t="s">
        <v>164</v>
      </c>
      <c r="B39" s="36"/>
      <c r="C39" s="69">
        <f>楚雄!C10</f>
        <v>281.09305699999999</v>
      </c>
      <c r="D39" s="69">
        <f>楚雄!D10</f>
        <v>294.48448300000001</v>
      </c>
      <c r="E39" s="69">
        <f>楚雄!E10</f>
        <v>355.00593899999899</v>
      </c>
      <c r="F39" s="69">
        <f>楚雄!F10</f>
        <v>298.38460600000002</v>
      </c>
      <c r="G39" s="69">
        <f>楚雄!G10</f>
        <v>0</v>
      </c>
      <c r="H39" s="69">
        <f>楚雄!H10</f>
        <v>0</v>
      </c>
      <c r="I39" s="69">
        <f>楚雄!I10</f>
        <v>0</v>
      </c>
      <c r="J39" s="69">
        <f>楚雄!J10</f>
        <v>0</v>
      </c>
      <c r="K39" s="69">
        <f>楚雄!K10</f>
        <v>0</v>
      </c>
      <c r="L39" s="69">
        <f>楚雄!L10</f>
        <v>0</v>
      </c>
      <c r="M39" s="69">
        <f>楚雄!M10</f>
        <v>0</v>
      </c>
      <c r="N39" s="69">
        <f>楚雄!N10</f>
        <v>0</v>
      </c>
      <c r="O39" s="77">
        <f t="shared" si="0"/>
        <v>1228.9680849999991</v>
      </c>
    </row>
    <row r="40" spans="1:15" ht="14.25" x14ac:dyDescent="0.15">
      <c r="A40" s="36" t="s">
        <v>165</v>
      </c>
      <c r="B40" s="36"/>
      <c r="C40" s="69">
        <f>大理!C10</f>
        <v>123.52284899999999</v>
      </c>
      <c r="D40" s="69">
        <f>大理!D10</f>
        <v>116.921314</v>
      </c>
      <c r="E40" s="69">
        <f>大理!E10</f>
        <v>141.08817099999999</v>
      </c>
      <c r="F40" s="69">
        <f>大理!F10</f>
        <v>122.972452</v>
      </c>
      <c r="G40" s="69">
        <f>大理!G10</f>
        <v>0</v>
      </c>
      <c r="H40" s="69">
        <f>大理!H10</f>
        <v>0</v>
      </c>
      <c r="I40" s="69">
        <f>大理!I10</f>
        <v>0</v>
      </c>
      <c r="J40" s="69">
        <f>大理!J10</f>
        <v>0</v>
      </c>
      <c r="K40" s="69">
        <f>大理!K10</f>
        <v>0</v>
      </c>
      <c r="L40" s="69">
        <f>大理!L10</f>
        <v>0</v>
      </c>
      <c r="M40" s="69">
        <f>大理!M10</f>
        <v>0</v>
      </c>
      <c r="N40" s="69">
        <f>大理!N10</f>
        <v>0</v>
      </c>
      <c r="O40" s="77">
        <f t="shared" si="0"/>
        <v>504.50478599999997</v>
      </c>
    </row>
    <row r="41" spans="1:15" ht="14.25" x14ac:dyDescent="0.15">
      <c r="A41" s="71" t="s">
        <v>176</v>
      </c>
      <c r="B41" s="71"/>
      <c r="C41" s="72">
        <f>SUM(C38:C40)</f>
        <v>912.69332199999997</v>
      </c>
      <c r="D41" s="72">
        <f t="shared" ref="D41:N41" si="2">SUM(D38:D40)</f>
        <v>919.47637099999906</v>
      </c>
      <c r="E41" s="72">
        <f t="shared" si="2"/>
        <v>1076.2337939999989</v>
      </c>
      <c r="F41" s="72">
        <f t="shared" si="2"/>
        <v>978.64970099999891</v>
      </c>
      <c r="G41" s="72">
        <f t="shared" si="2"/>
        <v>0</v>
      </c>
      <c r="H41" s="72">
        <f t="shared" si="2"/>
        <v>0</v>
      </c>
      <c r="I41" s="72">
        <f t="shared" si="2"/>
        <v>0</v>
      </c>
      <c r="J41" s="72">
        <f t="shared" si="2"/>
        <v>0</v>
      </c>
      <c r="K41" s="72">
        <f t="shared" si="2"/>
        <v>0</v>
      </c>
      <c r="L41" s="72">
        <f t="shared" si="2"/>
        <v>0</v>
      </c>
      <c r="M41" s="72">
        <f t="shared" si="2"/>
        <v>0</v>
      </c>
      <c r="N41" s="72">
        <f t="shared" si="2"/>
        <v>0</v>
      </c>
      <c r="O41" s="77">
        <f t="shared" si="0"/>
        <v>3887.0531879999967</v>
      </c>
    </row>
    <row r="42" spans="1:15" ht="14.25" x14ac:dyDescent="0.15">
      <c r="A42" s="73" t="s">
        <v>238</v>
      </c>
      <c r="B42" s="73"/>
      <c r="C42" s="74">
        <f>广西!C10</f>
        <v>0</v>
      </c>
      <c r="D42" s="74">
        <f>广西!D10</f>
        <v>0</v>
      </c>
      <c r="E42" s="74">
        <f>广西!E10</f>
        <v>0</v>
      </c>
      <c r="F42" s="74">
        <f>广西!F10</f>
        <v>0</v>
      </c>
      <c r="G42" s="74">
        <f>广西!G10</f>
        <v>0</v>
      </c>
      <c r="H42" s="74">
        <f>广西!H10</f>
        <v>0</v>
      </c>
      <c r="I42" s="74">
        <f>广西!I10</f>
        <v>0</v>
      </c>
      <c r="J42" s="74">
        <f>广西!J10</f>
        <v>0</v>
      </c>
      <c r="K42" s="74">
        <f>广西!K10</f>
        <v>0</v>
      </c>
      <c r="L42" s="74">
        <f>广西!L10</f>
        <v>0</v>
      </c>
      <c r="M42" s="74">
        <f>广西!M10</f>
        <v>0</v>
      </c>
      <c r="N42" s="74">
        <f>广西!N10</f>
        <v>0</v>
      </c>
      <c r="O42" s="77">
        <f t="shared" si="0"/>
        <v>0</v>
      </c>
    </row>
    <row r="43" spans="1:15" ht="14.25" x14ac:dyDescent="0.15">
      <c r="A43" s="75" t="s">
        <v>95</v>
      </c>
      <c r="B43" s="36"/>
      <c r="C43" s="69">
        <f>SUM(C37,C41:C42)</f>
        <v>6295.0199779999994</v>
      </c>
      <c r="D43" s="69">
        <f t="shared" ref="D43:N43" si="3">SUM(D37,D41:D42)</f>
        <v>5678.6536509999978</v>
      </c>
      <c r="E43" s="69">
        <f t="shared" si="3"/>
        <v>6238.3952649999937</v>
      </c>
      <c r="F43" s="69">
        <f t="shared" si="3"/>
        <v>6694.9816179999852</v>
      </c>
      <c r="G43" s="69">
        <f t="shared" si="3"/>
        <v>0</v>
      </c>
      <c r="H43" s="69">
        <f t="shared" si="3"/>
        <v>0</v>
      </c>
      <c r="I43" s="69">
        <f t="shared" si="3"/>
        <v>0</v>
      </c>
      <c r="J43" s="69">
        <f t="shared" si="3"/>
        <v>0</v>
      </c>
      <c r="K43" s="69">
        <f t="shared" si="3"/>
        <v>0</v>
      </c>
      <c r="L43" s="69">
        <f t="shared" si="3"/>
        <v>0</v>
      </c>
      <c r="M43" s="69">
        <f t="shared" si="3"/>
        <v>0</v>
      </c>
      <c r="N43" s="69">
        <f t="shared" si="3"/>
        <v>0</v>
      </c>
      <c r="O43" s="77">
        <f t="shared" si="0"/>
        <v>24907.050511999973</v>
      </c>
    </row>
    <row r="44" spans="1:15" x14ac:dyDescent="0.15">
      <c r="A44" s="43" t="s">
        <v>248</v>
      </c>
      <c r="B44" s="43"/>
      <c r="C44" s="76">
        <v>221.80244200000001</v>
      </c>
      <c r="D44" s="76">
        <v>182.520903</v>
      </c>
      <c r="E44" s="76">
        <v>259.61007699999999</v>
      </c>
      <c r="F44" s="76">
        <v>235.317385</v>
      </c>
      <c r="G44" s="76"/>
      <c r="H44" s="76"/>
      <c r="I44" s="76"/>
      <c r="J44" s="76"/>
      <c r="K44" s="76"/>
      <c r="L44" s="76"/>
      <c r="M44" s="76"/>
      <c r="N44" s="76"/>
      <c r="O44" s="77">
        <f t="shared" si="0"/>
        <v>899.25080700000012</v>
      </c>
    </row>
    <row r="45" spans="1:15" x14ac:dyDescent="0.15">
      <c r="A45" s="43" t="s">
        <v>115</v>
      </c>
      <c r="B45" s="43"/>
      <c r="C45" s="76">
        <v>240.13344499999999</v>
      </c>
      <c r="D45" s="76">
        <v>199.30416700000001</v>
      </c>
      <c r="E45" s="76">
        <v>203.38307399999999</v>
      </c>
      <c r="F45" s="76">
        <v>253.794015</v>
      </c>
      <c r="G45" s="76"/>
      <c r="H45" s="76"/>
      <c r="I45" s="76"/>
      <c r="J45" s="76"/>
      <c r="K45" s="76"/>
      <c r="L45" s="76"/>
      <c r="M45" s="76"/>
      <c r="N45" s="76"/>
      <c r="O45" s="77">
        <f t="shared" si="0"/>
        <v>896.61470099999997</v>
      </c>
    </row>
  </sheetData>
  <mergeCells count="2">
    <mergeCell ref="C1:N1"/>
    <mergeCell ref="C22:N22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7"/>
  <sheetViews>
    <sheetView workbookViewId="0">
      <pane xSplit="1" ySplit="2" topLeftCell="C3" activePane="bottomRight" state="frozenSplit"/>
      <selection pane="topRight"/>
      <selection pane="bottomLeft"/>
      <selection pane="bottomRight" activeCell="H22" sqref="H22"/>
    </sheetView>
  </sheetViews>
  <sheetFormatPr defaultColWidth="9" defaultRowHeight="12" x14ac:dyDescent="0.15"/>
  <cols>
    <col min="1" max="4" width="13" style="59" customWidth="1"/>
    <col min="5" max="5" width="10.5" style="59" customWidth="1"/>
    <col min="6" max="6" width="9" style="59"/>
    <col min="7" max="7" width="11.75" style="59" customWidth="1"/>
    <col min="8" max="8" width="10.25" style="59" customWidth="1"/>
    <col min="9" max="9" width="9" style="59"/>
    <col min="10" max="10" width="12.25" style="59" customWidth="1"/>
    <col min="11" max="11" width="10.25" style="59" customWidth="1"/>
    <col min="12" max="12" width="9" style="59"/>
    <col min="13" max="13" width="12.25" style="59" customWidth="1"/>
    <col min="14" max="16384" width="9" style="59"/>
  </cols>
  <sheetData>
    <row r="1" spans="1:14" ht="20.25" customHeight="1" x14ac:dyDescent="0.15">
      <c r="A1" s="384" t="s">
        <v>258</v>
      </c>
      <c r="B1" s="384"/>
      <c r="C1" s="384"/>
      <c r="D1" s="384"/>
      <c r="E1" s="384" t="s">
        <v>259</v>
      </c>
      <c r="F1" s="384"/>
      <c r="G1" s="384"/>
      <c r="H1" s="384" t="s">
        <v>260</v>
      </c>
      <c r="I1" s="384"/>
      <c r="J1" s="384"/>
      <c r="K1" s="384" t="s">
        <v>261</v>
      </c>
      <c r="L1" s="384"/>
      <c r="M1" s="384"/>
    </row>
    <row r="2" spans="1:14" ht="30.75" customHeight="1" x14ac:dyDescent="0.15">
      <c r="A2" s="61" t="s">
        <v>109</v>
      </c>
      <c r="B2" s="61" t="s">
        <v>262</v>
      </c>
      <c r="C2" s="61" t="s">
        <v>263</v>
      </c>
      <c r="D2" s="61" t="s">
        <v>264</v>
      </c>
      <c r="E2" s="61" t="s">
        <v>262</v>
      </c>
      <c r="F2" s="61" t="s">
        <v>265</v>
      </c>
      <c r="G2" s="61" t="s">
        <v>263</v>
      </c>
      <c r="H2" s="61" t="s">
        <v>262</v>
      </c>
      <c r="I2" s="61" t="s">
        <v>265</v>
      </c>
      <c r="J2" s="61" t="s">
        <v>263</v>
      </c>
      <c r="K2" s="61" t="s">
        <v>262</v>
      </c>
      <c r="L2" s="61" t="s">
        <v>265</v>
      </c>
      <c r="M2" s="61" t="s">
        <v>263</v>
      </c>
      <c r="N2" s="59" t="s">
        <v>266</v>
      </c>
    </row>
    <row r="3" spans="1:14" ht="20.25" customHeight="1" x14ac:dyDescent="0.15">
      <c r="A3" s="62" t="s">
        <v>148</v>
      </c>
      <c r="B3" s="63">
        <v>4423.6000000000004</v>
      </c>
      <c r="C3" s="63">
        <v>4783.6000000000004</v>
      </c>
      <c r="D3" s="63">
        <v>4944.7</v>
      </c>
      <c r="E3" s="63">
        <v>4646.25</v>
      </c>
      <c r="F3" s="63">
        <v>219.33</v>
      </c>
      <c r="G3" s="63">
        <v>5098.84</v>
      </c>
      <c r="H3" s="63">
        <v>136.81</v>
      </c>
      <c r="I3" s="63">
        <v>31.62</v>
      </c>
      <c r="J3" s="63">
        <v>105.19</v>
      </c>
      <c r="K3" s="63">
        <f>SUM(E3,H3)</f>
        <v>4783.0600000000004</v>
      </c>
      <c r="L3" s="63">
        <f>SUM(F3,I3)</f>
        <v>250.95000000000002</v>
      </c>
      <c r="M3" s="63">
        <f>SUM(G3,J3)</f>
        <v>5204.03</v>
      </c>
    </row>
    <row r="4" spans="1:14" ht="20.25" customHeight="1" x14ac:dyDescent="0.15">
      <c r="A4" s="62" t="s">
        <v>149</v>
      </c>
      <c r="B4" s="63">
        <v>4339.8999999999996</v>
      </c>
      <c r="C4" s="63">
        <v>4644.6000000000004</v>
      </c>
      <c r="D4" s="63">
        <v>1397.4</v>
      </c>
      <c r="E4" s="63">
        <v>4427.53</v>
      </c>
      <c r="F4" s="63">
        <v>295.67</v>
      </c>
      <c r="G4" s="63">
        <v>4709.95</v>
      </c>
      <c r="H4" s="63">
        <v>340.78</v>
      </c>
      <c r="I4" s="63">
        <v>4.29</v>
      </c>
      <c r="J4" s="63">
        <v>336.49</v>
      </c>
      <c r="K4" s="63">
        <f t="shared" ref="K4:K11" si="0">SUM(E4,H4)</f>
        <v>4768.3099999999995</v>
      </c>
      <c r="L4" s="63">
        <f t="shared" ref="L4:L11" si="1">SUM(F4,I4)</f>
        <v>299.96000000000004</v>
      </c>
      <c r="M4" s="63">
        <f t="shared" ref="M4:M11" si="2">SUM(G4,J4)</f>
        <v>5046.4399999999996</v>
      </c>
    </row>
    <row r="5" spans="1:14" ht="20.25" customHeight="1" x14ac:dyDescent="0.15">
      <c r="A5" s="62" t="s">
        <v>150</v>
      </c>
      <c r="B5" s="63">
        <v>6494.5</v>
      </c>
      <c r="C5" s="63">
        <v>6978.3</v>
      </c>
      <c r="D5" s="63">
        <v>1694.5</v>
      </c>
      <c r="E5" s="63">
        <v>6910.13</v>
      </c>
      <c r="F5" s="63"/>
      <c r="G5" s="63">
        <v>7206.52</v>
      </c>
      <c r="H5" s="63">
        <v>491.88</v>
      </c>
      <c r="I5" s="63">
        <v>16.77</v>
      </c>
      <c r="J5" s="63">
        <v>475.11</v>
      </c>
      <c r="K5" s="63">
        <f t="shared" si="0"/>
        <v>7402.01</v>
      </c>
      <c r="L5" s="63">
        <f t="shared" si="1"/>
        <v>16.77</v>
      </c>
      <c r="M5" s="63">
        <f t="shared" si="2"/>
        <v>7681.63</v>
      </c>
    </row>
    <row r="6" spans="1:14" ht="20.25" customHeight="1" x14ac:dyDescent="0.15">
      <c r="A6" s="62" t="s">
        <v>151</v>
      </c>
      <c r="B6" s="63">
        <v>4179</v>
      </c>
      <c r="C6" s="63">
        <v>4809.3</v>
      </c>
      <c r="D6" s="63">
        <v>7694.7</v>
      </c>
      <c r="E6" s="63">
        <v>4345.7700000000004</v>
      </c>
      <c r="F6" s="63">
        <v>127.68</v>
      </c>
      <c r="G6" s="63">
        <v>5014.58</v>
      </c>
      <c r="H6" s="63">
        <v>15.91</v>
      </c>
      <c r="I6" s="63">
        <v>0.01</v>
      </c>
      <c r="J6" s="63">
        <v>16.72</v>
      </c>
      <c r="K6" s="63">
        <f t="shared" si="0"/>
        <v>4361.68</v>
      </c>
      <c r="L6" s="63">
        <f t="shared" si="1"/>
        <v>127.69000000000001</v>
      </c>
      <c r="M6" s="63">
        <f t="shared" si="2"/>
        <v>5031.3</v>
      </c>
    </row>
    <row r="7" spans="1:14" ht="20.25" customHeight="1" x14ac:dyDescent="0.15">
      <c r="A7" s="62" t="s">
        <v>152</v>
      </c>
      <c r="B7" s="63">
        <v>13172</v>
      </c>
      <c r="C7" s="63">
        <v>14951.6</v>
      </c>
      <c r="D7" s="63">
        <v>5200.3</v>
      </c>
      <c r="E7" s="63">
        <v>13786.71</v>
      </c>
      <c r="F7" s="63">
        <v>615.07000000000005</v>
      </c>
      <c r="G7" s="63">
        <v>16121.2</v>
      </c>
      <c r="H7" s="63">
        <v>31.04</v>
      </c>
      <c r="I7" s="63">
        <v>18.2</v>
      </c>
      <c r="J7" s="63">
        <v>13.27</v>
      </c>
      <c r="K7" s="63">
        <f t="shared" si="0"/>
        <v>13817.75</v>
      </c>
      <c r="L7" s="63">
        <f t="shared" si="1"/>
        <v>633.2700000000001</v>
      </c>
      <c r="M7" s="63">
        <f t="shared" si="2"/>
        <v>16134.470000000001</v>
      </c>
    </row>
    <row r="8" spans="1:14" ht="20.25" customHeight="1" x14ac:dyDescent="0.15">
      <c r="A8" s="62" t="s">
        <v>157</v>
      </c>
      <c r="B8" s="63">
        <v>2930.9</v>
      </c>
      <c r="C8" s="63">
        <v>2930.9</v>
      </c>
      <c r="D8" s="63">
        <v>3590.8</v>
      </c>
      <c r="E8" s="63">
        <v>2957.49</v>
      </c>
      <c r="F8" s="63">
        <v>26.55</v>
      </c>
      <c r="G8" s="63">
        <v>3078.44</v>
      </c>
      <c r="H8" s="63"/>
      <c r="I8" s="63"/>
      <c r="J8" s="63"/>
      <c r="K8" s="63">
        <f t="shared" si="0"/>
        <v>2957.49</v>
      </c>
      <c r="L8" s="63">
        <f t="shared" si="1"/>
        <v>26.55</v>
      </c>
      <c r="M8" s="63">
        <f t="shared" si="2"/>
        <v>3078.44</v>
      </c>
    </row>
    <row r="9" spans="1:14" ht="20.25" customHeight="1" x14ac:dyDescent="0.15">
      <c r="A9" s="62" t="s">
        <v>158</v>
      </c>
      <c r="B9" s="63">
        <v>3403</v>
      </c>
      <c r="C9" s="63">
        <v>3619.8</v>
      </c>
      <c r="D9" s="63">
        <v>1184.7</v>
      </c>
      <c r="E9" s="63">
        <v>3531.58</v>
      </c>
      <c r="F9" s="63">
        <v>134.61000000000001</v>
      </c>
      <c r="G9" s="63">
        <v>3690.03</v>
      </c>
      <c r="H9" s="63">
        <v>30.13</v>
      </c>
      <c r="I9" s="63">
        <v>1.9</v>
      </c>
      <c r="J9" s="63">
        <v>28.23</v>
      </c>
      <c r="K9" s="63">
        <f t="shared" si="0"/>
        <v>3561.71</v>
      </c>
      <c r="L9" s="63">
        <f t="shared" si="1"/>
        <v>136.51000000000002</v>
      </c>
      <c r="M9" s="63">
        <f t="shared" si="2"/>
        <v>3718.26</v>
      </c>
    </row>
    <row r="10" spans="1:14" ht="20.25" customHeight="1" x14ac:dyDescent="0.15">
      <c r="A10" s="62" t="s">
        <v>159</v>
      </c>
      <c r="B10" s="63">
        <v>5680.3</v>
      </c>
      <c r="C10" s="63">
        <v>6202.6</v>
      </c>
      <c r="D10" s="63">
        <v>1757.6</v>
      </c>
      <c r="E10" s="63">
        <v>5774</v>
      </c>
      <c r="F10" s="63">
        <v>107.11</v>
      </c>
      <c r="G10" s="63">
        <v>6286.64</v>
      </c>
      <c r="H10" s="63">
        <v>64.72</v>
      </c>
      <c r="I10" s="63">
        <v>0.2</v>
      </c>
      <c r="J10" s="63">
        <v>64.52</v>
      </c>
      <c r="K10" s="63">
        <f t="shared" si="0"/>
        <v>5838.72</v>
      </c>
      <c r="L10" s="63">
        <f t="shared" si="1"/>
        <v>107.31</v>
      </c>
      <c r="M10" s="63">
        <f t="shared" si="2"/>
        <v>6351.1600000000008</v>
      </c>
    </row>
    <row r="11" spans="1:14" ht="20.25" customHeight="1" x14ac:dyDescent="0.15">
      <c r="A11" s="62" t="s">
        <v>160</v>
      </c>
      <c r="B11" s="63">
        <v>3587.8</v>
      </c>
      <c r="C11" s="63">
        <v>3836.6</v>
      </c>
      <c r="D11" s="63">
        <v>965</v>
      </c>
      <c r="E11" s="63">
        <v>3660.1</v>
      </c>
      <c r="F11" s="63">
        <v>72</v>
      </c>
      <c r="G11" s="63">
        <v>3910.88</v>
      </c>
      <c r="H11" s="63">
        <v>23.36</v>
      </c>
      <c r="I11" s="63">
        <v>1.26</v>
      </c>
      <c r="J11" s="63">
        <v>22.1</v>
      </c>
      <c r="K11" s="63">
        <f t="shared" si="0"/>
        <v>3683.46</v>
      </c>
      <c r="L11" s="63">
        <f t="shared" si="1"/>
        <v>73.260000000000005</v>
      </c>
      <c r="M11" s="63">
        <f t="shared" si="2"/>
        <v>3932.98</v>
      </c>
    </row>
    <row r="12" spans="1:14" ht="20.25" customHeight="1" x14ac:dyDescent="0.15">
      <c r="A12" s="64" t="s">
        <v>176</v>
      </c>
      <c r="B12" s="65">
        <f t="shared" ref="B12:M12" si="3">SUM(B3:B11)</f>
        <v>48211.000000000007</v>
      </c>
      <c r="C12" s="65">
        <f t="shared" si="3"/>
        <v>52757.3</v>
      </c>
      <c r="D12" s="65">
        <f t="shared" si="3"/>
        <v>28429.699999999997</v>
      </c>
      <c r="E12" s="65">
        <f t="shared" si="3"/>
        <v>50039.56</v>
      </c>
      <c r="F12" s="65">
        <f t="shared" si="3"/>
        <v>1598.0199999999998</v>
      </c>
      <c r="G12" s="65">
        <f t="shared" si="3"/>
        <v>55117.079999999994</v>
      </c>
      <c r="H12" s="65">
        <f t="shared" si="3"/>
        <v>1134.6299999999999</v>
      </c>
      <c r="I12" s="65">
        <f t="shared" si="3"/>
        <v>74.250000000000014</v>
      </c>
      <c r="J12" s="65">
        <f t="shared" si="3"/>
        <v>1061.6299999999999</v>
      </c>
      <c r="K12" s="65">
        <f t="shared" si="3"/>
        <v>51174.189999999995</v>
      </c>
      <c r="L12" s="65">
        <f t="shared" si="3"/>
        <v>1672.2700000000002</v>
      </c>
      <c r="M12" s="65">
        <f t="shared" si="3"/>
        <v>56178.710000000006</v>
      </c>
      <c r="N12" s="68">
        <f>L12/K12</f>
        <v>3.267799646657818E-2</v>
      </c>
    </row>
    <row r="13" spans="1:14" ht="20.25" customHeight="1" x14ac:dyDescent="0.15">
      <c r="A13" s="62" t="s">
        <v>163</v>
      </c>
      <c r="B13" s="63">
        <v>12214</v>
      </c>
      <c r="C13" s="63">
        <v>12601.7</v>
      </c>
      <c r="D13" s="63">
        <v>6548.1</v>
      </c>
      <c r="E13" s="63">
        <v>12842.56</v>
      </c>
      <c r="F13" s="63">
        <v>634.79</v>
      </c>
      <c r="G13" s="63">
        <v>13988.35</v>
      </c>
      <c r="H13" s="63"/>
      <c r="I13" s="63"/>
      <c r="J13" s="63"/>
      <c r="K13" s="63">
        <f t="shared" ref="K13:M15" si="4">SUM(E13,H13)</f>
        <v>12842.56</v>
      </c>
      <c r="L13" s="63">
        <f t="shared" si="4"/>
        <v>634.79</v>
      </c>
      <c r="M13" s="63">
        <f t="shared" si="4"/>
        <v>13988.35</v>
      </c>
    </row>
    <row r="14" spans="1:14" ht="20.25" customHeight="1" x14ac:dyDescent="0.15">
      <c r="A14" s="62" t="s">
        <v>164</v>
      </c>
      <c r="B14" s="63">
        <v>3698.3</v>
      </c>
      <c r="C14" s="63">
        <v>4250.8</v>
      </c>
      <c r="D14" s="63">
        <v>573.29999999999995</v>
      </c>
      <c r="E14" s="63">
        <v>3904.25</v>
      </c>
      <c r="F14" s="63"/>
      <c r="G14" s="63">
        <v>4617.08</v>
      </c>
      <c r="H14" s="63"/>
      <c r="I14" s="63"/>
      <c r="J14" s="63"/>
      <c r="K14" s="63">
        <f t="shared" si="4"/>
        <v>3904.25</v>
      </c>
      <c r="L14" s="63">
        <f t="shared" si="4"/>
        <v>0</v>
      </c>
      <c r="M14" s="63">
        <f t="shared" si="4"/>
        <v>4617.08</v>
      </c>
    </row>
    <row r="15" spans="1:14" ht="20.25" customHeight="1" x14ac:dyDescent="0.15">
      <c r="A15" s="62" t="s">
        <v>165</v>
      </c>
      <c r="B15" s="63">
        <v>3227</v>
      </c>
      <c r="C15" s="63">
        <v>3403.3</v>
      </c>
      <c r="D15" s="63">
        <v>1489</v>
      </c>
      <c r="E15" s="63">
        <v>3282.69</v>
      </c>
      <c r="F15" s="63"/>
      <c r="G15" s="63">
        <v>3452.01</v>
      </c>
      <c r="H15" s="63"/>
      <c r="I15" s="63"/>
      <c r="J15" s="63"/>
      <c r="K15" s="63">
        <f t="shared" si="4"/>
        <v>3282.69</v>
      </c>
      <c r="L15" s="63">
        <f t="shared" si="4"/>
        <v>0</v>
      </c>
      <c r="M15" s="63">
        <f t="shared" si="4"/>
        <v>3452.01</v>
      </c>
    </row>
    <row r="16" spans="1:14" ht="20.25" customHeight="1" x14ac:dyDescent="0.15">
      <c r="A16" s="64" t="s">
        <v>176</v>
      </c>
      <c r="B16" s="65">
        <f t="shared" ref="B16:M16" si="5">SUM(B13:B15)</f>
        <v>19139.3</v>
      </c>
      <c r="C16" s="65">
        <f t="shared" si="5"/>
        <v>20255.8</v>
      </c>
      <c r="D16" s="65">
        <f t="shared" si="5"/>
        <v>8610.4000000000015</v>
      </c>
      <c r="E16" s="65">
        <f t="shared" si="5"/>
        <v>20029.499999999996</v>
      </c>
      <c r="F16" s="65">
        <f t="shared" si="5"/>
        <v>634.79</v>
      </c>
      <c r="G16" s="65">
        <f t="shared" si="5"/>
        <v>22057.440000000002</v>
      </c>
      <c r="H16" s="65">
        <f t="shared" si="5"/>
        <v>0</v>
      </c>
      <c r="I16" s="65">
        <f t="shared" si="5"/>
        <v>0</v>
      </c>
      <c r="J16" s="65">
        <f t="shared" si="5"/>
        <v>0</v>
      </c>
      <c r="K16" s="65">
        <f t="shared" si="5"/>
        <v>20029.499999999996</v>
      </c>
      <c r="L16" s="65">
        <f t="shared" si="5"/>
        <v>634.79</v>
      </c>
      <c r="M16" s="65">
        <f t="shared" si="5"/>
        <v>22057.440000000002</v>
      </c>
      <c r="N16" s="68">
        <f>L16/K16</f>
        <v>3.1692753189046158E-2</v>
      </c>
    </row>
    <row r="17" spans="1:14" ht="20.25" customHeight="1" x14ac:dyDescent="0.15">
      <c r="A17" s="66" t="s">
        <v>95</v>
      </c>
      <c r="B17" s="67">
        <f t="shared" ref="B17:M17" si="6">SUM(B16,B12)</f>
        <v>67350.3</v>
      </c>
      <c r="C17" s="67">
        <f t="shared" si="6"/>
        <v>73013.100000000006</v>
      </c>
      <c r="D17" s="67">
        <f t="shared" si="6"/>
        <v>37040.1</v>
      </c>
      <c r="E17" s="67">
        <f t="shared" si="6"/>
        <v>70069.06</v>
      </c>
      <c r="F17" s="67">
        <f t="shared" si="6"/>
        <v>2232.8099999999995</v>
      </c>
      <c r="G17" s="67">
        <f t="shared" si="6"/>
        <v>77174.51999999999</v>
      </c>
      <c r="H17" s="67">
        <f t="shared" si="6"/>
        <v>1134.6299999999999</v>
      </c>
      <c r="I17" s="67">
        <f t="shared" si="6"/>
        <v>74.250000000000014</v>
      </c>
      <c r="J17" s="67">
        <f t="shared" si="6"/>
        <v>1061.6299999999999</v>
      </c>
      <c r="K17" s="67">
        <f t="shared" si="6"/>
        <v>71203.689999999988</v>
      </c>
      <c r="L17" s="67">
        <f t="shared" si="6"/>
        <v>2307.0600000000004</v>
      </c>
      <c r="M17" s="67">
        <f t="shared" si="6"/>
        <v>78236.150000000009</v>
      </c>
      <c r="N17" s="68">
        <f>L17/K17</f>
        <v>3.2400848888589913E-2</v>
      </c>
    </row>
  </sheetData>
  <mergeCells count="4">
    <mergeCell ref="A1:D1"/>
    <mergeCell ref="E1:G1"/>
    <mergeCell ref="H1:J1"/>
    <mergeCell ref="K1:M1"/>
  </mergeCells>
  <phoneticPr fontId="30" type="noConversion"/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64"/>
  <sheetViews>
    <sheetView topLeftCell="A46" workbookViewId="0">
      <selection activeCell="N70" sqref="N70"/>
    </sheetView>
  </sheetViews>
  <sheetFormatPr defaultColWidth="9" defaultRowHeight="13.5" x14ac:dyDescent="0.15"/>
  <cols>
    <col min="1" max="1" width="14.375" customWidth="1"/>
    <col min="10" max="10" width="10.5" customWidth="1"/>
    <col min="15" max="15" width="9.5" customWidth="1"/>
  </cols>
  <sheetData>
    <row r="1" spans="1:15" ht="14.25" x14ac:dyDescent="0.15">
      <c r="A1" s="52" t="s">
        <v>162</v>
      </c>
      <c r="B1" s="26" t="s">
        <v>0</v>
      </c>
      <c r="C1" s="30" t="s">
        <v>83</v>
      </c>
      <c r="D1" s="30" t="s">
        <v>84</v>
      </c>
      <c r="E1" s="30" t="s">
        <v>85</v>
      </c>
      <c r="F1" s="30" t="s">
        <v>86</v>
      </c>
      <c r="G1" s="30" t="s">
        <v>87</v>
      </c>
      <c r="H1" s="30" t="s">
        <v>88</v>
      </c>
      <c r="I1" s="30" t="s">
        <v>89</v>
      </c>
      <c r="J1" s="30" t="s">
        <v>90</v>
      </c>
      <c r="K1" s="30" t="s">
        <v>91</v>
      </c>
      <c r="L1" s="30" t="s">
        <v>92</v>
      </c>
      <c r="M1" s="30" t="s">
        <v>93</v>
      </c>
      <c r="N1" s="30" t="s">
        <v>94</v>
      </c>
      <c r="O1" s="44" t="s">
        <v>111</v>
      </c>
    </row>
    <row r="2" spans="1:15" x14ac:dyDescent="0.15">
      <c r="A2" s="36" t="s">
        <v>148</v>
      </c>
      <c r="B2" s="26"/>
      <c r="C2" s="42">
        <v>5.53</v>
      </c>
      <c r="D2" s="42">
        <v>5.3</v>
      </c>
      <c r="E2" s="42">
        <v>2.4500000000000002</v>
      </c>
      <c r="F2" s="42">
        <v>4.5599999999999996</v>
      </c>
      <c r="G2" s="42">
        <v>3.08</v>
      </c>
      <c r="H2" s="42">
        <v>2.4500000000000002</v>
      </c>
      <c r="I2" s="42">
        <v>3.75</v>
      </c>
      <c r="J2" s="42">
        <v>3.99</v>
      </c>
      <c r="K2" s="42">
        <v>4.96</v>
      </c>
      <c r="L2" s="42">
        <v>3.04</v>
      </c>
      <c r="M2" s="42">
        <v>3.64</v>
      </c>
      <c r="N2" s="42">
        <v>3.95</v>
      </c>
      <c r="O2" s="57">
        <v>46.7</v>
      </c>
    </row>
    <row r="3" spans="1:15" ht="16.5" customHeight="1" x14ac:dyDescent="0.15">
      <c r="A3" s="36" t="s">
        <v>149</v>
      </c>
      <c r="B3" s="26"/>
      <c r="C3" s="42">
        <v>0</v>
      </c>
      <c r="D3" s="42">
        <v>10.91</v>
      </c>
      <c r="E3" s="42">
        <v>5.95</v>
      </c>
      <c r="F3" s="42">
        <v>4.92</v>
      </c>
      <c r="G3" s="42">
        <v>3.15</v>
      </c>
      <c r="H3" s="42">
        <v>5.92</v>
      </c>
      <c r="I3" s="42">
        <v>3.19</v>
      </c>
      <c r="J3" s="42">
        <v>1.78</v>
      </c>
      <c r="K3" s="42">
        <v>1.98</v>
      </c>
      <c r="L3" s="42">
        <v>3.5</v>
      </c>
      <c r="M3" s="42">
        <v>0.17</v>
      </c>
      <c r="N3" s="42">
        <v>10.597243000000001</v>
      </c>
      <c r="O3" s="57">
        <v>52.067242999999998</v>
      </c>
    </row>
    <row r="4" spans="1:15" ht="17.25" customHeight="1" x14ac:dyDescent="0.15">
      <c r="A4" s="36" t="s">
        <v>150</v>
      </c>
      <c r="B4" s="26"/>
      <c r="C4" s="42">
        <v>4.21</v>
      </c>
      <c r="D4" s="42">
        <v>0</v>
      </c>
      <c r="E4" s="42">
        <v>0</v>
      </c>
      <c r="F4" s="42">
        <v>0</v>
      </c>
      <c r="G4" s="42">
        <v>18.14</v>
      </c>
      <c r="H4" s="42">
        <v>2.7</v>
      </c>
      <c r="I4" s="42">
        <v>0</v>
      </c>
      <c r="J4" s="42">
        <v>0</v>
      </c>
      <c r="K4" s="42">
        <v>8.32</v>
      </c>
      <c r="L4" s="42">
        <v>3.01</v>
      </c>
      <c r="M4" s="42">
        <v>4.38</v>
      </c>
      <c r="N4" s="42">
        <v>8.32</v>
      </c>
      <c r="O4" s="57">
        <v>49.08</v>
      </c>
    </row>
    <row r="5" spans="1:15" x14ac:dyDescent="0.15">
      <c r="A5" s="36" t="s">
        <v>151</v>
      </c>
      <c r="B5" s="26"/>
      <c r="C5" s="42">
        <v>0</v>
      </c>
      <c r="D5" s="42">
        <v>5</v>
      </c>
      <c r="E5" s="42">
        <v>0</v>
      </c>
      <c r="F5" s="42">
        <v>0</v>
      </c>
      <c r="G5" s="42">
        <v>3</v>
      </c>
      <c r="H5" s="42">
        <v>0</v>
      </c>
      <c r="I5" s="42">
        <v>0</v>
      </c>
      <c r="J5" s="42">
        <v>3</v>
      </c>
      <c r="K5" s="42">
        <v>0</v>
      </c>
      <c r="L5" s="42">
        <v>0</v>
      </c>
      <c r="M5" s="42">
        <v>3.5</v>
      </c>
      <c r="N5" s="42">
        <v>7.5</v>
      </c>
      <c r="O5" s="57">
        <v>22</v>
      </c>
    </row>
    <row r="6" spans="1:15" x14ac:dyDescent="0.15">
      <c r="A6" s="36" t="s">
        <v>152</v>
      </c>
      <c r="B6" s="26"/>
      <c r="C6" s="42">
        <v>0</v>
      </c>
      <c r="D6" s="42">
        <v>62.2</v>
      </c>
      <c r="E6" s="42">
        <v>2.14</v>
      </c>
      <c r="F6" s="42">
        <v>0</v>
      </c>
      <c r="G6" s="42">
        <v>15.58</v>
      </c>
      <c r="H6" s="42">
        <v>8.85</v>
      </c>
      <c r="I6" s="42">
        <v>2.0699999999999998</v>
      </c>
      <c r="J6" s="42">
        <v>5.72</v>
      </c>
      <c r="K6" s="42">
        <v>2.31</v>
      </c>
      <c r="L6" s="42">
        <v>0</v>
      </c>
      <c r="M6" s="42">
        <v>-36.869999999999997</v>
      </c>
      <c r="N6" s="42">
        <v>15.75</v>
      </c>
      <c r="O6" s="57">
        <v>77.75</v>
      </c>
    </row>
    <row r="7" spans="1:15" ht="18.75" customHeight="1" x14ac:dyDescent="0.15">
      <c r="A7" s="36" t="s">
        <v>153</v>
      </c>
      <c r="B7" s="26"/>
      <c r="C7" s="42"/>
      <c r="D7" s="42">
        <v>12.2</v>
      </c>
      <c r="E7" s="42">
        <v>2.14</v>
      </c>
      <c r="F7" s="42"/>
      <c r="G7" s="42"/>
      <c r="H7" s="42">
        <v>6.6603000000000003</v>
      </c>
      <c r="I7" s="42">
        <v>-3.0000000000329801E-4</v>
      </c>
      <c r="J7" s="42">
        <v>3.2269000000000001</v>
      </c>
      <c r="K7" s="42">
        <v>3.8040000000059099E-3</v>
      </c>
      <c r="L7" s="42"/>
      <c r="M7" s="42"/>
      <c r="N7" s="42"/>
      <c r="O7" s="57">
        <v>24.230703999999999</v>
      </c>
    </row>
    <row r="8" spans="1:15" ht="18.75" customHeight="1" x14ac:dyDescent="0.15">
      <c r="A8" s="36" t="s">
        <v>154</v>
      </c>
      <c r="B8" s="26"/>
      <c r="C8" s="42"/>
      <c r="D8" s="42">
        <v>50</v>
      </c>
      <c r="E8" s="42"/>
      <c r="F8" s="42"/>
      <c r="G8" s="42">
        <v>15.58</v>
      </c>
      <c r="H8" s="42">
        <v>2.1897000000000002</v>
      </c>
      <c r="I8" s="42">
        <v>2.0703</v>
      </c>
      <c r="J8" s="42">
        <v>2.4931000000000001</v>
      </c>
      <c r="K8" s="42">
        <v>2.312163</v>
      </c>
      <c r="L8" s="42"/>
      <c r="M8" s="42"/>
      <c r="N8" s="42"/>
      <c r="O8" s="57">
        <v>74.645263</v>
      </c>
    </row>
    <row r="9" spans="1:15" ht="18.75" customHeight="1" x14ac:dyDescent="0.15">
      <c r="A9" s="36" t="s">
        <v>155</v>
      </c>
      <c r="B9" s="26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57">
        <v>0</v>
      </c>
    </row>
    <row r="10" spans="1:15" ht="18.75" customHeight="1" x14ac:dyDescent="0.15">
      <c r="A10" s="36" t="s">
        <v>156</v>
      </c>
      <c r="B10" s="26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57">
        <v>0</v>
      </c>
    </row>
    <row r="11" spans="1:15" ht="18" customHeight="1" x14ac:dyDescent="0.15">
      <c r="A11" s="36" t="s">
        <v>157</v>
      </c>
      <c r="B11" s="26"/>
      <c r="C11" s="42">
        <v>0</v>
      </c>
      <c r="D11" s="42">
        <v>0</v>
      </c>
      <c r="E11" s="42">
        <v>0</v>
      </c>
      <c r="F11" s="42">
        <v>5.4333580000000001</v>
      </c>
      <c r="G11" s="42">
        <v>0.54069999999999996</v>
      </c>
      <c r="H11" s="42">
        <v>0</v>
      </c>
      <c r="I11" s="42">
        <v>0</v>
      </c>
      <c r="J11" s="42">
        <v>1.54</v>
      </c>
      <c r="K11" s="42">
        <v>1.0610999999999999</v>
      </c>
      <c r="L11" s="42">
        <v>0</v>
      </c>
      <c r="M11" s="42">
        <v>1.0407</v>
      </c>
      <c r="N11" s="42">
        <v>0</v>
      </c>
      <c r="O11" s="57">
        <v>9.6158579999999994</v>
      </c>
    </row>
    <row r="12" spans="1:15" x14ac:dyDescent="0.15">
      <c r="A12" s="36" t="s">
        <v>158</v>
      </c>
      <c r="B12" s="26"/>
      <c r="C12" s="42">
        <v>1.19</v>
      </c>
      <c r="D12" s="42">
        <v>2.08</v>
      </c>
      <c r="E12" s="42">
        <v>2.81</v>
      </c>
      <c r="F12" s="42">
        <v>1.46</v>
      </c>
      <c r="G12" s="42">
        <v>1.33</v>
      </c>
      <c r="H12" s="42">
        <v>1.72</v>
      </c>
      <c r="I12" s="42">
        <v>1.19</v>
      </c>
      <c r="J12" s="42">
        <v>1.51</v>
      </c>
      <c r="K12" s="42">
        <v>0.3</v>
      </c>
      <c r="L12" s="42">
        <v>1.83</v>
      </c>
      <c r="M12" s="42">
        <v>1.36</v>
      </c>
      <c r="N12" s="42">
        <v>3.88</v>
      </c>
      <c r="O12" s="57">
        <v>20.66</v>
      </c>
    </row>
    <row r="13" spans="1:15" ht="15.75" customHeight="1" x14ac:dyDescent="0.15">
      <c r="A13" s="36" t="s">
        <v>159</v>
      </c>
      <c r="B13" s="26"/>
      <c r="C13" s="42">
        <v>2.2999999999999998</v>
      </c>
      <c r="D13" s="42">
        <v>0</v>
      </c>
      <c r="E13" s="42">
        <v>0</v>
      </c>
      <c r="F13" s="42">
        <v>3.26</v>
      </c>
      <c r="G13" s="42">
        <v>0</v>
      </c>
      <c r="H13" s="42">
        <v>2.42</v>
      </c>
      <c r="I13" s="42">
        <v>0</v>
      </c>
      <c r="J13" s="42">
        <v>2.27</v>
      </c>
      <c r="K13" s="42">
        <v>3.71</v>
      </c>
      <c r="L13" s="42">
        <v>1.52</v>
      </c>
      <c r="M13" s="42">
        <v>0</v>
      </c>
      <c r="N13" s="42">
        <v>4.1399999999999997</v>
      </c>
      <c r="O13" s="57">
        <v>19.62</v>
      </c>
    </row>
    <row r="14" spans="1:15" ht="18.75" customHeight="1" x14ac:dyDescent="0.15">
      <c r="A14" s="36" t="s">
        <v>160</v>
      </c>
      <c r="B14" s="26"/>
      <c r="C14" s="42">
        <v>4.66</v>
      </c>
      <c r="D14" s="42">
        <v>4.46</v>
      </c>
      <c r="E14" s="42">
        <v>4.46</v>
      </c>
      <c r="F14" s="42">
        <v>3.26</v>
      </c>
      <c r="G14" s="42">
        <v>2.83</v>
      </c>
      <c r="H14" s="42">
        <v>3.03</v>
      </c>
      <c r="I14" s="42">
        <v>3.2</v>
      </c>
      <c r="J14" s="42">
        <v>3.34</v>
      </c>
      <c r="K14" s="42">
        <v>3.42</v>
      </c>
      <c r="L14" s="42">
        <v>3.42</v>
      </c>
      <c r="M14" s="42">
        <v>3.86</v>
      </c>
      <c r="N14" s="42">
        <v>3.68</v>
      </c>
      <c r="O14" s="57">
        <v>43.62</v>
      </c>
    </row>
    <row r="15" spans="1:15" x14ac:dyDescent="0.15">
      <c r="A15" s="36" t="s">
        <v>95</v>
      </c>
      <c r="B15" s="26"/>
      <c r="C15" s="42">
        <v>17.89</v>
      </c>
      <c r="D15" s="42">
        <v>89.95</v>
      </c>
      <c r="E15" s="42">
        <v>17.809999999999999</v>
      </c>
      <c r="F15" s="42">
        <v>22.893357999999999</v>
      </c>
      <c r="G15" s="42">
        <v>47.650700000000001</v>
      </c>
      <c r="H15" s="42">
        <v>27.09</v>
      </c>
      <c r="I15" s="42">
        <v>13.4</v>
      </c>
      <c r="J15" s="42">
        <v>23.15</v>
      </c>
      <c r="K15" s="42">
        <v>26.0611</v>
      </c>
      <c r="L15" s="42">
        <v>16.32</v>
      </c>
      <c r="M15" s="42">
        <v>-18.9193</v>
      </c>
      <c r="N15" s="42">
        <v>57.817242999999998</v>
      </c>
      <c r="O15" s="57">
        <v>341.11310099999997</v>
      </c>
    </row>
    <row r="17" spans="1:15" x14ac:dyDescent="0.15">
      <c r="A17" s="36" t="s">
        <v>163</v>
      </c>
      <c r="B17" s="43"/>
      <c r="C17" s="42">
        <v>0</v>
      </c>
      <c r="D17" s="42">
        <v>0</v>
      </c>
      <c r="E17" s="42">
        <v>0</v>
      </c>
      <c r="F17" s="42">
        <v>3.1154000000000002</v>
      </c>
      <c r="G17" s="42">
        <v>0.91005599999999998</v>
      </c>
      <c r="H17" s="42">
        <v>1.969033</v>
      </c>
      <c r="I17" s="42">
        <v>0</v>
      </c>
      <c r="J17" s="42">
        <v>2.9146580000000002</v>
      </c>
      <c r="K17" s="42">
        <v>0.52410000000000001</v>
      </c>
      <c r="L17" s="42">
        <v>1.41</v>
      </c>
      <c r="M17" s="42">
        <v>1.6488929999999999</v>
      </c>
      <c r="N17" s="42">
        <v>1.2413000000000001</v>
      </c>
      <c r="O17" s="42">
        <v>13.73344</v>
      </c>
    </row>
    <row r="18" spans="1:15" x14ac:dyDescent="0.15">
      <c r="A18" s="36" t="s">
        <v>164</v>
      </c>
      <c r="B18" s="43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1:15" x14ac:dyDescent="0.15">
      <c r="A19" s="36" t="s">
        <v>165</v>
      </c>
      <c r="B19" s="43"/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3.6047000000000003E-2</v>
      </c>
      <c r="L19" s="42">
        <v>0</v>
      </c>
      <c r="M19" s="42">
        <v>1.2334000000000001</v>
      </c>
      <c r="N19" s="42">
        <v>2.11</v>
      </c>
      <c r="O19" s="42">
        <v>3.3794469999999999</v>
      </c>
    </row>
    <row r="23" spans="1:15" ht="14.25" x14ac:dyDescent="0.15">
      <c r="A23" s="52"/>
      <c r="B23" s="53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0"/>
      <c r="O23" s="26"/>
    </row>
    <row r="24" spans="1:15" ht="14.25" x14ac:dyDescent="0.15">
      <c r="A24" s="52" t="s">
        <v>170</v>
      </c>
      <c r="B24" s="26" t="s">
        <v>0</v>
      </c>
      <c r="C24" s="30" t="s">
        <v>83</v>
      </c>
      <c r="D24" s="30" t="s">
        <v>84</v>
      </c>
      <c r="E24" s="30" t="s">
        <v>85</v>
      </c>
      <c r="F24" s="30" t="s">
        <v>86</v>
      </c>
      <c r="G24" s="30" t="s">
        <v>87</v>
      </c>
      <c r="H24" s="30" t="s">
        <v>88</v>
      </c>
      <c r="I24" s="30" t="s">
        <v>89</v>
      </c>
      <c r="J24" s="30" t="s">
        <v>90</v>
      </c>
      <c r="K24" s="30" t="s">
        <v>91</v>
      </c>
      <c r="L24" s="30" t="s">
        <v>92</v>
      </c>
      <c r="M24" s="30" t="s">
        <v>93</v>
      </c>
      <c r="N24" s="30" t="s">
        <v>94</v>
      </c>
      <c r="O24" s="44" t="s">
        <v>111</v>
      </c>
    </row>
    <row r="25" spans="1:15" x14ac:dyDescent="0.15">
      <c r="A25" s="36" t="s">
        <v>148</v>
      </c>
      <c r="B25" s="26"/>
      <c r="C25" s="42">
        <v>3.97</v>
      </c>
      <c r="D25" s="42">
        <v>4.5</v>
      </c>
      <c r="E25" s="42">
        <v>5.38</v>
      </c>
      <c r="F25" s="42">
        <v>3.16</v>
      </c>
      <c r="G25" s="42">
        <v>3.78</v>
      </c>
      <c r="H25" s="42">
        <v>3.5024000000000002</v>
      </c>
      <c r="I25" s="42">
        <v>2.7439909999999998</v>
      </c>
      <c r="J25" s="42">
        <v>3.8858990000000002</v>
      </c>
      <c r="K25" s="42">
        <v>4.7751960000000002</v>
      </c>
      <c r="L25" s="42">
        <v>2.8584499999999999</v>
      </c>
      <c r="M25" s="42">
        <v>2.7501129999999998</v>
      </c>
      <c r="N25" s="42">
        <v>3.7030850000000002</v>
      </c>
      <c r="O25" s="57">
        <v>45.009134000000003</v>
      </c>
    </row>
    <row r="26" spans="1:15" ht="16.5" customHeight="1" x14ac:dyDescent="0.15">
      <c r="A26" s="36" t="s">
        <v>149</v>
      </c>
      <c r="B26" s="26"/>
      <c r="C26" s="42">
        <v>0</v>
      </c>
      <c r="D26" s="42">
        <v>15.45</v>
      </c>
      <c r="E26" s="42">
        <v>0.05</v>
      </c>
      <c r="F26" s="42">
        <v>6.7</v>
      </c>
      <c r="G26" s="42">
        <v>2.65</v>
      </c>
      <c r="H26" s="42">
        <v>1.8768</v>
      </c>
      <c r="I26" s="42">
        <v>8.0034999999999995E-2</v>
      </c>
      <c r="J26" s="42">
        <v>5.9535429999999998</v>
      </c>
      <c r="K26" s="42">
        <v>2.5854309999999998</v>
      </c>
      <c r="L26" s="42">
        <v>9.1155240000000006</v>
      </c>
      <c r="M26" s="42">
        <v>2.90212</v>
      </c>
      <c r="N26" s="42">
        <v>9.9392820000000004</v>
      </c>
      <c r="O26" s="57">
        <v>57.302734999999998</v>
      </c>
    </row>
    <row r="27" spans="1:15" ht="17.25" customHeight="1" x14ac:dyDescent="0.15">
      <c r="A27" s="36" t="s">
        <v>150</v>
      </c>
      <c r="B27" s="26"/>
      <c r="C27" s="42">
        <v>0</v>
      </c>
      <c r="D27" s="42">
        <v>15.43538</v>
      </c>
      <c r="E27" s="42">
        <v>5.0114869999999998</v>
      </c>
      <c r="F27" s="42">
        <v>2.505744</v>
      </c>
      <c r="G27" s="42">
        <v>0</v>
      </c>
      <c r="H27" s="42">
        <v>4.1093999999999999</v>
      </c>
      <c r="I27" s="42">
        <v>1.7039059999999999</v>
      </c>
      <c r="J27" s="42">
        <v>3.4078110000000001</v>
      </c>
      <c r="K27" s="42">
        <v>2.2533859999999999</v>
      </c>
      <c r="L27" s="42">
        <v>2.7432530000000002</v>
      </c>
      <c r="M27" s="42">
        <v>5.1925860000000004</v>
      </c>
      <c r="N27" s="42">
        <v>4.7439980000000004</v>
      </c>
      <c r="O27" s="57">
        <v>47.106951000000002</v>
      </c>
    </row>
    <row r="28" spans="1:15" x14ac:dyDescent="0.15">
      <c r="A28" s="36" t="s">
        <v>151</v>
      </c>
      <c r="B28" s="26"/>
      <c r="C28" s="42">
        <v>0</v>
      </c>
      <c r="D28" s="42">
        <v>0</v>
      </c>
      <c r="E28" s="42">
        <v>0</v>
      </c>
      <c r="F28" s="42">
        <v>0</v>
      </c>
      <c r="G28" s="42">
        <v>5</v>
      </c>
      <c r="H28" s="42">
        <v>0</v>
      </c>
      <c r="I28" s="42">
        <v>0</v>
      </c>
      <c r="J28" s="42">
        <v>0</v>
      </c>
      <c r="K28" s="42">
        <v>5</v>
      </c>
      <c r="L28" s="42">
        <v>0</v>
      </c>
      <c r="M28" s="42">
        <v>0</v>
      </c>
      <c r="N28" s="42">
        <v>10</v>
      </c>
      <c r="O28" s="57">
        <v>20</v>
      </c>
    </row>
    <row r="29" spans="1:15" x14ac:dyDescent="0.15">
      <c r="A29" s="36" t="s">
        <v>152</v>
      </c>
      <c r="B29" s="26"/>
      <c r="C29" s="42">
        <v>8.5470000000000004E-2</v>
      </c>
      <c r="D29" s="42">
        <v>5.172396</v>
      </c>
      <c r="E29" s="42">
        <v>16.186160000000001</v>
      </c>
      <c r="F29" s="42">
        <v>6.7358149999999997</v>
      </c>
      <c r="G29" s="42">
        <v>4.2043660000000003</v>
      </c>
      <c r="H29" s="42">
        <v>7.1034280000000001</v>
      </c>
      <c r="I29" s="42">
        <v>45.214849000000001</v>
      </c>
      <c r="J29" s="42">
        <v>22.654067999999999</v>
      </c>
      <c r="K29" s="42">
        <v>21.289705000000001</v>
      </c>
      <c r="L29" s="42">
        <v>20.995153999999999</v>
      </c>
      <c r="M29" s="42">
        <v>33.127321999999999</v>
      </c>
      <c r="N29" s="42">
        <v>30.929001</v>
      </c>
      <c r="O29" s="57">
        <v>213.697734</v>
      </c>
    </row>
    <row r="30" spans="1:15" ht="18.75" customHeight="1" x14ac:dyDescent="0.15">
      <c r="A30" s="36" t="s">
        <v>153</v>
      </c>
      <c r="B30" s="26"/>
      <c r="C30" s="42">
        <v>8.5400000000000004E-2</v>
      </c>
      <c r="D30" s="42"/>
      <c r="E30" s="42">
        <v>11.0137</v>
      </c>
      <c r="F30" s="42"/>
      <c r="G30" s="42"/>
      <c r="H30" s="42"/>
      <c r="I30" s="42"/>
      <c r="J30" s="42"/>
      <c r="K30" s="42"/>
      <c r="L30" s="42"/>
      <c r="M30" s="42"/>
      <c r="N30" s="42"/>
      <c r="O30" s="57">
        <v>11.0991</v>
      </c>
    </row>
    <row r="31" spans="1:15" ht="18.75" customHeight="1" x14ac:dyDescent="0.15">
      <c r="A31" s="36" t="s">
        <v>154</v>
      </c>
      <c r="B31" s="26"/>
      <c r="C31" s="42"/>
      <c r="D31" s="42">
        <v>5.172396</v>
      </c>
      <c r="E31" s="42">
        <v>5.172396</v>
      </c>
      <c r="F31" s="42">
        <v>3.3466870000000002</v>
      </c>
      <c r="G31" s="42"/>
      <c r="H31" s="42"/>
      <c r="I31" s="42"/>
      <c r="J31" s="42"/>
      <c r="K31" s="42"/>
      <c r="L31" s="42"/>
      <c r="M31" s="42"/>
      <c r="N31" s="42"/>
      <c r="O31" s="57">
        <v>13.691478999999999</v>
      </c>
    </row>
    <row r="32" spans="1:15" ht="18.75" customHeight="1" x14ac:dyDescent="0.15">
      <c r="A32" s="36" t="s">
        <v>155</v>
      </c>
      <c r="B32" s="26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0</v>
      </c>
    </row>
    <row r="33" spans="1:15" ht="18.75" customHeight="1" x14ac:dyDescent="0.15">
      <c r="A33" s="36" t="s">
        <v>156</v>
      </c>
      <c r="B33" s="26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0</v>
      </c>
    </row>
    <row r="34" spans="1:15" ht="18" customHeight="1" x14ac:dyDescent="0.15">
      <c r="A34" s="36" t="s">
        <v>157</v>
      </c>
      <c r="B34" s="26"/>
      <c r="C34" s="42">
        <v>0</v>
      </c>
      <c r="D34" s="42">
        <v>1.2037</v>
      </c>
      <c r="E34" s="42">
        <v>1.0407</v>
      </c>
      <c r="F34" s="42">
        <v>0</v>
      </c>
      <c r="G34" s="42">
        <v>0</v>
      </c>
      <c r="H34" s="42">
        <v>1.0611409999999999</v>
      </c>
      <c r="I34" s="42">
        <v>0</v>
      </c>
      <c r="J34" s="42">
        <v>0</v>
      </c>
      <c r="K34" s="42">
        <v>1.520303</v>
      </c>
      <c r="L34" s="42">
        <v>0</v>
      </c>
      <c r="M34" s="42">
        <v>0</v>
      </c>
      <c r="N34" s="42">
        <v>1.5405530000000001</v>
      </c>
      <c r="O34" s="57">
        <v>6.3663970000000001</v>
      </c>
    </row>
    <row r="35" spans="1:15" x14ac:dyDescent="0.15">
      <c r="A35" s="36" t="s">
        <v>158</v>
      </c>
      <c r="B35" s="26"/>
      <c r="C35" s="42">
        <v>0</v>
      </c>
      <c r="D35" s="42">
        <v>4.6399999999999997</v>
      </c>
      <c r="E35" s="42">
        <v>1.85</v>
      </c>
      <c r="F35" s="42">
        <v>1.65</v>
      </c>
      <c r="G35" s="42">
        <v>0.86</v>
      </c>
      <c r="H35" s="42">
        <v>1.7130000000000001</v>
      </c>
      <c r="I35" s="42">
        <v>0</v>
      </c>
      <c r="J35" s="42">
        <v>1.185743</v>
      </c>
      <c r="K35" s="42">
        <v>1.7657020000000001</v>
      </c>
      <c r="L35" s="42">
        <v>2.210801</v>
      </c>
      <c r="M35" s="42">
        <v>2.133839</v>
      </c>
      <c r="N35" s="42">
        <v>2.4465650000000001</v>
      </c>
      <c r="O35" s="57">
        <v>20.455649999999999</v>
      </c>
    </row>
    <row r="36" spans="1:15" ht="15.75" customHeight="1" x14ac:dyDescent="0.15">
      <c r="A36" s="36" t="s">
        <v>159</v>
      </c>
      <c r="B36" s="26"/>
      <c r="C36" s="42">
        <v>0</v>
      </c>
      <c r="D36" s="42">
        <v>0</v>
      </c>
      <c r="E36" s="42">
        <v>4.2300000000000004</v>
      </c>
      <c r="F36" s="42">
        <v>0</v>
      </c>
      <c r="G36" s="42">
        <v>0</v>
      </c>
      <c r="H36" s="42">
        <v>2.4214869999999999</v>
      </c>
      <c r="I36" s="42">
        <v>4.9499649999999997</v>
      </c>
      <c r="J36" s="42">
        <v>0</v>
      </c>
      <c r="K36" s="42">
        <v>0</v>
      </c>
      <c r="L36" s="42">
        <v>2.7015199999999999</v>
      </c>
      <c r="M36" s="42">
        <v>1.8753850000000001</v>
      </c>
      <c r="N36" s="42">
        <v>2.268281</v>
      </c>
      <c r="O36" s="57">
        <v>18.446638</v>
      </c>
    </row>
    <row r="37" spans="1:15" ht="18.75" customHeight="1" x14ac:dyDescent="0.15">
      <c r="A37" s="36" t="s">
        <v>160</v>
      </c>
      <c r="B37" s="26"/>
      <c r="C37" s="42">
        <v>4.5412999999999997</v>
      </c>
      <c r="D37" s="42">
        <v>4.5217000000000001</v>
      </c>
      <c r="E37" s="42">
        <v>7.28</v>
      </c>
      <c r="F37" s="42">
        <v>3.62</v>
      </c>
      <c r="G37" s="42">
        <v>3.12</v>
      </c>
      <c r="H37" s="42">
        <v>2.7278410000000002</v>
      </c>
      <c r="I37" s="42">
        <v>3.3365260000000001</v>
      </c>
      <c r="J37" s="42">
        <v>2.8623769999999999</v>
      </c>
      <c r="K37" s="42">
        <v>3.4243709999999998</v>
      </c>
      <c r="L37" s="42">
        <v>3.4489049999999999</v>
      </c>
      <c r="M37" s="42">
        <v>3.4183720000000002</v>
      </c>
      <c r="N37" s="42">
        <v>2.9380480000000002</v>
      </c>
      <c r="O37" s="57">
        <v>45.239440000000002</v>
      </c>
    </row>
    <row r="38" spans="1:15" x14ac:dyDescent="0.15">
      <c r="A38" s="36" t="s">
        <v>95</v>
      </c>
      <c r="B38" s="26"/>
      <c r="C38" s="42">
        <v>8.5967699999999994</v>
      </c>
      <c r="D38" s="42">
        <v>50.923175999999998</v>
      </c>
      <c r="E38" s="42">
        <v>41.028346999999997</v>
      </c>
      <c r="F38" s="42">
        <v>24.371559000000001</v>
      </c>
      <c r="G38" s="42">
        <v>19.614366</v>
      </c>
      <c r="H38" s="42">
        <v>24.515497</v>
      </c>
      <c r="I38" s="42">
        <v>58.029271999999999</v>
      </c>
      <c r="J38" s="42">
        <v>39.949441</v>
      </c>
      <c r="K38" s="42">
        <v>42.614094000000001</v>
      </c>
      <c r="L38" s="42">
        <v>44.073607000000003</v>
      </c>
      <c r="M38" s="42">
        <v>51.399737000000002</v>
      </c>
      <c r="N38" s="42">
        <v>68.508813000000004</v>
      </c>
      <c r="O38" s="57">
        <v>473.62467900000001</v>
      </c>
    </row>
    <row r="39" spans="1:15" x14ac:dyDescent="0.15">
      <c r="A39" s="36" t="s">
        <v>163</v>
      </c>
      <c r="B39" s="43"/>
      <c r="C39" s="42">
        <v>0</v>
      </c>
      <c r="D39" s="42">
        <v>1.08</v>
      </c>
      <c r="E39" s="42">
        <v>0.45810000000000001</v>
      </c>
      <c r="F39" s="42">
        <v>0.79</v>
      </c>
      <c r="G39" s="42">
        <v>1.6934</v>
      </c>
      <c r="H39" s="42">
        <v>0</v>
      </c>
      <c r="I39" s="42">
        <v>1.73</v>
      </c>
      <c r="J39" s="42">
        <v>1.7171000000000001</v>
      </c>
      <c r="K39" s="42">
        <v>0</v>
      </c>
      <c r="L39" s="42">
        <v>0</v>
      </c>
      <c r="M39" s="42">
        <v>0</v>
      </c>
      <c r="N39" s="42">
        <v>0</v>
      </c>
      <c r="O39" s="42">
        <v>7.4686000000000003</v>
      </c>
    </row>
    <row r="40" spans="1:15" x14ac:dyDescent="0.15">
      <c r="A40" s="36" t="s">
        <v>164</v>
      </c>
      <c r="B40" s="43"/>
      <c r="C40" s="42">
        <v>0</v>
      </c>
      <c r="D40" s="42">
        <v>1.96</v>
      </c>
      <c r="E40" s="42">
        <v>0.88439999999999996</v>
      </c>
      <c r="F40" s="42">
        <v>0</v>
      </c>
      <c r="G40" s="42">
        <v>0</v>
      </c>
      <c r="H40" s="42">
        <v>2.5499999999999998</v>
      </c>
      <c r="I40" s="42">
        <v>1.56</v>
      </c>
      <c r="J40" s="42">
        <v>2.8620999999999999</v>
      </c>
      <c r="K40" s="42">
        <v>0</v>
      </c>
      <c r="L40" s="42">
        <v>0</v>
      </c>
      <c r="M40" s="42">
        <v>0</v>
      </c>
      <c r="N40" s="42">
        <v>0</v>
      </c>
      <c r="O40" s="42">
        <v>9.8164999999999996</v>
      </c>
    </row>
    <row r="41" spans="1:15" x14ac:dyDescent="0.15">
      <c r="A41" s="36" t="s">
        <v>165</v>
      </c>
      <c r="B41" s="43"/>
      <c r="C41" s="42">
        <v>0</v>
      </c>
      <c r="D41" s="42">
        <v>0</v>
      </c>
      <c r="E41" s="42">
        <v>3.44</v>
      </c>
      <c r="F41" s="42">
        <v>0</v>
      </c>
      <c r="G41" s="42">
        <v>1.0165999999999999</v>
      </c>
      <c r="H41" s="42">
        <v>2.2400000000000002</v>
      </c>
      <c r="I41" s="42">
        <v>0</v>
      </c>
      <c r="J41" s="42">
        <v>0.65329999999999999</v>
      </c>
      <c r="K41" s="42">
        <v>0</v>
      </c>
      <c r="L41" s="42">
        <v>0</v>
      </c>
      <c r="M41" s="42">
        <v>0</v>
      </c>
      <c r="N41" s="42">
        <v>0</v>
      </c>
      <c r="O41" s="42">
        <v>7.3498999999999999</v>
      </c>
    </row>
    <row r="43" spans="1:15" ht="14.25" x14ac:dyDescent="0.15">
      <c r="A43" s="52"/>
      <c r="B43" s="53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26"/>
    </row>
    <row r="44" spans="1:15" ht="14.25" x14ac:dyDescent="0.15">
      <c r="A44" s="52" t="s">
        <v>179</v>
      </c>
      <c r="B44" s="26" t="s">
        <v>0</v>
      </c>
      <c r="C44" s="30" t="s">
        <v>83</v>
      </c>
      <c r="D44" s="30" t="s">
        <v>84</v>
      </c>
      <c r="E44" s="30" t="s">
        <v>85</v>
      </c>
      <c r="F44" s="30" t="s">
        <v>86</v>
      </c>
      <c r="G44" s="30" t="s">
        <v>87</v>
      </c>
      <c r="H44" s="30" t="s">
        <v>88</v>
      </c>
      <c r="I44" s="30" t="s">
        <v>89</v>
      </c>
      <c r="J44" s="30" t="s">
        <v>90</v>
      </c>
      <c r="K44" s="30" t="s">
        <v>91</v>
      </c>
      <c r="L44" s="30" t="s">
        <v>92</v>
      </c>
      <c r="M44" s="30" t="s">
        <v>93</v>
      </c>
      <c r="N44" s="30" t="s">
        <v>94</v>
      </c>
      <c r="O44" s="44" t="s">
        <v>111</v>
      </c>
    </row>
    <row r="45" spans="1:15" x14ac:dyDescent="0.15">
      <c r="A45" s="36" t="s">
        <v>148</v>
      </c>
      <c r="B45" s="42">
        <f>白银!B74</f>
        <v>49.2</v>
      </c>
      <c r="C45" s="42">
        <f>白银!C74</f>
        <v>4.1835050000000003</v>
      </c>
      <c r="D45" s="42">
        <f>白银!D74</f>
        <v>6.1835870000000002</v>
      </c>
      <c r="E45" s="42">
        <f>白银!E74</f>
        <v>3.3834719999999998</v>
      </c>
      <c r="F45" s="42">
        <f>白银!F74</f>
        <v>0</v>
      </c>
      <c r="G45" s="42">
        <f>白银!G74</f>
        <v>0</v>
      </c>
      <c r="H45" s="42">
        <f>白银!H74</f>
        <v>0</v>
      </c>
      <c r="I45" s="42">
        <f>白银!I74</f>
        <v>0</v>
      </c>
      <c r="J45" s="42">
        <f>白银!J74</f>
        <v>0</v>
      </c>
      <c r="K45" s="42">
        <f>白银!K74</f>
        <v>0</v>
      </c>
      <c r="L45" s="42">
        <f>白银!L74</f>
        <v>0</v>
      </c>
      <c r="M45" s="42">
        <f>白银!M74</f>
        <v>0</v>
      </c>
      <c r="N45" s="42">
        <f>白银!N74</f>
        <v>0</v>
      </c>
      <c r="O45" s="57">
        <f>SUM(C45:N45)</f>
        <v>13.750563999999999</v>
      </c>
    </row>
    <row r="46" spans="1:15" x14ac:dyDescent="0.15">
      <c r="A46" s="36" t="s">
        <v>149</v>
      </c>
      <c r="B46" s="42">
        <f>酒一!B74</f>
        <v>50</v>
      </c>
      <c r="C46" s="42">
        <f>酒一!C74</f>
        <v>0</v>
      </c>
      <c r="D46" s="42">
        <f>酒一!D74</f>
        <v>13.300775</v>
      </c>
      <c r="E46" s="42">
        <f>酒一!E74</f>
        <v>5.6458969999999997</v>
      </c>
      <c r="F46" s="42">
        <f>酒一!F74</f>
        <v>3.111272</v>
      </c>
      <c r="G46" s="42">
        <f>酒一!G74</f>
        <v>0</v>
      </c>
      <c r="H46" s="42">
        <f>酒一!H74</f>
        <v>0</v>
      </c>
      <c r="I46" s="42">
        <f>酒一!I74</f>
        <v>0</v>
      </c>
      <c r="J46" s="42">
        <f>酒一!J74</f>
        <v>0</v>
      </c>
      <c r="K46" s="42">
        <f>酒一!K74</f>
        <v>0</v>
      </c>
      <c r="L46" s="42">
        <f>酒一!L74</f>
        <v>0</v>
      </c>
      <c r="M46" s="42">
        <f>酒一!M74</f>
        <v>0</v>
      </c>
      <c r="N46" s="42">
        <f>酒一!N74</f>
        <v>0</v>
      </c>
      <c r="O46" s="57">
        <f t="shared" ref="O46:O63" si="0">SUM(C46:N46)</f>
        <v>22.057943999999999</v>
      </c>
    </row>
    <row r="47" spans="1:15" x14ac:dyDescent="0.15">
      <c r="A47" s="36" t="s">
        <v>150</v>
      </c>
      <c r="B47" s="42">
        <f>酒二!B74</f>
        <v>60</v>
      </c>
      <c r="C47" s="42">
        <f>酒二!C74</f>
        <v>3.8209599999999999</v>
      </c>
      <c r="D47" s="42">
        <f>酒二!D74</f>
        <v>4.8986669999999997</v>
      </c>
      <c r="E47" s="42">
        <f>酒二!E74</f>
        <v>0</v>
      </c>
      <c r="F47" s="42">
        <f>酒二!F74</f>
        <v>6.0096170000000004</v>
      </c>
      <c r="G47" s="42">
        <f>酒二!G74</f>
        <v>0</v>
      </c>
      <c r="H47" s="42">
        <f>酒二!H74</f>
        <v>0</v>
      </c>
      <c r="I47" s="42">
        <f>酒二!I74</f>
        <v>0</v>
      </c>
      <c r="J47" s="42">
        <f>酒二!J74</f>
        <v>0</v>
      </c>
      <c r="K47" s="42">
        <f>酒二!K74</f>
        <v>0</v>
      </c>
      <c r="L47" s="42">
        <f>酒二!L74</f>
        <v>0</v>
      </c>
      <c r="M47" s="42">
        <f>酒二!M74</f>
        <v>0</v>
      </c>
      <c r="N47" s="42">
        <f>酒二!N74</f>
        <v>0</v>
      </c>
      <c r="O47" s="57">
        <f t="shared" si="0"/>
        <v>14.729244</v>
      </c>
    </row>
    <row r="48" spans="1:15" x14ac:dyDescent="0.15">
      <c r="A48" s="36" t="s">
        <v>151</v>
      </c>
      <c r="B48" s="42">
        <f>青海!B74</f>
        <v>28.14</v>
      </c>
      <c r="C48" s="42">
        <f>青海!C74</f>
        <v>0</v>
      </c>
      <c r="D48" s="42">
        <f>青海!D74</f>
        <v>0</v>
      </c>
      <c r="E48" s="42">
        <f>青海!E74</f>
        <v>0</v>
      </c>
      <c r="F48" s="42">
        <f>青海!F74</f>
        <v>0</v>
      </c>
      <c r="G48" s="42">
        <f>青海!G74</f>
        <v>0</v>
      </c>
      <c r="H48" s="42">
        <f>青海!H74</f>
        <v>0</v>
      </c>
      <c r="I48" s="42">
        <f>青海!I74</f>
        <v>0</v>
      </c>
      <c r="J48" s="42">
        <f>青海!J74</f>
        <v>0</v>
      </c>
      <c r="K48" s="42">
        <f>青海!K74</f>
        <v>0</v>
      </c>
      <c r="L48" s="42">
        <f>青海!L74</f>
        <v>0</v>
      </c>
      <c r="M48" s="42">
        <f>青海!M74</f>
        <v>0</v>
      </c>
      <c r="N48" s="42">
        <f>青海!N74</f>
        <v>0</v>
      </c>
      <c r="O48" s="57">
        <f t="shared" si="0"/>
        <v>0</v>
      </c>
    </row>
    <row r="49" spans="1:15" x14ac:dyDescent="0.15">
      <c r="A49" s="36" t="s">
        <v>152</v>
      </c>
      <c r="B49" s="42">
        <f>哈密!B74</f>
        <v>551.46</v>
      </c>
      <c r="C49" s="42">
        <f>哈密!C74</f>
        <v>33.190185</v>
      </c>
      <c r="D49" s="42">
        <f>哈密!D74</f>
        <v>27.959251999999999</v>
      </c>
      <c r="E49" s="42">
        <f>哈密!E74</f>
        <v>48.189622999999997</v>
      </c>
      <c r="F49" s="42">
        <f>哈密!F74</f>
        <v>30.699876</v>
      </c>
      <c r="G49" s="42">
        <f>哈密!G74</f>
        <v>0</v>
      </c>
      <c r="H49" s="42">
        <f>哈密!H74</f>
        <v>0</v>
      </c>
      <c r="I49" s="42">
        <f>哈密!I74</f>
        <v>0</v>
      </c>
      <c r="J49" s="42">
        <f>哈密!J74</f>
        <v>0</v>
      </c>
      <c r="K49" s="42">
        <f>哈密!K74</f>
        <v>0</v>
      </c>
      <c r="L49" s="42">
        <f>哈密!L74</f>
        <v>0</v>
      </c>
      <c r="M49" s="42">
        <f>哈密!M74</f>
        <v>0</v>
      </c>
      <c r="N49" s="42">
        <f>哈密!N74</f>
        <v>0</v>
      </c>
      <c r="O49" s="57">
        <f t="shared" si="0"/>
        <v>140.03893599999998</v>
      </c>
    </row>
    <row r="50" spans="1:15" x14ac:dyDescent="0.15">
      <c r="A50" s="36" t="s">
        <v>153</v>
      </c>
      <c r="B50" s="42">
        <f>三塘湖!B74</f>
        <v>32.22</v>
      </c>
      <c r="C50" s="42">
        <f>三塘湖!C74</f>
        <v>4.0106859999999998</v>
      </c>
      <c r="D50" s="42">
        <f>三塘湖!D74</f>
        <v>0</v>
      </c>
      <c r="E50" s="42">
        <f>三塘湖!E74</f>
        <v>8.4274699999999996</v>
      </c>
      <c r="F50" s="42">
        <f>三塘湖!F74</f>
        <v>0</v>
      </c>
      <c r="G50" s="42">
        <f>三塘湖!G74</f>
        <v>0</v>
      </c>
      <c r="H50" s="42">
        <f>三塘湖!H74</f>
        <v>0</v>
      </c>
      <c r="I50" s="42">
        <f>三塘湖!I74</f>
        <v>0</v>
      </c>
      <c r="J50" s="42">
        <f>三塘湖!J74</f>
        <v>0</v>
      </c>
      <c r="K50" s="42">
        <f>三塘湖!K74</f>
        <v>0</v>
      </c>
      <c r="L50" s="42">
        <f>三塘湖!L74</f>
        <v>0</v>
      </c>
      <c r="M50" s="42">
        <f>三塘湖!M74</f>
        <v>0</v>
      </c>
      <c r="N50" s="42">
        <f>三塘湖!N74</f>
        <v>0</v>
      </c>
      <c r="O50" s="57">
        <f t="shared" si="0"/>
        <v>12.438155999999999</v>
      </c>
    </row>
    <row r="51" spans="1:15" x14ac:dyDescent="0.15">
      <c r="A51" s="36" t="s">
        <v>154</v>
      </c>
      <c r="B51" s="42">
        <f>淖毛湖!B74</f>
        <v>153.24</v>
      </c>
      <c r="C51" s="42">
        <f>淖毛湖!C74</f>
        <v>3.7726929999999999</v>
      </c>
      <c r="D51" s="42">
        <f>淖毛湖!D74</f>
        <v>0</v>
      </c>
      <c r="E51" s="42">
        <f>淖毛湖!E74</f>
        <v>9.0668030000000002</v>
      </c>
      <c r="F51" s="42">
        <f>淖毛湖!F74</f>
        <v>3.955263</v>
      </c>
      <c r="G51" s="42">
        <f>淖毛湖!G74</f>
        <v>0</v>
      </c>
      <c r="H51" s="42">
        <f>淖毛湖!H74</f>
        <v>0</v>
      </c>
      <c r="I51" s="42">
        <f>淖毛湖!I74</f>
        <v>0</v>
      </c>
      <c r="J51" s="42">
        <f>淖毛湖!J74</f>
        <v>0</v>
      </c>
      <c r="K51" s="42">
        <f>淖毛湖!K74</f>
        <v>0</v>
      </c>
      <c r="L51" s="42">
        <f>淖毛湖!L74</f>
        <v>0</v>
      </c>
      <c r="M51" s="42">
        <f>淖毛湖!M74</f>
        <v>0</v>
      </c>
      <c r="N51" s="42">
        <f>淖毛湖!N74</f>
        <v>0</v>
      </c>
      <c r="O51" s="57">
        <f t="shared" si="0"/>
        <v>16.794758999999999</v>
      </c>
    </row>
    <row r="52" spans="1:15" x14ac:dyDescent="0.15">
      <c r="A52" s="36" t="s">
        <v>155</v>
      </c>
      <c r="B52" s="42">
        <f>景峡!B74</f>
        <v>211</v>
      </c>
      <c r="C52" s="42">
        <f>景峡!C74</f>
        <v>15.469858</v>
      </c>
      <c r="D52" s="42">
        <f>景峡!D74</f>
        <v>15.817212</v>
      </c>
      <c r="E52" s="42">
        <f>景峡!E74</f>
        <v>21.905984</v>
      </c>
      <c r="F52" s="42">
        <f>景峡!F74</f>
        <v>19.332346000000001</v>
      </c>
      <c r="G52" s="42">
        <f>景峡!G74</f>
        <v>0</v>
      </c>
      <c r="H52" s="42">
        <f>景峡!H74</f>
        <v>0</v>
      </c>
      <c r="I52" s="42">
        <f>景峡!I74</f>
        <v>0</v>
      </c>
      <c r="J52" s="42">
        <f>景峡!J74</f>
        <v>0</v>
      </c>
      <c r="K52" s="42">
        <f>景峡!K74</f>
        <v>0</v>
      </c>
      <c r="L52" s="42">
        <f>景峡!L74</f>
        <v>0</v>
      </c>
      <c r="M52" s="42">
        <f>景峡!M74</f>
        <v>0</v>
      </c>
      <c r="N52" s="42">
        <f>景峡!N74</f>
        <v>0</v>
      </c>
      <c r="O52" s="57">
        <f t="shared" si="0"/>
        <v>72.525400000000005</v>
      </c>
    </row>
    <row r="53" spans="1:15" x14ac:dyDescent="0.15">
      <c r="A53" s="36" t="s">
        <v>156</v>
      </c>
      <c r="B53" s="42">
        <f>烟墩!B74</f>
        <v>155</v>
      </c>
      <c r="C53" s="42">
        <f>烟墩!C74</f>
        <v>9.9369479999999992</v>
      </c>
      <c r="D53" s="42">
        <f>烟墩!D74</f>
        <v>12.14204</v>
      </c>
      <c r="E53" s="42">
        <f>烟墩!E74</f>
        <v>8.7893659999999993</v>
      </c>
      <c r="F53" s="42">
        <f>烟墩!F74</f>
        <v>7.4122669999999999</v>
      </c>
      <c r="G53" s="42">
        <f>烟墩!G74</f>
        <v>0</v>
      </c>
      <c r="H53" s="42">
        <f>烟墩!H74</f>
        <v>0</v>
      </c>
      <c r="I53" s="42">
        <f>烟墩!I74</f>
        <v>0</v>
      </c>
      <c r="J53" s="42">
        <f>烟墩!J74</f>
        <v>0</v>
      </c>
      <c r="K53" s="42">
        <f>烟墩!K74</f>
        <v>0</v>
      </c>
      <c r="L53" s="42">
        <f>烟墩!L74</f>
        <v>0</v>
      </c>
      <c r="M53" s="42">
        <f>烟墩!M74</f>
        <v>0</v>
      </c>
      <c r="N53" s="42">
        <f>烟墩!N74</f>
        <v>0</v>
      </c>
      <c r="O53" s="57">
        <f t="shared" si="0"/>
        <v>38.280620999999996</v>
      </c>
    </row>
    <row r="54" spans="1:15" x14ac:dyDescent="0.15">
      <c r="A54" s="36" t="s">
        <v>157</v>
      </c>
      <c r="B54" s="42">
        <f>吐鲁番!B74</f>
        <v>36.299999999999997</v>
      </c>
      <c r="C54" s="42">
        <f>吐鲁番!C74</f>
        <v>0</v>
      </c>
      <c r="D54" s="42">
        <f>吐鲁番!D74</f>
        <v>0</v>
      </c>
      <c r="E54" s="42">
        <f>吐鲁番!E74</f>
        <v>1.5405530000000001</v>
      </c>
      <c r="F54" s="42">
        <f>吐鲁番!F74</f>
        <v>0</v>
      </c>
      <c r="G54" s="42">
        <f>吐鲁番!G74</f>
        <v>0</v>
      </c>
      <c r="H54" s="42">
        <f>吐鲁番!H74</f>
        <v>0</v>
      </c>
      <c r="I54" s="42">
        <f>吐鲁番!I74</f>
        <v>0</v>
      </c>
      <c r="J54" s="42">
        <f>吐鲁番!J74</f>
        <v>0</v>
      </c>
      <c r="K54" s="42">
        <f>吐鲁番!K74</f>
        <v>0</v>
      </c>
      <c r="L54" s="42">
        <f>吐鲁番!L74</f>
        <v>0</v>
      </c>
      <c r="M54" s="42">
        <f>吐鲁番!M74</f>
        <v>0</v>
      </c>
      <c r="N54" s="42">
        <f>吐鲁番!N74</f>
        <v>0</v>
      </c>
      <c r="O54" s="57">
        <f t="shared" si="0"/>
        <v>1.5405530000000001</v>
      </c>
    </row>
    <row r="55" spans="1:15" x14ac:dyDescent="0.15">
      <c r="A55" s="36" t="s">
        <v>158</v>
      </c>
      <c r="B55" s="42">
        <f>敦煌!B74</f>
        <v>25.608000000000001</v>
      </c>
      <c r="C55" s="42">
        <f>敦煌!C74</f>
        <v>3.289256</v>
      </c>
      <c r="D55" s="42">
        <f>敦煌!D74</f>
        <v>2.0121690000000001</v>
      </c>
      <c r="E55" s="42">
        <f>敦煌!E74</f>
        <v>1.832978</v>
      </c>
      <c r="F55" s="42">
        <f>敦煌!F74</f>
        <v>1.299288</v>
      </c>
      <c r="G55" s="42">
        <f>敦煌!G74</f>
        <v>0</v>
      </c>
      <c r="H55" s="42">
        <f>敦煌!H74</f>
        <v>0</v>
      </c>
      <c r="I55" s="42">
        <f>敦煌!I74</f>
        <v>0</v>
      </c>
      <c r="J55" s="42">
        <f>敦煌!J74</f>
        <v>0</v>
      </c>
      <c r="K55" s="42">
        <f>敦煌!K74</f>
        <v>0</v>
      </c>
      <c r="L55" s="42">
        <f>敦煌!L74</f>
        <v>0</v>
      </c>
      <c r="M55" s="42">
        <f>敦煌!M74</f>
        <v>0</v>
      </c>
      <c r="N55" s="42">
        <f>敦煌!N74</f>
        <v>0</v>
      </c>
      <c r="O55" s="57">
        <f t="shared" si="0"/>
        <v>8.4336909999999996</v>
      </c>
    </row>
    <row r="56" spans="1:15" x14ac:dyDescent="0.15">
      <c r="A56" s="36" t="s">
        <v>159</v>
      </c>
      <c r="B56" s="42">
        <f>格尔木!B74</f>
        <v>21.57</v>
      </c>
      <c r="C56" s="42">
        <f>格尔木!C74</f>
        <v>0</v>
      </c>
      <c r="D56" s="42">
        <f>格尔木!D74</f>
        <v>0</v>
      </c>
      <c r="E56" s="42">
        <f>格尔木!E74</f>
        <v>0</v>
      </c>
      <c r="F56" s="42">
        <f>格尔木!F74</f>
        <v>0</v>
      </c>
      <c r="G56" s="42">
        <f>格尔木!G74</f>
        <v>0</v>
      </c>
      <c r="H56" s="42">
        <f>格尔木!H74</f>
        <v>0</v>
      </c>
      <c r="I56" s="42">
        <f>格尔木!I74</f>
        <v>0</v>
      </c>
      <c r="J56" s="42">
        <f>格尔木!J74</f>
        <v>0</v>
      </c>
      <c r="K56" s="42">
        <f>格尔木!K74</f>
        <v>0</v>
      </c>
      <c r="L56" s="42">
        <f>格尔木!L74</f>
        <v>0</v>
      </c>
      <c r="M56" s="42">
        <f>格尔木!M74</f>
        <v>0</v>
      </c>
      <c r="N56" s="42">
        <f>格尔木!N74</f>
        <v>0</v>
      </c>
      <c r="O56" s="57">
        <f t="shared" si="0"/>
        <v>0</v>
      </c>
    </row>
    <row r="57" spans="1:15" x14ac:dyDescent="0.15">
      <c r="A57" s="36" t="s">
        <v>160</v>
      </c>
      <c r="B57" s="42">
        <f>石嘴山!B74</f>
        <v>38.28</v>
      </c>
      <c r="C57" s="42">
        <f>石嘴山!C74</f>
        <v>4.3319099999999997</v>
      </c>
      <c r="D57" s="42">
        <f>石嘴山!D74</f>
        <v>6.4315769999999999</v>
      </c>
      <c r="E57" s="42">
        <f>石嘴山!E74</f>
        <v>3.6385369999999999</v>
      </c>
      <c r="F57" s="42">
        <f>石嘴山!F74</f>
        <v>2.64419</v>
      </c>
      <c r="G57" s="42">
        <f>石嘴山!G74</f>
        <v>0</v>
      </c>
      <c r="H57" s="42">
        <f>石嘴山!H74</f>
        <v>0</v>
      </c>
      <c r="I57" s="42">
        <f>石嘴山!I74</f>
        <v>0</v>
      </c>
      <c r="J57" s="42">
        <f>石嘴山!J74</f>
        <v>0</v>
      </c>
      <c r="K57" s="42">
        <f>石嘴山!K74</f>
        <v>0</v>
      </c>
      <c r="L57" s="42">
        <f>石嘴山!L74</f>
        <v>0</v>
      </c>
      <c r="M57" s="42">
        <f>石嘴山!M74</f>
        <v>0</v>
      </c>
      <c r="N57" s="42">
        <f>石嘴山!N74</f>
        <v>0</v>
      </c>
      <c r="O57" s="57">
        <f t="shared" si="0"/>
        <v>17.046213999999999</v>
      </c>
    </row>
    <row r="58" spans="1:15" x14ac:dyDescent="0.15">
      <c r="A58" s="54" t="s">
        <v>176</v>
      </c>
      <c r="B58" s="55">
        <f>SUM(B45:B49,B54:B57)</f>
        <v>860.55799999999988</v>
      </c>
      <c r="C58" s="55">
        <f>SUM(C45:C49,C54:C57)</f>
        <v>48.815815999999998</v>
      </c>
      <c r="D58" s="55">
        <f t="shared" ref="D58:N58" si="1">SUM(D45:D49,D54:D57)</f>
        <v>60.786026999999997</v>
      </c>
      <c r="E58" s="55">
        <f t="shared" si="1"/>
        <v>64.231059999999999</v>
      </c>
      <c r="F58" s="55">
        <f t="shared" si="1"/>
        <v>43.764243</v>
      </c>
      <c r="G58" s="55">
        <f t="shared" si="1"/>
        <v>0</v>
      </c>
      <c r="H58" s="55">
        <f t="shared" si="1"/>
        <v>0</v>
      </c>
      <c r="I58" s="55">
        <f t="shared" si="1"/>
        <v>0</v>
      </c>
      <c r="J58" s="55">
        <f t="shared" si="1"/>
        <v>0</v>
      </c>
      <c r="K58" s="55">
        <f t="shared" si="1"/>
        <v>0</v>
      </c>
      <c r="L58" s="55">
        <f t="shared" si="1"/>
        <v>0</v>
      </c>
      <c r="M58" s="55">
        <f t="shared" si="1"/>
        <v>0</v>
      </c>
      <c r="N58" s="55">
        <f t="shared" si="1"/>
        <v>0</v>
      </c>
      <c r="O58" s="58">
        <f t="shared" si="0"/>
        <v>217.59714599999998</v>
      </c>
    </row>
    <row r="59" spans="1:15" x14ac:dyDescent="0.15">
      <c r="A59" s="36" t="s">
        <v>163</v>
      </c>
      <c r="B59" s="43"/>
      <c r="C59" s="42">
        <f>云南!C74</f>
        <v>0.70940000000000003</v>
      </c>
      <c r="D59" s="42">
        <f>云南!D94</f>
        <v>0</v>
      </c>
      <c r="E59" s="42">
        <f>云南!E94</f>
        <v>0</v>
      </c>
      <c r="F59" s="42">
        <f>云南!F94</f>
        <v>0</v>
      </c>
      <c r="G59" s="42">
        <f>云南!G94</f>
        <v>0</v>
      </c>
      <c r="H59" s="42">
        <f>云南!H94</f>
        <v>0</v>
      </c>
      <c r="I59" s="42">
        <f>云南!I94</f>
        <v>0</v>
      </c>
      <c r="J59" s="42">
        <f>云南!J94</f>
        <v>0</v>
      </c>
      <c r="K59" s="42">
        <f>云南!K94</f>
        <v>0</v>
      </c>
      <c r="L59" s="42">
        <f>云南!L94</f>
        <v>0</v>
      </c>
      <c r="M59" s="42">
        <f>云南!M94</f>
        <v>0</v>
      </c>
      <c r="N59" s="42">
        <f>云南!N94</f>
        <v>0</v>
      </c>
      <c r="O59" s="58">
        <f t="shared" si="0"/>
        <v>0.70940000000000003</v>
      </c>
    </row>
    <row r="60" spans="1:15" x14ac:dyDescent="0.15">
      <c r="A60" s="36" t="s">
        <v>164</v>
      </c>
      <c r="B60" s="43"/>
      <c r="C60" s="42">
        <f>楚雄!C74</f>
        <v>0</v>
      </c>
      <c r="D60" s="42">
        <f>楚雄!D94</f>
        <v>0</v>
      </c>
      <c r="E60" s="42">
        <f>楚雄!E94</f>
        <v>0</v>
      </c>
      <c r="F60" s="42">
        <f>楚雄!F94</f>
        <v>0</v>
      </c>
      <c r="G60" s="42">
        <f>楚雄!G94</f>
        <v>0</v>
      </c>
      <c r="H60" s="42">
        <f>楚雄!H94</f>
        <v>0</v>
      </c>
      <c r="I60" s="42">
        <f>楚雄!I94</f>
        <v>0</v>
      </c>
      <c r="J60" s="42">
        <f>楚雄!J94</f>
        <v>0</v>
      </c>
      <c r="K60" s="42">
        <f>楚雄!K94</f>
        <v>0</v>
      </c>
      <c r="L60" s="42">
        <f>楚雄!L94</f>
        <v>0</v>
      </c>
      <c r="M60" s="42">
        <f>楚雄!M94</f>
        <v>0</v>
      </c>
      <c r="N60" s="42">
        <f>楚雄!N94</f>
        <v>0</v>
      </c>
      <c r="O60" s="58">
        <f t="shared" si="0"/>
        <v>0</v>
      </c>
    </row>
    <row r="61" spans="1:15" x14ac:dyDescent="0.15">
      <c r="A61" s="36" t="s">
        <v>165</v>
      </c>
      <c r="B61" s="43"/>
      <c r="C61" s="42">
        <f>大理!C74</f>
        <v>2.1450999999999998</v>
      </c>
      <c r="D61" s="42">
        <f>大理!D94</f>
        <v>0</v>
      </c>
      <c r="E61" s="42">
        <f>大理!E94</f>
        <v>0</v>
      </c>
      <c r="F61" s="42">
        <f>大理!F94</f>
        <v>0</v>
      </c>
      <c r="G61" s="42">
        <f>大理!G94</f>
        <v>0</v>
      </c>
      <c r="H61" s="42">
        <f>大理!H94</f>
        <v>0</v>
      </c>
      <c r="I61" s="42">
        <f>大理!I94</f>
        <v>0</v>
      </c>
      <c r="J61" s="42">
        <f>大理!J94</f>
        <v>0</v>
      </c>
      <c r="K61" s="42">
        <f>大理!K94</f>
        <v>0</v>
      </c>
      <c r="L61" s="42">
        <f>大理!L94</f>
        <v>0</v>
      </c>
      <c r="M61" s="42">
        <f>大理!M94</f>
        <v>0</v>
      </c>
      <c r="N61" s="42">
        <f>大理!N94</f>
        <v>0</v>
      </c>
      <c r="O61" s="58">
        <f t="shared" si="0"/>
        <v>2.1450999999999998</v>
      </c>
    </row>
    <row r="62" spans="1:15" x14ac:dyDescent="0.15">
      <c r="A62" s="54" t="s">
        <v>176</v>
      </c>
      <c r="B62" s="55">
        <f>SUM(B59:B61)</f>
        <v>0</v>
      </c>
      <c r="C62" s="55">
        <f>SUM(C59:C61)</f>
        <v>2.8544999999999998</v>
      </c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8">
        <f t="shared" si="0"/>
        <v>2.8544999999999998</v>
      </c>
    </row>
    <row r="63" spans="1:15" x14ac:dyDescent="0.15">
      <c r="A63" s="36" t="s">
        <v>238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58">
        <f t="shared" si="0"/>
        <v>0</v>
      </c>
    </row>
    <row r="64" spans="1:15" x14ac:dyDescent="0.15">
      <c r="A64" s="36" t="s">
        <v>95</v>
      </c>
      <c r="B64" s="42">
        <f>SUM(B58,B62:B63)</f>
        <v>860.55799999999988</v>
      </c>
      <c r="C64" s="42">
        <f>SUM(C58,C62:C63)</f>
        <v>51.670316</v>
      </c>
      <c r="D64" s="42">
        <f t="shared" ref="D64:O64" si="2">SUM(D58,D62:D63)</f>
        <v>60.786026999999997</v>
      </c>
      <c r="E64" s="42">
        <f t="shared" si="2"/>
        <v>64.231059999999999</v>
      </c>
      <c r="F64" s="42">
        <f t="shared" si="2"/>
        <v>43.764243</v>
      </c>
      <c r="G64" s="42">
        <f t="shared" si="2"/>
        <v>0</v>
      </c>
      <c r="H64" s="42">
        <f t="shared" si="2"/>
        <v>0</v>
      </c>
      <c r="I64" s="42">
        <f t="shared" si="2"/>
        <v>0</v>
      </c>
      <c r="J64" s="42">
        <f t="shared" si="2"/>
        <v>0</v>
      </c>
      <c r="K64" s="42">
        <f t="shared" si="2"/>
        <v>0</v>
      </c>
      <c r="L64" s="42">
        <f t="shared" si="2"/>
        <v>0</v>
      </c>
      <c r="M64" s="42">
        <f t="shared" si="2"/>
        <v>0</v>
      </c>
      <c r="N64" s="42">
        <f t="shared" si="2"/>
        <v>0</v>
      </c>
      <c r="O64" s="42">
        <f t="shared" si="2"/>
        <v>220.45164599999998</v>
      </c>
    </row>
  </sheetData>
  <mergeCells count="2">
    <mergeCell ref="C23:N23"/>
    <mergeCell ref="C43:N43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1"/>
  <sheetViews>
    <sheetView workbookViewId="0">
      <pane xSplit="1" ySplit="2" topLeftCell="B3" activePane="bottomRight" state="frozenSplit"/>
      <selection pane="topRight"/>
      <selection pane="bottomLeft"/>
      <selection pane="bottomRight" activeCell="I25" sqref="I25"/>
    </sheetView>
  </sheetViews>
  <sheetFormatPr defaultColWidth="9" defaultRowHeight="13.5" x14ac:dyDescent="0.15"/>
  <cols>
    <col min="1" max="1" width="24.375" customWidth="1"/>
    <col min="2" max="2" width="10.5" customWidth="1"/>
    <col min="3" max="15" width="9.12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5940</v>
      </c>
      <c r="C3" s="292">
        <v>494.09477199999998</v>
      </c>
      <c r="D3" s="292">
        <v>314.611289</v>
      </c>
      <c r="E3" s="292">
        <v>439.11761599999897</v>
      </c>
      <c r="F3" s="292">
        <v>492.495248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>SUM(C3:N3)</f>
        <v>1740.3189249999989</v>
      </c>
    </row>
    <row r="4" spans="1:15" x14ac:dyDescent="0.15">
      <c r="A4" s="291" t="s">
        <v>15</v>
      </c>
      <c r="B4" s="292">
        <f>B5+B6</f>
        <v>5940</v>
      </c>
      <c r="C4" s="292">
        <v>494.09477199999998</v>
      </c>
      <c r="D4" s="292">
        <v>314.611289</v>
      </c>
      <c r="E4" s="292">
        <v>439.11761599999897</v>
      </c>
      <c r="F4" s="292">
        <v>492.495248</v>
      </c>
      <c r="G4" s="292">
        <f t="shared" ref="G4:N4" si="1">G5+G6</f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292">
        <f>SUM(C4:N4)</f>
        <v>1740.3189249999989</v>
      </c>
    </row>
    <row r="5" spans="1:15" x14ac:dyDescent="0.15">
      <c r="A5" s="291" t="s">
        <v>17</v>
      </c>
      <c r="B5" s="292">
        <v>5940</v>
      </c>
      <c r="C5" s="292">
        <v>494.09477199999998</v>
      </c>
      <c r="D5" s="292">
        <v>314.611289</v>
      </c>
      <c r="E5" s="292">
        <v>439.11761599999897</v>
      </c>
      <c r="F5" s="292">
        <v>492.495248</v>
      </c>
      <c r="G5" s="292"/>
      <c r="H5" s="292"/>
      <c r="I5" s="292"/>
      <c r="J5" s="292"/>
      <c r="K5" s="292"/>
      <c r="L5" s="292"/>
      <c r="M5" s="292"/>
      <c r="N5" s="292"/>
      <c r="O5" s="292">
        <f>SUM(C5:N5)</f>
        <v>1740.3189249999989</v>
      </c>
    </row>
    <row r="6" spans="1:15" ht="14.25" customHeight="1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>SUM(C6:L6)</f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ref="O7:O37" si="2">SUM(C7:N7)</f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2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2"/>
        <v>0</v>
      </c>
    </row>
    <row r="10" spans="1:15" x14ac:dyDescent="0.15">
      <c r="A10" s="291" t="s">
        <v>22</v>
      </c>
      <c r="B10" s="292">
        <f>B11+B21+B23+B25+B29</f>
        <v>6792.2429000000011</v>
      </c>
      <c r="C10" s="292">
        <v>536.39583200000004</v>
      </c>
      <c r="D10" s="292">
        <v>490.27267399999999</v>
      </c>
      <c r="E10" s="292">
        <v>523.48112799999899</v>
      </c>
      <c r="F10" s="292">
        <v>536.15591099999995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2"/>
        <v>2086.3055449999988</v>
      </c>
    </row>
    <row r="11" spans="1:15" x14ac:dyDescent="0.15">
      <c r="A11" s="291" t="s">
        <v>23</v>
      </c>
      <c r="B11" s="292">
        <f>B12+B13</f>
        <v>4550.9412800000009</v>
      </c>
      <c r="C11" s="292">
        <v>342.44719500000002</v>
      </c>
      <c r="D11" s="292">
        <v>326.20660800000002</v>
      </c>
      <c r="E11" s="292">
        <v>344.35338999999902</v>
      </c>
      <c r="F11" s="292">
        <v>335.431196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314">
        <f t="shared" si="2"/>
        <v>1348.438388999999</v>
      </c>
    </row>
    <row r="12" spans="1:15" x14ac:dyDescent="0.15">
      <c r="A12" s="291" t="s">
        <v>144</v>
      </c>
      <c r="B12" s="292">
        <f>B73</f>
        <v>4550.9412800000009</v>
      </c>
      <c r="C12" s="293">
        <v>342.44719500000002</v>
      </c>
      <c r="D12" s="293">
        <v>326.20660800000002</v>
      </c>
      <c r="E12" s="293">
        <v>344.35338999999902</v>
      </c>
      <c r="F12" s="293">
        <v>335.431196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314">
        <f t="shared" si="2"/>
        <v>1348.438388999999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2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2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2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2"/>
        <v>0</v>
      </c>
    </row>
    <row r="18" spans="1:15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2"/>
        <v>0</v>
      </c>
    </row>
    <row r="21" spans="1:15" x14ac:dyDescent="0.15">
      <c r="A21" s="291" t="s">
        <v>33</v>
      </c>
      <c r="B21" s="294">
        <v>49</v>
      </c>
      <c r="C21" s="292">
        <v>0.70199999999999996</v>
      </c>
      <c r="D21" s="292">
        <v>0.58889999999999998</v>
      </c>
      <c r="E21" s="292">
        <v>0</v>
      </c>
      <c r="F21" s="292">
        <v>1.157724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2"/>
        <v>2.4486239999999997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2"/>
        <v>0</v>
      </c>
    </row>
    <row r="23" spans="1:15" x14ac:dyDescent="0.15">
      <c r="A23" s="291" t="s">
        <v>35</v>
      </c>
      <c r="B23" s="292">
        <v>461.16361999999998</v>
      </c>
      <c r="C23" s="292">
        <v>31.014671</v>
      </c>
      <c r="D23" s="292">
        <v>17.350010999999999</v>
      </c>
      <c r="E23" s="292">
        <v>15.517232</v>
      </c>
      <c r="F23" s="292">
        <v>40.697457999999997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2"/>
        <v>104.57937200000001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si="2"/>
        <v>0</v>
      </c>
    </row>
    <row r="25" spans="1:15" x14ac:dyDescent="0.15">
      <c r="A25" s="291" t="s">
        <v>37</v>
      </c>
      <c r="B25" s="292">
        <v>1723.1379999999999</v>
      </c>
      <c r="C25" s="292">
        <v>162.231966</v>
      </c>
      <c r="D25" s="292">
        <v>146.12715499999999</v>
      </c>
      <c r="E25" s="292">
        <v>163.61050599999899</v>
      </c>
      <c r="F25" s="292">
        <v>158.86953299999999</v>
      </c>
      <c r="G25" s="292"/>
      <c r="H25" s="292"/>
      <c r="I25" s="292"/>
      <c r="J25" s="292"/>
      <c r="K25" s="292"/>
      <c r="L25" s="292"/>
      <c r="M25" s="292"/>
      <c r="N25" s="292"/>
      <c r="O25" s="314">
        <f t="shared" si="2"/>
        <v>630.83915999999886</v>
      </c>
    </row>
    <row r="26" spans="1:15" hidden="1" x14ac:dyDescent="0.15">
      <c r="A26" s="291" t="s">
        <v>38</v>
      </c>
      <c r="B26" s="292"/>
      <c r="C26" s="292">
        <v>162.461578</v>
      </c>
      <c r="D26" s="292">
        <v>146.31461300000001</v>
      </c>
      <c r="E26" s="292">
        <v>164.157149</v>
      </c>
      <c r="F26" s="292">
        <v>159.307321999999</v>
      </c>
      <c r="G26" s="292"/>
      <c r="H26" s="292"/>
      <c r="I26" s="292"/>
      <c r="J26" s="292"/>
      <c r="K26" s="292"/>
      <c r="L26" s="292"/>
      <c r="M26" s="292"/>
      <c r="N26" s="292"/>
      <c r="O26" s="314">
        <f t="shared" si="2"/>
        <v>632.24066199999902</v>
      </c>
    </row>
    <row r="27" spans="1:15" ht="14.25" hidden="1" customHeight="1" x14ac:dyDescent="0.15">
      <c r="A27" s="291" t="s">
        <v>39</v>
      </c>
      <c r="B27" s="292"/>
      <c r="C27" s="292">
        <v>0.254612</v>
      </c>
      <c r="D27" s="292">
        <v>0.21005799999999999</v>
      </c>
      <c r="E27" s="292">
        <v>0.55524299999999904</v>
      </c>
      <c r="F27" s="292">
        <v>0.44638899999999998</v>
      </c>
      <c r="G27" s="292"/>
      <c r="H27" s="292"/>
      <c r="I27" s="292"/>
      <c r="J27" s="292"/>
      <c r="K27" s="292"/>
      <c r="L27" s="292"/>
      <c r="M27" s="292"/>
      <c r="N27" s="292"/>
      <c r="O27" s="292">
        <f t="shared" si="2"/>
        <v>1.4663019999999989</v>
      </c>
    </row>
    <row r="28" spans="1:15" ht="14.25" hidden="1" customHeight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2"/>
        <v>0</v>
      </c>
    </row>
    <row r="29" spans="1:15" ht="14.25" customHeight="1" x14ac:dyDescent="0.15">
      <c r="A29" s="291" t="s">
        <v>41</v>
      </c>
      <c r="B29" s="292">
        <v>8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2"/>
        <v>0</v>
      </c>
    </row>
    <row r="30" spans="1:15" ht="15" hidden="1" customHeight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2"/>
        <v>0</v>
      </c>
    </row>
    <row r="31" spans="1:15" ht="14.25" hidden="1" customHeight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2"/>
        <v>0</v>
      </c>
    </row>
    <row r="32" spans="1:15" ht="14.25" hidden="1" customHeight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2"/>
        <v>0</v>
      </c>
    </row>
    <row r="33" spans="1:15" ht="14.25" hidden="1" customHeight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2"/>
        <v>0</v>
      </c>
    </row>
    <row r="34" spans="1:15" ht="14.25" hidden="1" customHeight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2"/>
        <v>0</v>
      </c>
    </row>
    <row r="35" spans="1:15" ht="14.25" customHeight="1" x14ac:dyDescent="0.15">
      <c r="A35" s="291" t="s">
        <v>47</v>
      </c>
      <c r="B35" s="292">
        <v>50</v>
      </c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2"/>
        <v>0</v>
      </c>
    </row>
    <row r="36" spans="1:15" ht="14.25" customHeight="1" x14ac:dyDescent="0.15">
      <c r="A36" s="291" t="s">
        <v>48</v>
      </c>
      <c r="B36" s="295">
        <f>B3-B10+B35</f>
        <v>-802.2429000000011</v>
      </c>
      <c r="C36" s="295">
        <v>-42.301060000000099</v>
      </c>
      <c r="D36" s="295">
        <v>-175.661384999999</v>
      </c>
      <c r="E36" s="295">
        <v>-84.363511999999901</v>
      </c>
      <c r="F36" s="295">
        <v>-43.660663</v>
      </c>
      <c r="G36" s="295">
        <f t="shared" ref="G36:N36" si="6">G3-G10+G35</f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 t="shared" si="6"/>
        <v>0</v>
      </c>
      <c r="O36" s="292">
        <f t="shared" si="2"/>
        <v>-345.98661999999899</v>
      </c>
    </row>
    <row r="37" spans="1:15" ht="14.25" customHeight="1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2"/>
        <v>0</v>
      </c>
    </row>
    <row r="38" spans="1:15" ht="14.25" hidden="1" customHeight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ref="O38:O68" si="7">SUM(C38:N38)</f>
        <v>0</v>
      </c>
    </row>
    <row r="39" spans="1:15" ht="14.25" hidden="1" customHeight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7"/>
        <v>0</v>
      </c>
    </row>
    <row r="40" spans="1:15" ht="14.25" hidden="1" customHeight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7"/>
        <v>0</v>
      </c>
    </row>
    <row r="41" spans="1:15" ht="14.25" hidden="1" customHeight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7"/>
        <v>0</v>
      </c>
    </row>
    <row r="42" spans="1:15" ht="14.25" customHeight="1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7"/>
        <v>0</v>
      </c>
    </row>
    <row r="43" spans="1:15" ht="14.25" hidden="1" customHeight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7"/>
        <v>0</v>
      </c>
    </row>
    <row r="44" spans="1:15" ht="14.25" hidden="1" customHeight="1" x14ac:dyDescent="0.15">
      <c r="A44" s="291" t="s">
        <v>56</v>
      </c>
      <c r="B44" s="292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25">
        <f t="shared" si="7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si="7"/>
        <v>0</v>
      </c>
    </row>
    <row r="46" spans="1:15" x14ac:dyDescent="0.15">
      <c r="A46" s="291" t="s">
        <v>58</v>
      </c>
      <c r="B46" s="292">
        <f>B36+B37-B42</f>
        <v>-802.2429000000011</v>
      </c>
      <c r="C46" s="292">
        <v>-42.30106</v>
      </c>
      <c r="D46" s="296">
        <v>-175.661385</v>
      </c>
      <c r="E46" s="296">
        <v>-84.363511999999901</v>
      </c>
      <c r="F46" s="296">
        <v>-43.660663</v>
      </c>
      <c r="G46" s="296">
        <f t="shared" ref="G46:N46" si="8">G36+G37-G42</f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7"/>
        <v>-345.9866199999999</v>
      </c>
    </row>
    <row r="47" spans="1:15" x14ac:dyDescent="0.15">
      <c r="A47" s="291" t="s">
        <v>59</v>
      </c>
      <c r="B47" s="292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7"/>
        <v>0</v>
      </c>
    </row>
    <row r="48" spans="1:15" x14ac:dyDescent="0.15">
      <c r="A48" s="291" t="s">
        <v>60</v>
      </c>
      <c r="B48" s="292"/>
      <c r="C48" s="292">
        <v>-42.30106</v>
      </c>
      <c r="D48" s="292">
        <v>-175.661385</v>
      </c>
      <c r="E48" s="292">
        <v>-84.363511999999901</v>
      </c>
      <c r="F48" s="292">
        <v>-43.660663</v>
      </c>
      <c r="G48" s="292"/>
      <c r="H48" s="292"/>
      <c r="I48" s="292"/>
      <c r="J48" s="292"/>
      <c r="K48" s="292"/>
      <c r="L48" s="292"/>
      <c r="M48" s="292"/>
      <c r="N48" s="292"/>
      <c r="O48" s="292">
        <f t="shared" si="7"/>
        <v>-345.9866199999999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7"/>
        <v>0</v>
      </c>
    </row>
    <row r="50" spans="1:15" ht="24" hidden="1" x14ac:dyDescent="0.15">
      <c r="A50" s="291" t="s">
        <v>62</v>
      </c>
      <c r="B50" s="298"/>
      <c r="C50" s="292">
        <v>-42.30106</v>
      </c>
      <c r="D50" s="292">
        <v>-175.661385</v>
      </c>
      <c r="E50" s="292">
        <v>-84.363511999999901</v>
      </c>
      <c r="F50" s="292">
        <v>-43.660663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7"/>
        <v>-345.9866199999999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7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7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7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7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7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7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7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7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7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7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7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7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113.59077099999899</v>
      </c>
      <c r="H63" s="292">
        <v>-200.79603700000001</v>
      </c>
      <c r="I63" s="292">
        <v>-65.695352</v>
      </c>
      <c r="J63" s="292">
        <v>-59.606145999999903</v>
      </c>
      <c r="K63" s="292">
        <v>-47.828351999999001</v>
      </c>
      <c r="L63" s="292">
        <v>-176.155384999999</v>
      </c>
      <c r="M63" s="292">
        <v>-275.00086499999998</v>
      </c>
      <c r="N63" s="292">
        <v>-383.62875700000001</v>
      </c>
      <c r="O63" s="292">
        <f t="shared" si="7"/>
        <v>-1095.120122999999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/>
      <c r="G64" s="292">
        <v>113.590771000001</v>
      </c>
      <c r="H64" s="292">
        <v>-200.79603700000101</v>
      </c>
      <c r="I64" s="292">
        <v>-65.695351999999005</v>
      </c>
      <c r="J64" s="292">
        <v>-59.606146000000997</v>
      </c>
      <c r="K64" s="292">
        <v>-47.828352000000798</v>
      </c>
      <c r="L64" s="292">
        <v>-176.155384999999</v>
      </c>
      <c r="M64" s="292">
        <v>-275.00086499999998</v>
      </c>
      <c r="N64" s="292">
        <v>-383.62875700000001</v>
      </c>
      <c r="O64" s="292">
        <f t="shared" si="7"/>
        <v>-1095.1201229999997</v>
      </c>
    </row>
    <row r="65" spans="1:15" hidden="1" x14ac:dyDescent="0.15">
      <c r="A65" s="291" t="s">
        <v>77</v>
      </c>
      <c r="B65" s="298"/>
      <c r="C65" s="292">
        <v>-42.30106</v>
      </c>
      <c r="D65" s="292"/>
      <c r="E65" s="292">
        <v>-84.363511999999901</v>
      </c>
      <c r="F65" s="292">
        <v>-43.660663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7"/>
        <v>-170.32523499999991</v>
      </c>
    </row>
    <row r="66" spans="1:15" ht="24" hidden="1" x14ac:dyDescent="0.15">
      <c r="A66" s="291" t="s">
        <v>78</v>
      </c>
      <c r="B66" s="298"/>
      <c r="C66" s="292">
        <v>-42.30106</v>
      </c>
      <c r="D66" s="292">
        <v>-175.661385</v>
      </c>
      <c r="E66" s="292">
        <v>-84.363511999999901</v>
      </c>
      <c r="F66" s="292">
        <v>-43.660663000001001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7"/>
        <v>-345.98662000000093</v>
      </c>
    </row>
    <row r="67" spans="1:15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7"/>
        <v>0</v>
      </c>
    </row>
    <row r="68" spans="1:15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7"/>
        <v>0</v>
      </c>
    </row>
    <row r="69" spans="1:15" hidden="1" x14ac:dyDescent="0.15">
      <c r="A69" s="291" t="s">
        <v>81</v>
      </c>
      <c r="B69" s="299"/>
      <c r="F69" s="46"/>
    </row>
    <row r="70" spans="1:15" hidden="1" x14ac:dyDescent="0.15">
      <c r="A70" s="291" t="s">
        <v>82</v>
      </c>
      <c r="B70" s="299"/>
      <c r="F70" s="46"/>
    </row>
    <row r="71" spans="1:15" x14ac:dyDescent="0.15">
      <c r="B71" s="299"/>
      <c r="F71" s="46"/>
    </row>
    <row r="72" spans="1:15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5" x14ac:dyDescent="0.15">
      <c r="A73" s="338" t="s">
        <v>145</v>
      </c>
      <c r="B73" s="304">
        <f t="shared" ref="B73:O73" si="9">SUM(B74:B78)</f>
        <v>4550.9412800000009</v>
      </c>
      <c r="C73" s="304">
        <f t="shared" si="9"/>
        <v>342.44719499999997</v>
      </c>
      <c r="D73" s="304">
        <f t="shared" si="9"/>
        <v>326.20660800000002</v>
      </c>
      <c r="E73" s="304">
        <f t="shared" si="9"/>
        <v>344.353388</v>
      </c>
      <c r="F73" s="315">
        <f t="shared" si="9"/>
        <v>335.431196</v>
      </c>
      <c r="G73" s="331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>SUM(L75:L78)</f>
        <v>0</v>
      </c>
      <c r="M73" s="304">
        <f t="shared" si="9"/>
        <v>0</v>
      </c>
      <c r="N73" s="304">
        <f t="shared" si="9"/>
        <v>0</v>
      </c>
      <c r="O73" s="331">
        <f t="shared" si="9"/>
        <v>1348.4383870000001</v>
      </c>
    </row>
    <row r="74" spans="1:15" x14ac:dyDescent="0.15">
      <c r="A74" s="305" t="s">
        <v>97</v>
      </c>
      <c r="B74" s="345">
        <v>50</v>
      </c>
      <c r="C74" s="85"/>
      <c r="D74" s="85">
        <v>13.300775</v>
      </c>
      <c r="E74" s="85">
        <v>5.6458969999999997</v>
      </c>
      <c r="F74" s="85">
        <v>3.111272</v>
      </c>
      <c r="G74" s="85"/>
      <c r="H74" s="85"/>
      <c r="I74" s="320"/>
      <c r="J74" s="85"/>
      <c r="K74" s="85"/>
      <c r="M74" s="85"/>
      <c r="N74" s="85"/>
      <c r="O74" s="321">
        <f>SUM(C74:N74)</f>
        <v>22.057943999999999</v>
      </c>
    </row>
    <row r="75" spans="1:15" x14ac:dyDescent="0.15">
      <c r="A75" s="305" t="s">
        <v>98</v>
      </c>
      <c r="B75" s="345">
        <v>395.8</v>
      </c>
      <c r="C75" s="85">
        <v>3.2607629999999999</v>
      </c>
      <c r="D75" s="85">
        <v>9.9453879999999995</v>
      </c>
      <c r="E75" s="85">
        <v>2.9628670000000001</v>
      </c>
      <c r="F75" s="85">
        <v>5.435473</v>
      </c>
      <c r="G75" s="85"/>
      <c r="H75" s="85"/>
      <c r="I75" s="85"/>
      <c r="J75" s="85"/>
      <c r="K75" s="85"/>
      <c r="L75" s="85"/>
      <c r="M75" s="85"/>
      <c r="N75" s="85"/>
      <c r="O75" s="321">
        <f>SUM(C75:N75)</f>
        <v>21.604490999999996</v>
      </c>
    </row>
    <row r="76" spans="1:15" x14ac:dyDescent="0.15">
      <c r="A76" s="305" t="s">
        <v>99</v>
      </c>
      <c r="B76" s="345">
        <v>3429.9</v>
      </c>
      <c r="C76" s="85">
        <v>286.443197</v>
      </c>
      <c r="D76" s="85">
        <v>286.44322599999998</v>
      </c>
      <c r="E76" s="85">
        <v>286.443105</v>
      </c>
      <c r="F76" s="85">
        <v>286.44326100000001</v>
      </c>
      <c r="G76" s="85"/>
      <c r="H76" s="85"/>
      <c r="I76" s="85"/>
      <c r="J76" s="85"/>
      <c r="K76" s="85"/>
      <c r="L76" s="85"/>
      <c r="M76" s="85"/>
      <c r="N76" s="85"/>
      <c r="O76" s="321">
        <f t="shared" ref="O76:O82" si="10">SUM(C76:N76)</f>
        <v>1145.7727890000001</v>
      </c>
    </row>
    <row r="77" spans="1:15" x14ac:dyDescent="0.15">
      <c r="A77" s="305" t="s">
        <v>100</v>
      </c>
      <c r="B77" s="345">
        <v>424.48128000000003</v>
      </c>
      <c r="C77" s="85">
        <v>37.216813999999999</v>
      </c>
      <c r="D77" s="85">
        <v>15.281972</v>
      </c>
      <c r="E77" s="85">
        <v>13.350847999999999</v>
      </c>
      <c r="F77" s="85">
        <v>39.094805000000001</v>
      </c>
      <c r="G77" s="85"/>
      <c r="H77" s="85"/>
      <c r="I77" s="85"/>
      <c r="J77" s="85"/>
      <c r="K77" s="85"/>
      <c r="L77" s="85"/>
      <c r="M77" s="85"/>
      <c r="N77" s="85"/>
      <c r="O77" s="321">
        <f t="shared" si="10"/>
        <v>104.94443899999999</v>
      </c>
    </row>
    <row r="78" spans="1:15" x14ac:dyDescent="0.15">
      <c r="A78" s="307" t="s">
        <v>101</v>
      </c>
      <c r="B78" s="346">
        <v>250.76</v>
      </c>
      <c r="C78" s="85">
        <v>15.526420999999999</v>
      </c>
      <c r="D78" s="85">
        <v>1.235247</v>
      </c>
      <c r="E78" s="85">
        <v>35.950671</v>
      </c>
      <c r="F78" s="85">
        <v>1.3463849999999999</v>
      </c>
      <c r="G78" s="85"/>
      <c r="H78" s="85"/>
      <c r="I78" s="85"/>
      <c r="J78" s="85"/>
      <c r="K78" s="85"/>
      <c r="L78" s="85"/>
      <c r="M78" s="85"/>
      <c r="N78" s="85"/>
      <c r="O78" s="321">
        <f t="shared" si="10"/>
        <v>54.058723999999998</v>
      </c>
    </row>
    <row r="79" spans="1:15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21">
        <f t="shared" si="10"/>
        <v>0</v>
      </c>
    </row>
    <row r="80" spans="1:15" x14ac:dyDescent="0.15">
      <c r="A80" s="309" t="s">
        <v>103</v>
      </c>
      <c r="B80" s="310">
        <f t="shared" ref="B80:N80" si="12">B21</f>
        <v>49</v>
      </c>
      <c r="C80" s="310">
        <f t="shared" si="12"/>
        <v>0.70199999999999996</v>
      </c>
      <c r="D80" s="310">
        <f t="shared" si="12"/>
        <v>0.58889999999999998</v>
      </c>
      <c r="E80" s="310">
        <f t="shared" si="12"/>
        <v>0</v>
      </c>
      <c r="F80" s="310">
        <f t="shared" si="12"/>
        <v>1.157724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21">
        <f t="shared" si="10"/>
        <v>2.4486239999999997</v>
      </c>
    </row>
    <row r="81" spans="1:15" x14ac:dyDescent="0.15">
      <c r="A81" s="309" t="s">
        <v>104</v>
      </c>
      <c r="B81" s="310">
        <f t="shared" ref="B81:N81" si="13">B23</f>
        <v>461.16361999999998</v>
      </c>
      <c r="C81" s="310">
        <f t="shared" si="13"/>
        <v>31.014671</v>
      </c>
      <c r="D81" s="310">
        <f t="shared" si="13"/>
        <v>17.350010999999999</v>
      </c>
      <c r="E81" s="310">
        <f t="shared" si="13"/>
        <v>15.517232</v>
      </c>
      <c r="F81" s="310">
        <f t="shared" si="13"/>
        <v>40.697457999999997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21">
        <f t="shared" si="10"/>
        <v>104.57937200000001</v>
      </c>
    </row>
    <row r="82" spans="1:15" x14ac:dyDescent="0.15">
      <c r="A82" s="309" t="s">
        <v>105</v>
      </c>
      <c r="B82" s="310">
        <f t="shared" ref="B82:N82" si="14">B25</f>
        <v>1723.1379999999999</v>
      </c>
      <c r="C82" s="310">
        <f t="shared" si="14"/>
        <v>162.231966</v>
      </c>
      <c r="D82" s="310">
        <f t="shared" si="14"/>
        <v>146.12715499999999</v>
      </c>
      <c r="E82" s="310">
        <f t="shared" si="14"/>
        <v>163.61050599999899</v>
      </c>
      <c r="F82" s="310">
        <f t="shared" si="14"/>
        <v>158.86953299999999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21">
        <f t="shared" si="10"/>
        <v>630.83915999999886</v>
      </c>
    </row>
    <row r="83" spans="1:15" x14ac:dyDescent="0.15">
      <c r="A83" s="309" t="s">
        <v>106</v>
      </c>
      <c r="B83" s="310">
        <f t="shared" ref="B83:O84" si="15">B29</f>
        <v>8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21">
        <f t="shared" si="15"/>
        <v>0</v>
      </c>
    </row>
    <row r="84" spans="1:15" x14ac:dyDescent="0.15">
      <c r="A84" s="309" t="s">
        <v>47</v>
      </c>
      <c r="B84" s="310">
        <f>B35</f>
        <v>50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  <row r="87" spans="1:15" x14ac:dyDescent="0.15">
      <c r="M87">
        <v>315329.95</v>
      </c>
    </row>
    <row r="88" spans="1:15" x14ac:dyDescent="0.15">
      <c r="M88">
        <v>81116.89</v>
      </c>
    </row>
    <row r="89" spans="1:15" x14ac:dyDescent="0.15">
      <c r="M89">
        <f>M87-M88</f>
        <v>234213.06</v>
      </c>
    </row>
    <row r="90" spans="1:15" x14ac:dyDescent="0.15">
      <c r="M90">
        <v>5000</v>
      </c>
    </row>
    <row r="91" spans="1:15" x14ac:dyDescent="0.15">
      <c r="M91">
        <f>SUM(M88,M90)</f>
        <v>86116.89</v>
      </c>
    </row>
  </sheetData>
  <phoneticPr fontId="3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4:O43"/>
  <sheetViews>
    <sheetView topLeftCell="A40" workbookViewId="0">
      <selection activeCell="J61" sqref="J61"/>
    </sheetView>
  </sheetViews>
  <sheetFormatPr defaultColWidth="9" defaultRowHeight="13.5" x14ac:dyDescent="0.15"/>
  <cols>
    <col min="1" max="1" width="14" customWidth="1"/>
  </cols>
  <sheetData>
    <row r="4" spans="1:15" ht="14.25" x14ac:dyDescent="0.15">
      <c r="A4" s="27" t="s">
        <v>170</v>
      </c>
      <c r="B4" s="28" t="s">
        <v>267</v>
      </c>
      <c r="C4" s="29" t="s">
        <v>83</v>
      </c>
      <c r="D4" s="30" t="s">
        <v>84</v>
      </c>
      <c r="E4" s="30" t="s">
        <v>85</v>
      </c>
      <c r="F4" s="30" t="s">
        <v>86</v>
      </c>
      <c r="G4" s="30" t="s">
        <v>87</v>
      </c>
      <c r="H4" s="30" t="s">
        <v>88</v>
      </c>
      <c r="I4" s="30" t="s">
        <v>89</v>
      </c>
      <c r="J4" s="30" t="s">
        <v>90</v>
      </c>
      <c r="K4" s="30" t="s">
        <v>91</v>
      </c>
      <c r="L4" s="30" t="s">
        <v>92</v>
      </c>
      <c r="M4" s="30" t="s">
        <v>93</v>
      </c>
      <c r="N4" s="30" t="s">
        <v>94</v>
      </c>
      <c r="O4" s="44" t="s">
        <v>111</v>
      </c>
    </row>
    <row r="5" spans="1:15" ht="18" customHeight="1" x14ac:dyDescent="0.15">
      <c r="A5" s="31" t="s">
        <v>148</v>
      </c>
      <c r="B5" s="32">
        <v>9.4499999999999993</v>
      </c>
      <c r="C5" s="33">
        <v>0.05</v>
      </c>
      <c r="D5" s="33">
        <v>17.18</v>
      </c>
      <c r="E5" s="33">
        <v>1.59</v>
      </c>
      <c r="F5" s="33">
        <v>4.55</v>
      </c>
      <c r="G5" s="33">
        <v>0.4</v>
      </c>
      <c r="H5" s="33">
        <v>18.977399999999999</v>
      </c>
      <c r="I5" s="33">
        <v>0.20599899999999999</v>
      </c>
      <c r="J5" s="33">
        <v>-12.324928999999999</v>
      </c>
      <c r="K5" s="33">
        <v>0</v>
      </c>
      <c r="L5" s="33">
        <v>0.58119699999999996</v>
      </c>
      <c r="M5" s="33">
        <v>58.254052999999999</v>
      </c>
      <c r="N5" s="33">
        <v>157.462266</v>
      </c>
      <c r="O5" s="45">
        <f>SUM(C5:N5)</f>
        <v>246.92598599999999</v>
      </c>
    </row>
    <row r="6" spans="1:15" ht="18" customHeight="1" x14ac:dyDescent="0.15">
      <c r="A6" s="31" t="s">
        <v>149</v>
      </c>
      <c r="B6" s="32">
        <v>9.9</v>
      </c>
      <c r="C6" s="33">
        <v>10.64</v>
      </c>
      <c r="D6" s="33">
        <v>8.86</v>
      </c>
      <c r="E6" s="33">
        <v>7.17</v>
      </c>
      <c r="F6" s="33">
        <v>101.75</v>
      </c>
      <c r="G6" s="33">
        <v>-11.41</v>
      </c>
      <c r="H6" s="33">
        <v>13.507250000000001</v>
      </c>
      <c r="I6" s="33">
        <v>8.6178799999999995</v>
      </c>
      <c r="J6" s="33">
        <v>-27.616447000000001</v>
      </c>
      <c r="K6" s="33">
        <v>17.140699000000001</v>
      </c>
      <c r="L6" s="33">
        <v>9.1155240000000006</v>
      </c>
      <c r="M6" s="33">
        <v>23.421306000000001</v>
      </c>
      <c r="N6" s="33">
        <v>208.496791</v>
      </c>
      <c r="O6" s="45">
        <f>SUM(C6:N6)</f>
        <v>369.69300299999998</v>
      </c>
    </row>
    <row r="7" spans="1:15" ht="18" customHeight="1" x14ac:dyDescent="0.15">
      <c r="A7" s="31" t="s">
        <v>150</v>
      </c>
      <c r="B7" s="32">
        <v>20.100000000000001</v>
      </c>
      <c r="C7" s="33">
        <v>-1.144444</v>
      </c>
      <c r="D7" s="33">
        <v>2.7108789999999998</v>
      </c>
      <c r="E7" s="33">
        <v>6.5266229999999998</v>
      </c>
      <c r="F7" s="33">
        <v>30.274100000000001</v>
      </c>
      <c r="G7" s="33">
        <v>16.122820000000001</v>
      </c>
      <c r="H7" s="33">
        <v>18.998799999999999</v>
      </c>
      <c r="I7" s="33">
        <v>-12.640255</v>
      </c>
      <c r="J7" s="33">
        <v>3.41852</v>
      </c>
      <c r="K7" s="33">
        <v>23.511800000000001</v>
      </c>
      <c r="L7" s="33">
        <v>16.123950000000001</v>
      </c>
      <c r="M7" s="33">
        <v>21.773330999999999</v>
      </c>
      <c r="N7" s="33">
        <v>358.852802</v>
      </c>
      <c r="O7" s="45">
        <f>SUM(C7:N7)</f>
        <v>484.52892600000001</v>
      </c>
    </row>
    <row r="8" spans="1:15" ht="18" customHeight="1" x14ac:dyDescent="0.15">
      <c r="A8" s="31" t="s">
        <v>151</v>
      </c>
      <c r="B8" s="32">
        <v>4.95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8.1299999999999997E-2</v>
      </c>
      <c r="I8" s="33">
        <v>0.32500000000000001</v>
      </c>
      <c r="J8" s="33">
        <v>9.716704</v>
      </c>
      <c r="K8" s="33">
        <v>1.1452990000000001</v>
      </c>
      <c r="L8" s="33">
        <v>0.38</v>
      </c>
      <c r="M8" s="33">
        <v>12.081670000000001</v>
      </c>
      <c r="N8" s="33">
        <v>30.318314000000001</v>
      </c>
      <c r="O8" s="45">
        <f>SUM(C8:N8)</f>
        <v>54.048287000000002</v>
      </c>
    </row>
    <row r="9" spans="1:15" ht="18" customHeight="1" x14ac:dyDescent="0.15">
      <c r="A9" s="31" t="s">
        <v>152</v>
      </c>
      <c r="B9" s="32">
        <f>SUM(B10:B13)</f>
        <v>29.9</v>
      </c>
      <c r="C9" s="33">
        <v>8.4410299999999996</v>
      </c>
      <c r="D9" s="33">
        <v>62.718446</v>
      </c>
      <c r="E9" s="33">
        <v>8.1361410000000003</v>
      </c>
      <c r="F9" s="33">
        <v>5.5479399999999996</v>
      </c>
      <c r="G9" s="33">
        <v>0.49079400000000001</v>
      </c>
      <c r="H9" s="33">
        <v>15.42947</v>
      </c>
      <c r="I9" s="33">
        <v>11.405683</v>
      </c>
      <c r="J9" s="33">
        <v>0.113938</v>
      </c>
      <c r="K9" s="33">
        <v>0.74548000000000003</v>
      </c>
      <c r="L9" s="33">
        <v>43.333759999999998</v>
      </c>
      <c r="M9" s="33">
        <v>13.782804</v>
      </c>
      <c r="N9" s="33">
        <v>92.924211999999997</v>
      </c>
      <c r="O9" s="45">
        <f>SUM(O10:O13)</f>
        <v>263.06969800000002</v>
      </c>
    </row>
    <row r="10" spans="1:15" ht="18" customHeight="1" x14ac:dyDescent="0.15">
      <c r="A10" s="31" t="s">
        <v>153</v>
      </c>
      <c r="B10" s="32">
        <v>4.95</v>
      </c>
      <c r="C10" s="33">
        <v>8.4410299999999996</v>
      </c>
      <c r="D10" s="33">
        <v>10.613206999999999</v>
      </c>
      <c r="E10" s="33">
        <v>1.1875439999999999</v>
      </c>
      <c r="F10" s="33">
        <v>3.1679539999999999</v>
      </c>
      <c r="G10" s="33">
        <v>0.49079400000000001</v>
      </c>
      <c r="H10" s="33">
        <v>1.3761000000000001</v>
      </c>
      <c r="I10" s="33">
        <v>10.450333000000001</v>
      </c>
      <c r="J10" s="33">
        <v>7.5338000000000002E-2</v>
      </c>
      <c r="K10" s="33">
        <v>0.36187999999999998</v>
      </c>
      <c r="L10" s="33">
        <v>42.967606000000004</v>
      </c>
      <c r="M10" s="33">
        <v>13.782804</v>
      </c>
      <c r="N10" s="33">
        <v>49.094816999999999</v>
      </c>
      <c r="O10" s="45">
        <f t="shared" ref="O10:O21" si="0">SUM(C10:N10)</f>
        <v>142.00940700000001</v>
      </c>
    </row>
    <row r="11" spans="1:15" ht="18" customHeight="1" x14ac:dyDescent="0.15">
      <c r="A11" s="31" t="s">
        <v>186</v>
      </c>
      <c r="B11" s="32">
        <v>4.95</v>
      </c>
      <c r="C11" s="33">
        <v>0</v>
      </c>
      <c r="D11" s="33">
        <v>52.105238999999997</v>
      </c>
      <c r="E11" s="33">
        <v>6.9485970000000004</v>
      </c>
      <c r="F11" s="33">
        <v>2.3799860000000002</v>
      </c>
      <c r="G11" s="33">
        <v>0</v>
      </c>
      <c r="H11" s="33">
        <v>0</v>
      </c>
      <c r="I11" s="33">
        <v>0.42735000000000001</v>
      </c>
      <c r="J11" s="33">
        <v>0</v>
      </c>
      <c r="K11" s="33">
        <v>0</v>
      </c>
      <c r="L11" s="33">
        <v>0</v>
      </c>
      <c r="M11" s="33">
        <v>0</v>
      </c>
      <c r="N11" s="33">
        <v>21.328091000000001</v>
      </c>
      <c r="O11" s="45">
        <f t="shared" si="0"/>
        <v>83.189262999999997</v>
      </c>
    </row>
    <row r="12" spans="1:15" ht="18" customHeight="1" x14ac:dyDescent="0.15">
      <c r="A12" s="31" t="s">
        <v>155</v>
      </c>
      <c r="B12" s="32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0.57540000000000002</v>
      </c>
      <c r="I12" s="33">
        <v>0.52800000000000002</v>
      </c>
      <c r="J12" s="33">
        <v>0</v>
      </c>
      <c r="K12" s="33">
        <v>0</v>
      </c>
      <c r="L12" s="33">
        <v>0</v>
      </c>
      <c r="M12" s="33">
        <v>0</v>
      </c>
      <c r="N12" s="33">
        <v>5.5119829999999999</v>
      </c>
      <c r="O12" s="45">
        <f t="shared" si="0"/>
        <v>6.6153829999999996</v>
      </c>
    </row>
    <row r="13" spans="1:15" ht="18" customHeight="1" x14ac:dyDescent="0.15">
      <c r="A13" s="31" t="s">
        <v>156</v>
      </c>
      <c r="B13" s="32">
        <v>10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13.477969999999999</v>
      </c>
      <c r="I13" s="33">
        <v>0</v>
      </c>
      <c r="J13" s="33">
        <v>3.8600000000000002E-2</v>
      </c>
      <c r="K13" s="33">
        <v>0.3836</v>
      </c>
      <c r="L13" s="33">
        <v>0.36615399999999998</v>
      </c>
      <c r="M13" s="33">
        <v>0</v>
      </c>
      <c r="N13" s="33">
        <v>16.989321</v>
      </c>
      <c r="O13" s="45">
        <f t="shared" si="0"/>
        <v>31.255645000000001</v>
      </c>
    </row>
    <row r="14" spans="1:15" ht="18" customHeight="1" x14ac:dyDescent="0.15">
      <c r="A14" s="31" t="s">
        <v>157</v>
      </c>
      <c r="B14" s="32">
        <v>4.95</v>
      </c>
      <c r="C14" s="33">
        <v>0</v>
      </c>
      <c r="D14" s="33">
        <v>10.896226</v>
      </c>
      <c r="E14" s="33">
        <v>0</v>
      </c>
      <c r="F14" s="33">
        <v>0.1</v>
      </c>
      <c r="G14" s="33">
        <v>0</v>
      </c>
      <c r="H14" s="33">
        <v>3.028302</v>
      </c>
      <c r="I14" s="33">
        <v>0</v>
      </c>
      <c r="J14" s="33">
        <v>0</v>
      </c>
      <c r="K14" s="33">
        <v>0.48499999999999999</v>
      </c>
      <c r="L14" s="33">
        <v>0.94</v>
      </c>
      <c r="M14" s="33">
        <v>0.55249999999999999</v>
      </c>
      <c r="N14" s="33">
        <v>23.506070000000001</v>
      </c>
      <c r="O14" s="45">
        <f t="shared" si="0"/>
        <v>39.508098000000004</v>
      </c>
    </row>
    <row r="15" spans="1:15" ht="18" customHeight="1" x14ac:dyDescent="0.15">
      <c r="A15" s="31" t="s">
        <v>158</v>
      </c>
      <c r="B15" s="32">
        <v>2.8</v>
      </c>
      <c r="C15" s="33">
        <v>0</v>
      </c>
      <c r="D15" s="33">
        <v>0.01</v>
      </c>
      <c r="E15" s="33">
        <v>0</v>
      </c>
      <c r="F15" s="33">
        <v>0</v>
      </c>
      <c r="G15" s="33">
        <v>4.1399999999999997</v>
      </c>
      <c r="H15" s="33">
        <v>0</v>
      </c>
      <c r="I15" s="33">
        <v>0</v>
      </c>
      <c r="J15" s="33">
        <v>0.38486500000000001</v>
      </c>
      <c r="K15" s="33">
        <v>-3.2</v>
      </c>
      <c r="L15" s="33">
        <v>0.03</v>
      </c>
      <c r="M15" s="33">
        <v>19.595067</v>
      </c>
      <c r="N15" s="33">
        <v>44.495440000000002</v>
      </c>
      <c r="O15" s="45">
        <f t="shared" si="0"/>
        <v>65.455371999999997</v>
      </c>
    </row>
    <row r="16" spans="1:15" ht="18" customHeight="1" x14ac:dyDescent="0.15">
      <c r="A16" s="31" t="s">
        <v>159</v>
      </c>
      <c r="B16" s="32">
        <v>3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23.037728999999999</v>
      </c>
      <c r="I16" s="33">
        <v>0.64632500000000004</v>
      </c>
      <c r="J16" s="33">
        <v>2.4730759999999998</v>
      </c>
      <c r="K16" s="33">
        <v>6.8737659999999998</v>
      </c>
      <c r="L16" s="33">
        <v>6.023282</v>
      </c>
      <c r="M16" s="33">
        <v>31.77261</v>
      </c>
      <c r="N16" s="33">
        <v>66.162007000000003</v>
      </c>
      <c r="O16" s="45">
        <f t="shared" si="0"/>
        <v>136.98879499999998</v>
      </c>
    </row>
    <row r="17" spans="1:15" ht="18" customHeight="1" x14ac:dyDescent="0.15">
      <c r="A17" s="31" t="s">
        <v>160</v>
      </c>
      <c r="B17" s="32">
        <v>5</v>
      </c>
      <c r="C17" s="33">
        <v>0.21820000000000001</v>
      </c>
      <c r="D17" s="33">
        <v>0.67</v>
      </c>
      <c r="E17" s="33">
        <v>11.99</v>
      </c>
      <c r="F17" s="33">
        <v>0.66</v>
      </c>
      <c r="G17" s="33">
        <v>0.16</v>
      </c>
      <c r="H17" s="33">
        <v>6.7043559999999998</v>
      </c>
      <c r="I17" s="33">
        <v>1.268197</v>
      </c>
      <c r="J17" s="33">
        <v>0.47783100000000001</v>
      </c>
      <c r="K17" s="33">
        <v>6.0978120000000002</v>
      </c>
      <c r="L17" s="33">
        <v>0.58929600000000004</v>
      </c>
      <c r="M17" s="33">
        <v>6.1016599999999999</v>
      </c>
      <c r="N17" s="33">
        <v>25.71275</v>
      </c>
      <c r="O17" s="45">
        <f t="shared" si="0"/>
        <v>60.650102000000004</v>
      </c>
    </row>
    <row r="18" spans="1:15" ht="18" customHeight="1" x14ac:dyDescent="0.15">
      <c r="A18" s="31" t="s">
        <v>95</v>
      </c>
      <c r="B18" s="32">
        <f>SUM(B5:B9,B14:B17)</f>
        <v>90.050000000000011</v>
      </c>
      <c r="C18" s="33">
        <v>18.204785999999999</v>
      </c>
      <c r="D18" s="33">
        <v>103.045551</v>
      </c>
      <c r="E18" s="33">
        <v>35.412764000000003</v>
      </c>
      <c r="F18" s="33">
        <v>142.88203999999999</v>
      </c>
      <c r="G18" s="33">
        <v>9.9036139999999993</v>
      </c>
      <c r="H18" s="33">
        <v>99.764606999999998</v>
      </c>
      <c r="I18" s="33">
        <v>9.8288290000000007</v>
      </c>
      <c r="J18" s="33">
        <v>-23.356442000000001</v>
      </c>
      <c r="K18" s="33">
        <v>52.799855999999998</v>
      </c>
      <c r="L18" s="33">
        <v>77.117008999999996</v>
      </c>
      <c r="M18" s="33">
        <v>187.33500100000001</v>
      </c>
      <c r="N18" s="33">
        <v>1007.930652</v>
      </c>
      <c r="O18" s="45">
        <f t="shared" si="0"/>
        <v>1720.8682669999998</v>
      </c>
    </row>
    <row r="19" spans="1:15" ht="18" customHeight="1" x14ac:dyDescent="0.15">
      <c r="A19" s="38" t="s">
        <v>163</v>
      </c>
      <c r="B19" s="32">
        <v>4.8</v>
      </c>
      <c r="C19" s="33">
        <v>0</v>
      </c>
      <c r="D19" s="33">
        <v>0</v>
      </c>
      <c r="E19" s="33">
        <v>25.22</v>
      </c>
      <c r="F19" s="33">
        <v>3.39</v>
      </c>
      <c r="G19" s="33">
        <v>8.3999999999999995E-3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48">
        <f t="shared" si="0"/>
        <v>28.618400000000001</v>
      </c>
    </row>
    <row r="20" spans="1:15" ht="18" customHeight="1" x14ac:dyDescent="0.15">
      <c r="A20" s="38" t="s">
        <v>164</v>
      </c>
      <c r="B20" s="32">
        <v>4.8</v>
      </c>
      <c r="C20" s="33">
        <v>0</v>
      </c>
      <c r="D20" s="33">
        <v>0</v>
      </c>
      <c r="E20" s="33">
        <v>0</v>
      </c>
      <c r="F20" s="33">
        <v>0.2</v>
      </c>
      <c r="G20" s="33">
        <v>1.2888999999999999</v>
      </c>
      <c r="H20" s="33">
        <v>0</v>
      </c>
      <c r="I20" s="33">
        <v>4.18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48">
        <f t="shared" si="0"/>
        <v>5.6688999999999998</v>
      </c>
    </row>
    <row r="21" spans="1:15" ht="18" customHeight="1" x14ac:dyDescent="0.15">
      <c r="A21" s="38" t="s">
        <v>165</v>
      </c>
      <c r="B21" s="32">
        <v>2</v>
      </c>
      <c r="C21" s="33">
        <v>1.1100000000000001</v>
      </c>
      <c r="D21" s="33">
        <v>0</v>
      </c>
      <c r="E21" s="33">
        <v>0</v>
      </c>
      <c r="F21" s="33">
        <v>0</v>
      </c>
      <c r="G21" s="33">
        <v>6.37</v>
      </c>
      <c r="H21" s="33">
        <v>0</v>
      </c>
      <c r="I21" s="33">
        <v>0.19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45">
        <f t="shared" si="0"/>
        <v>7.6700000000000008</v>
      </c>
    </row>
    <row r="23" spans="1:15" ht="14.25" x14ac:dyDescent="0.15">
      <c r="A23" s="27" t="s">
        <v>179</v>
      </c>
      <c r="B23" s="28" t="s">
        <v>0</v>
      </c>
      <c r="C23" s="29" t="s">
        <v>83</v>
      </c>
      <c r="D23" s="30" t="s">
        <v>84</v>
      </c>
      <c r="E23" s="30" t="s">
        <v>85</v>
      </c>
      <c r="F23" s="30" t="s">
        <v>86</v>
      </c>
      <c r="G23" s="30" t="s">
        <v>87</v>
      </c>
      <c r="H23" s="30" t="s">
        <v>88</v>
      </c>
      <c r="I23" s="30" t="s">
        <v>89</v>
      </c>
      <c r="J23" s="30" t="s">
        <v>90</v>
      </c>
      <c r="K23" s="30" t="s">
        <v>91</v>
      </c>
      <c r="L23" s="30" t="s">
        <v>92</v>
      </c>
      <c r="M23" s="30" t="s">
        <v>93</v>
      </c>
      <c r="N23" s="30" t="s">
        <v>94</v>
      </c>
      <c r="O23" s="44" t="s">
        <v>111</v>
      </c>
    </row>
    <row r="24" spans="1:15" x14ac:dyDescent="0.15">
      <c r="A24" s="31" t="s">
        <v>148</v>
      </c>
      <c r="B24" s="33">
        <f>白银!B75</f>
        <v>508.15</v>
      </c>
      <c r="C24" s="33">
        <f>白银!C75</f>
        <v>5.700177</v>
      </c>
      <c r="D24" s="33">
        <f>白银!D75</f>
        <v>-3.6410260000000001</v>
      </c>
      <c r="E24" s="33">
        <f>白银!E75</f>
        <v>9.5470629999999996</v>
      </c>
      <c r="F24" s="33">
        <f>白银!F75</f>
        <v>-2.4629050000000001</v>
      </c>
      <c r="G24" s="33">
        <f>白银!G75</f>
        <v>0</v>
      </c>
      <c r="H24" s="33">
        <f>白银!H75</f>
        <v>0</v>
      </c>
      <c r="I24" s="33">
        <f>白银!I75</f>
        <v>0</v>
      </c>
      <c r="J24" s="33">
        <f>白银!J75</f>
        <v>0</v>
      </c>
      <c r="K24" s="33">
        <f>白银!K75</f>
        <v>0</v>
      </c>
      <c r="L24" s="33">
        <f>白银!L75</f>
        <v>0</v>
      </c>
      <c r="M24" s="33">
        <f>白银!M75</f>
        <v>0</v>
      </c>
      <c r="N24" s="33">
        <f>白银!N75</f>
        <v>0</v>
      </c>
      <c r="O24" s="45">
        <f>SUM(B24:N24)</f>
        <v>517.29330900000002</v>
      </c>
    </row>
    <row r="25" spans="1:15" x14ac:dyDescent="0.15">
      <c r="A25" s="31" t="s">
        <v>149</v>
      </c>
      <c r="B25" s="33">
        <f>酒一!B75</f>
        <v>395.8</v>
      </c>
      <c r="C25" s="33">
        <f>酒一!C75</f>
        <v>3.2607629999999999</v>
      </c>
      <c r="D25" s="33">
        <f>酒一!D75</f>
        <v>9.9453879999999995</v>
      </c>
      <c r="E25" s="33">
        <f>酒一!E75</f>
        <v>2.9628670000000001</v>
      </c>
      <c r="F25" s="33">
        <f>酒一!F75</f>
        <v>5.435473</v>
      </c>
      <c r="G25" s="33">
        <f>酒一!G75</f>
        <v>0</v>
      </c>
      <c r="H25" s="33">
        <f>酒一!H75</f>
        <v>0</v>
      </c>
      <c r="I25" s="33">
        <f>酒一!I75</f>
        <v>0</v>
      </c>
      <c r="J25" s="33">
        <f>酒一!J75</f>
        <v>0</v>
      </c>
      <c r="K25" s="33">
        <f>酒一!K75</f>
        <v>0</v>
      </c>
      <c r="L25" s="33">
        <f>酒一!L75</f>
        <v>0</v>
      </c>
      <c r="M25" s="33">
        <f>酒一!M75</f>
        <v>0</v>
      </c>
      <c r="N25" s="33">
        <f>酒一!N75</f>
        <v>0</v>
      </c>
      <c r="O25" s="45">
        <f>SUM(B25:N25)</f>
        <v>417.40449100000001</v>
      </c>
    </row>
    <row r="26" spans="1:15" x14ac:dyDescent="0.15">
      <c r="A26" s="31" t="s">
        <v>150</v>
      </c>
      <c r="B26" s="32">
        <f>酒二!B75</f>
        <v>1025.7</v>
      </c>
      <c r="C26" s="33">
        <f>酒二!C75</f>
        <v>16.357386999999999</v>
      </c>
      <c r="D26" s="33">
        <f>酒二!D75</f>
        <v>9.2359430000000007</v>
      </c>
      <c r="E26" s="33">
        <f>酒二!E75</f>
        <v>6.6296020000000002</v>
      </c>
      <c r="F26" s="33">
        <f>酒二!F75</f>
        <v>10.44736</v>
      </c>
      <c r="G26" s="33">
        <f>酒二!G75</f>
        <v>0</v>
      </c>
      <c r="H26" s="33">
        <f>酒二!H75</f>
        <v>0</v>
      </c>
      <c r="I26" s="33">
        <f>酒二!I75</f>
        <v>0</v>
      </c>
      <c r="J26" s="33">
        <f>酒二!J75</f>
        <v>0</v>
      </c>
      <c r="K26" s="33">
        <f>酒二!K75</f>
        <v>0</v>
      </c>
      <c r="L26" s="33">
        <f>酒二!L75</f>
        <v>0</v>
      </c>
      <c r="M26" s="33">
        <f>酒二!M75</f>
        <v>0</v>
      </c>
      <c r="N26" s="33">
        <f>酒二!N75</f>
        <v>0</v>
      </c>
      <c r="O26" s="45">
        <f>SUM(C26:N26)</f>
        <v>42.670292000000003</v>
      </c>
    </row>
    <row r="27" spans="1:15" x14ac:dyDescent="0.15">
      <c r="A27" s="31" t="s">
        <v>151</v>
      </c>
      <c r="B27" s="32">
        <f>青海!B75</f>
        <v>75.094999999999999</v>
      </c>
      <c r="C27" s="33">
        <f>青海!C75</f>
        <v>0</v>
      </c>
      <c r="D27" s="33">
        <f>青海!D75</f>
        <v>0</v>
      </c>
      <c r="E27" s="33">
        <f>青海!E75</f>
        <v>2.6960190000000002</v>
      </c>
      <c r="F27" s="33">
        <f>青海!F75</f>
        <v>0</v>
      </c>
      <c r="G27" s="33">
        <f>青海!G75</f>
        <v>0</v>
      </c>
      <c r="H27" s="33">
        <f>青海!H75</f>
        <v>0</v>
      </c>
      <c r="I27" s="33">
        <f>青海!I75</f>
        <v>0</v>
      </c>
      <c r="J27" s="33">
        <f>青海!J75</f>
        <v>0</v>
      </c>
      <c r="K27" s="33">
        <f>青海!K75</f>
        <v>0</v>
      </c>
      <c r="L27" s="33">
        <f>青海!L75</f>
        <v>0</v>
      </c>
      <c r="M27" s="33">
        <f>青海!M75</f>
        <v>0</v>
      </c>
      <c r="N27" s="33">
        <f>青海!N75</f>
        <v>0</v>
      </c>
      <c r="O27" s="45">
        <f>SUM(C27:N27)</f>
        <v>2.6960190000000002</v>
      </c>
    </row>
    <row r="28" spans="1:15" x14ac:dyDescent="0.15">
      <c r="A28" s="31" t="s">
        <v>152</v>
      </c>
      <c r="B28" s="32">
        <f>哈密!B75</f>
        <v>529.69000000000005</v>
      </c>
      <c r="C28" s="33">
        <f>哈密!C75</f>
        <v>0.59122999999999992</v>
      </c>
      <c r="D28" s="33">
        <f>哈密!D75</f>
        <v>0.69333500000000003</v>
      </c>
      <c r="E28" s="33">
        <f>哈密!E75</f>
        <v>0.37743200000000099</v>
      </c>
      <c r="F28" s="33">
        <f>哈密!F75</f>
        <v>30.640597</v>
      </c>
      <c r="G28" s="33">
        <f>哈密!G75</f>
        <v>0</v>
      </c>
      <c r="H28" s="33">
        <f>哈密!H75</f>
        <v>0</v>
      </c>
      <c r="I28" s="33">
        <f>哈密!I75</f>
        <v>0</v>
      </c>
      <c r="J28" s="33">
        <f>哈密!J75</f>
        <v>0</v>
      </c>
      <c r="K28" s="33">
        <f>哈密!K75</f>
        <v>0</v>
      </c>
      <c r="L28" s="33">
        <f>哈密!L75</f>
        <v>0</v>
      </c>
      <c r="M28" s="33">
        <f>哈密!M75</f>
        <v>0</v>
      </c>
      <c r="N28" s="33">
        <f>哈密!N75</f>
        <v>0</v>
      </c>
      <c r="O28" s="45">
        <f>SUM(O29:O32)</f>
        <v>32.302593999999999</v>
      </c>
    </row>
    <row r="29" spans="1:15" x14ac:dyDescent="0.15">
      <c r="A29" s="31" t="s">
        <v>153</v>
      </c>
      <c r="B29" s="32">
        <f>三塘湖!B75</f>
        <v>115.18</v>
      </c>
      <c r="C29" s="33">
        <f>三塘湖!C75</f>
        <v>0.159076</v>
      </c>
      <c r="D29" s="33">
        <f>三塘湖!D75</f>
        <v>1.0632000000000001E-2</v>
      </c>
      <c r="E29" s="33">
        <f>三塘湖!E75</f>
        <v>0.15534000000000101</v>
      </c>
      <c r="F29" s="33">
        <f>三塘湖!F75</f>
        <v>2.0970870000000001</v>
      </c>
      <c r="G29" s="33">
        <f>三塘湖!G75</f>
        <v>0</v>
      </c>
      <c r="H29" s="33">
        <f>三塘湖!H75</f>
        <v>0</v>
      </c>
      <c r="I29" s="33">
        <f>三塘湖!I75</f>
        <v>0</v>
      </c>
      <c r="J29" s="33">
        <f>三塘湖!J75</f>
        <v>0</v>
      </c>
      <c r="K29" s="33">
        <f>三塘湖!K75</f>
        <v>0</v>
      </c>
      <c r="L29" s="33">
        <f>三塘湖!L75</f>
        <v>0</v>
      </c>
      <c r="M29" s="33">
        <f>三塘湖!M75</f>
        <v>0</v>
      </c>
      <c r="N29" s="33">
        <f>三塘湖!N75</f>
        <v>0</v>
      </c>
      <c r="O29" s="45">
        <f t="shared" ref="O29:O37" si="1">SUM(C29:N29)</f>
        <v>2.4221350000000013</v>
      </c>
    </row>
    <row r="30" spans="1:15" x14ac:dyDescent="0.15">
      <c r="A30" s="31" t="s">
        <v>186</v>
      </c>
      <c r="B30" s="32">
        <f>淖毛湖!B75</f>
        <v>197.86</v>
      </c>
      <c r="C30" s="33">
        <f>淖毛湖!C75</f>
        <v>0.43215399999999998</v>
      </c>
      <c r="D30" s="33">
        <f>淖毛湖!D75</f>
        <v>0.46194800000000003</v>
      </c>
      <c r="E30" s="33">
        <f>淖毛湖!E75</f>
        <v>5.8189999999999999E-2</v>
      </c>
      <c r="F30" s="33">
        <f>淖毛湖!F75</f>
        <v>27.543793999999998</v>
      </c>
      <c r="G30" s="33">
        <f>淖毛湖!G75</f>
        <v>0</v>
      </c>
      <c r="H30" s="33">
        <f>淖毛湖!H75</f>
        <v>0</v>
      </c>
      <c r="I30" s="33">
        <f>淖毛湖!I75</f>
        <v>0</v>
      </c>
      <c r="J30" s="33">
        <f>淖毛湖!J75</f>
        <v>0</v>
      </c>
      <c r="K30" s="33">
        <f>淖毛湖!K75</f>
        <v>0</v>
      </c>
      <c r="L30" s="33">
        <f>淖毛湖!L75</f>
        <v>0</v>
      </c>
      <c r="M30" s="33">
        <f>淖毛湖!M75</f>
        <v>0</v>
      </c>
      <c r="N30" s="33">
        <f>淖毛湖!N75</f>
        <v>0</v>
      </c>
      <c r="O30" s="45">
        <f t="shared" si="1"/>
        <v>28.496085999999998</v>
      </c>
    </row>
    <row r="31" spans="1:15" x14ac:dyDescent="0.15">
      <c r="A31" s="31" t="s">
        <v>155</v>
      </c>
      <c r="B31" s="32">
        <f>景峡!B75</f>
        <v>63.65</v>
      </c>
      <c r="C31" s="33">
        <f>景峡!C75</f>
        <v>0</v>
      </c>
      <c r="D31" s="33">
        <f>景峡!D75</f>
        <v>0</v>
      </c>
      <c r="E31" s="33">
        <f>景峡!E75</f>
        <v>0</v>
      </c>
      <c r="F31" s="33">
        <f>景峡!F75</f>
        <v>0</v>
      </c>
      <c r="G31" s="33">
        <f>景峡!G75</f>
        <v>0</v>
      </c>
      <c r="H31" s="33">
        <f>景峡!H75</f>
        <v>0</v>
      </c>
      <c r="I31" s="33">
        <f>景峡!I75</f>
        <v>0</v>
      </c>
      <c r="J31" s="33">
        <f>景峡!J75</f>
        <v>0</v>
      </c>
      <c r="K31" s="33">
        <f>景峡!K75</f>
        <v>0</v>
      </c>
      <c r="L31" s="33">
        <f>景峡!L75</f>
        <v>0</v>
      </c>
      <c r="M31" s="33">
        <f>景峡!M75</f>
        <v>0</v>
      </c>
      <c r="N31" s="33">
        <f>景峡!N75</f>
        <v>0</v>
      </c>
      <c r="O31" s="45">
        <f t="shared" si="1"/>
        <v>0</v>
      </c>
    </row>
    <row r="32" spans="1:15" x14ac:dyDescent="0.15">
      <c r="A32" s="31" t="s">
        <v>156</v>
      </c>
      <c r="B32" s="32">
        <f>烟墩!B75</f>
        <v>153</v>
      </c>
      <c r="C32" s="33">
        <f>烟墩!C75</f>
        <v>0</v>
      </c>
      <c r="D32" s="33">
        <f>烟墩!D75</f>
        <v>0.22075500000000001</v>
      </c>
      <c r="E32" s="33">
        <f>烟墩!E75</f>
        <v>0.16390199999999999</v>
      </c>
      <c r="F32" s="33">
        <f>烟墩!F75</f>
        <v>0.99971600000000005</v>
      </c>
      <c r="G32" s="33">
        <f>烟墩!G75</f>
        <v>0</v>
      </c>
      <c r="H32" s="33">
        <f>烟墩!H75</f>
        <v>0</v>
      </c>
      <c r="I32" s="33">
        <f>烟墩!I75</f>
        <v>0</v>
      </c>
      <c r="J32" s="33">
        <f>烟墩!J75</f>
        <v>0</v>
      </c>
      <c r="K32" s="33">
        <f>烟墩!K75</f>
        <v>0</v>
      </c>
      <c r="L32" s="33">
        <f>烟墩!L75</f>
        <v>0</v>
      </c>
      <c r="M32" s="33">
        <f>烟墩!M75</f>
        <v>0</v>
      </c>
      <c r="N32" s="33">
        <f>烟墩!N75</f>
        <v>0</v>
      </c>
      <c r="O32" s="45">
        <f t="shared" si="1"/>
        <v>1.3843730000000001</v>
      </c>
    </row>
    <row r="33" spans="1:15" x14ac:dyDescent="0.15">
      <c r="A33" s="31" t="s">
        <v>157</v>
      </c>
      <c r="B33" s="32">
        <f>吐鲁番!B75</f>
        <v>96.6</v>
      </c>
      <c r="C33" s="33">
        <f>吐鲁番!C75</f>
        <v>0</v>
      </c>
      <c r="D33" s="33">
        <f>吐鲁番!D75</f>
        <v>0</v>
      </c>
      <c r="E33" s="33">
        <f>吐鲁番!E75</f>
        <v>0</v>
      </c>
      <c r="F33" s="33">
        <f>吐鲁番!F75</f>
        <v>0</v>
      </c>
      <c r="G33" s="33">
        <f>吐鲁番!G75</f>
        <v>0</v>
      </c>
      <c r="H33" s="33">
        <f>吐鲁番!H75</f>
        <v>0</v>
      </c>
      <c r="I33" s="33">
        <f>吐鲁番!I75</f>
        <v>0</v>
      </c>
      <c r="J33" s="33">
        <f>吐鲁番!J75</f>
        <v>0</v>
      </c>
      <c r="K33" s="33">
        <f>吐鲁番!K75</f>
        <v>0</v>
      </c>
      <c r="L33" s="33">
        <f>吐鲁番!L75</f>
        <v>0</v>
      </c>
      <c r="M33" s="33">
        <f>吐鲁番!M75</f>
        <v>0</v>
      </c>
      <c r="N33" s="33">
        <f>吐鲁番!N75</f>
        <v>0</v>
      </c>
      <c r="O33" s="45">
        <f t="shared" si="1"/>
        <v>0</v>
      </c>
    </row>
    <row r="34" spans="1:15" x14ac:dyDescent="0.15">
      <c r="A34" s="31" t="s">
        <v>158</v>
      </c>
      <c r="B34" s="32">
        <f>敦煌!B75</f>
        <v>110.1</v>
      </c>
      <c r="C34" s="33">
        <f>敦煌!C75</f>
        <v>1.8937949999999999</v>
      </c>
      <c r="D34" s="33">
        <f>敦煌!D75</f>
        <v>0</v>
      </c>
      <c r="E34" s="33">
        <f>敦煌!E75</f>
        <v>0.40412900000000002</v>
      </c>
      <c r="F34" s="33">
        <f>敦煌!F75</f>
        <v>8.4441769999999998</v>
      </c>
      <c r="G34" s="33">
        <f>敦煌!G75</f>
        <v>0</v>
      </c>
      <c r="H34" s="33">
        <f>敦煌!H75</f>
        <v>0</v>
      </c>
      <c r="I34" s="33">
        <f>敦煌!I75</f>
        <v>0</v>
      </c>
      <c r="J34" s="33">
        <f>敦煌!J75</f>
        <v>0</v>
      </c>
      <c r="K34" s="33">
        <f>敦煌!K75</f>
        <v>0</v>
      </c>
      <c r="L34" s="33">
        <f>敦煌!L75</f>
        <v>0</v>
      </c>
      <c r="M34" s="33">
        <f>敦煌!M75</f>
        <v>0</v>
      </c>
      <c r="N34" s="33">
        <f>敦煌!N75</f>
        <v>0</v>
      </c>
      <c r="O34" s="45">
        <f t="shared" si="1"/>
        <v>10.742101</v>
      </c>
    </row>
    <row r="35" spans="1:15" x14ac:dyDescent="0.15">
      <c r="A35" s="31" t="s">
        <v>159</v>
      </c>
      <c r="B35" s="32">
        <f>格尔木!B75</f>
        <v>309.68</v>
      </c>
      <c r="C35" s="33">
        <f>格尔木!C75</f>
        <v>0.20371800000000001</v>
      </c>
      <c r="D35" s="33">
        <f>格尔木!D75</f>
        <v>6.7905999999999994E-2</v>
      </c>
      <c r="E35" s="33">
        <f>格尔木!E75</f>
        <v>3.4753370000000001</v>
      </c>
      <c r="F35" s="33">
        <f>格尔木!F75</f>
        <v>1.3180339999999999</v>
      </c>
      <c r="G35" s="33">
        <f>格尔木!G75</f>
        <v>0</v>
      </c>
      <c r="H35" s="33">
        <f>格尔木!H75</f>
        <v>0</v>
      </c>
      <c r="I35" s="33">
        <f>格尔木!I75</f>
        <v>0</v>
      </c>
      <c r="J35" s="33">
        <f>格尔木!J75</f>
        <v>0</v>
      </c>
      <c r="K35" s="33">
        <f>格尔木!K75</f>
        <v>0</v>
      </c>
      <c r="L35" s="33">
        <f>格尔木!L75</f>
        <v>0</v>
      </c>
      <c r="M35" s="33">
        <f>格尔木!M75</f>
        <v>0</v>
      </c>
      <c r="N35" s="33">
        <f>格尔木!N75</f>
        <v>0</v>
      </c>
      <c r="O35" s="45">
        <f t="shared" si="1"/>
        <v>5.0649949999999997</v>
      </c>
    </row>
    <row r="36" spans="1:15" x14ac:dyDescent="0.15">
      <c r="A36" s="31" t="s">
        <v>160</v>
      </c>
      <c r="B36" s="32">
        <f>石嘴山!B75</f>
        <v>107.38</v>
      </c>
      <c r="C36" s="33">
        <f>石嘴山!C75</f>
        <v>0.998085</v>
      </c>
      <c r="D36" s="33">
        <f>石嘴山!D75</f>
        <v>9.4959059999999997</v>
      </c>
      <c r="E36" s="33">
        <f>石嘴山!E75</f>
        <v>0.40788099999999999</v>
      </c>
      <c r="F36" s="33">
        <f>石嘴山!F75</f>
        <v>9.2994769999999995</v>
      </c>
      <c r="G36" s="33">
        <f>石嘴山!G75</f>
        <v>0</v>
      </c>
      <c r="H36" s="33">
        <f>石嘴山!H75</f>
        <v>0</v>
      </c>
      <c r="I36" s="33">
        <f>石嘴山!I75</f>
        <v>0</v>
      </c>
      <c r="J36" s="33">
        <f>石嘴山!J75</f>
        <v>0</v>
      </c>
      <c r="K36" s="33">
        <f>石嘴山!K75</f>
        <v>0</v>
      </c>
      <c r="L36" s="33">
        <f>石嘴山!L75</f>
        <v>0</v>
      </c>
      <c r="M36" s="33">
        <f>石嘴山!M75</f>
        <v>0</v>
      </c>
      <c r="N36" s="33">
        <f>石嘴山!N75</f>
        <v>0</v>
      </c>
      <c r="O36" s="45">
        <f t="shared" si="1"/>
        <v>20.201349</v>
      </c>
    </row>
    <row r="37" spans="1:15" x14ac:dyDescent="0.15">
      <c r="A37" s="31" t="s">
        <v>176</v>
      </c>
      <c r="B37" s="32">
        <f>SUM(B24:B28,B33:B36)</f>
        <v>3158.1950000000002</v>
      </c>
      <c r="C37" s="33">
        <f>SUM(C24:C28,C33:C36)</f>
        <v>29.005154999999998</v>
      </c>
      <c r="D37" s="33">
        <f t="shared" ref="D37:N37" si="2">SUM(D24:D28,D33:D36)</f>
        <v>25.797452</v>
      </c>
      <c r="E37" s="33">
        <f t="shared" si="2"/>
        <v>26.500330000000005</v>
      </c>
      <c r="F37" s="33">
        <f t="shared" si="2"/>
        <v>63.122212999999988</v>
      </c>
      <c r="G37" s="33">
        <f t="shared" si="2"/>
        <v>0</v>
      </c>
      <c r="H37" s="33">
        <f t="shared" si="2"/>
        <v>0</v>
      </c>
      <c r="I37" s="33">
        <f t="shared" si="2"/>
        <v>0</v>
      </c>
      <c r="J37" s="33">
        <f t="shared" si="2"/>
        <v>0</v>
      </c>
      <c r="K37" s="33">
        <f t="shared" si="2"/>
        <v>0</v>
      </c>
      <c r="L37" s="33">
        <f t="shared" si="2"/>
        <v>0</v>
      </c>
      <c r="M37" s="33">
        <f t="shared" si="2"/>
        <v>0</v>
      </c>
      <c r="N37" s="33">
        <f t="shared" si="2"/>
        <v>0</v>
      </c>
      <c r="O37" s="45">
        <f t="shared" si="1"/>
        <v>144.42514999999997</v>
      </c>
    </row>
    <row r="38" spans="1:15" x14ac:dyDescent="0.15">
      <c r="A38" s="38" t="s">
        <v>163</v>
      </c>
      <c r="B38" s="32">
        <f>云南!B75</f>
        <v>0</v>
      </c>
      <c r="C38" s="33">
        <f>云南!C75</f>
        <v>0</v>
      </c>
      <c r="D38" s="33">
        <f>云南!D75</f>
        <v>0</v>
      </c>
      <c r="E38" s="33">
        <f>云南!E75</f>
        <v>0</v>
      </c>
      <c r="F38" s="33">
        <f>云南!F75</f>
        <v>0</v>
      </c>
      <c r="G38" s="33">
        <f>云南!G75</f>
        <v>0</v>
      </c>
      <c r="H38" s="33">
        <f>云南!H75</f>
        <v>0</v>
      </c>
      <c r="I38" s="33">
        <f>云南!I75</f>
        <v>0</v>
      </c>
      <c r="J38" s="33">
        <f>云南!J75</f>
        <v>0</v>
      </c>
      <c r="K38" s="33">
        <f>云南!K75</f>
        <v>0</v>
      </c>
      <c r="L38" s="33">
        <f>云南!L75</f>
        <v>0</v>
      </c>
      <c r="M38" s="33">
        <f>云南!M75</f>
        <v>0</v>
      </c>
      <c r="N38" s="33">
        <f>云南!N75</f>
        <v>0</v>
      </c>
      <c r="O38" s="48">
        <f t="shared" ref="O38:O43" si="3">SUM(C38:N38)</f>
        <v>0</v>
      </c>
    </row>
    <row r="39" spans="1:15" x14ac:dyDescent="0.15">
      <c r="A39" s="38" t="s">
        <v>164</v>
      </c>
      <c r="B39" s="32">
        <f>楚雄!B75</f>
        <v>0</v>
      </c>
      <c r="C39" s="33">
        <f>楚雄!C75</f>
        <v>0</v>
      </c>
      <c r="D39" s="33">
        <f>楚雄!D75</f>
        <v>0</v>
      </c>
      <c r="E39" s="33">
        <f>楚雄!E75</f>
        <v>0</v>
      </c>
      <c r="F39" s="33">
        <f>楚雄!F75</f>
        <v>0</v>
      </c>
      <c r="G39" s="33">
        <f>楚雄!G75</f>
        <v>0</v>
      </c>
      <c r="H39" s="33">
        <f>楚雄!H75</f>
        <v>0</v>
      </c>
      <c r="I39" s="33">
        <f>楚雄!I75</f>
        <v>0</v>
      </c>
      <c r="J39" s="33">
        <f>楚雄!J75</f>
        <v>0</v>
      </c>
      <c r="K39" s="33">
        <f>楚雄!K75</f>
        <v>0</v>
      </c>
      <c r="L39" s="33">
        <f>楚雄!L75</f>
        <v>0</v>
      </c>
      <c r="M39" s="33">
        <f>楚雄!M75</f>
        <v>0</v>
      </c>
      <c r="N39" s="33">
        <f>楚雄!N75</f>
        <v>0</v>
      </c>
      <c r="O39" s="48">
        <f t="shared" si="3"/>
        <v>0</v>
      </c>
    </row>
    <row r="40" spans="1:15" x14ac:dyDescent="0.15">
      <c r="A40" s="38" t="s">
        <v>165</v>
      </c>
      <c r="B40" s="51">
        <f>大理!B75</f>
        <v>0</v>
      </c>
      <c r="C40" s="33">
        <f>大理!C75</f>
        <v>0</v>
      </c>
      <c r="D40" s="33">
        <f>大理!D75</f>
        <v>0</v>
      </c>
      <c r="E40" s="33">
        <f>大理!E75</f>
        <v>0</v>
      </c>
      <c r="F40" s="33">
        <f>大理!F75</f>
        <v>0</v>
      </c>
      <c r="G40" s="33">
        <f>大理!G75</f>
        <v>0</v>
      </c>
      <c r="H40" s="33">
        <f>大理!H75</f>
        <v>0</v>
      </c>
      <c r="I40" s="33">
        <f>大理!I75</f>
        <v>0</v>
      </c>
      <c r="J40" s="33">
        <f>大理!J75</f>
        <v>0</v>
      </c>
      <c r="K40" s="33">
        <f>大理!K75</f>
        <v>0</v>
      </c>
      <c r="L40" s="33">
        <f>大理!L75</f>
        <v>0</v>
      </c>
      <c r="M40" s="33">
        <f>大理!M75</f>
        <v>0</v>
      </c>
      <c r="N40" s="33">
        <f>大理!N75</f>
        <v>0</v>
      </c>
      <c r="O40" s="48">
        <f t="shared" si="3"/>
        <v>0</v>
      </c>
    </row>
    <row r="41" spans="1:15" x14ac:dyDescent="0.15">
      <c r="A41" s="36" t="s">
        <v>176</v>
      </c>
      <c r="B41" s="42">
        <f>SUM(B38:B40)</f>
        <v>0</v>
      </c>
      <c r="C41" s="42">
        <f t="shared" ref="C41:N41" si="4">SUM(C38:C40)</f>
        <v>0</v>
      </c>
      <c r="D41" s="42">
        <f t="shared" si="4"/>
        <v>0</v>
      </c>
      <c r="E41" s="42">
        <f t="shared" si="4"/>
        <v>0</v>
      </c>
      <c r="F41" s="42">
        <f t="shared" si="4"/>
        <v>0</v>
      </c>
      <c r="G41" s="42">
        <f t="shared" si="4"/>
        <v>0</v>
      </c>
      <c r="H41" s="42">
        <f t="shared" si="4"/>
        <v>0</v>
      </c>
      <c r="I41" s="42">
        <f t="shared" si="4"/>
        <v>0</v>
      </c>
      <c r="J41" s="42">
        <f t="shared" si="4"/>
        <v>0</v>
      </c>
      <c r="K41" s="42">
        <f t="shared" si="4"/>
        <v>0</v>
      </c>
      <c r="L41" s="42">
        <f t="shared" si="4"/>
        <v>0</v>
      </c>
      <c r="M41" s="42">
        <f t="shared" si="4"/>
        <v>0</v>
      </c>
      <c r="N41" s="42">
        <f t="shared" si="4"/>
        <v>0</v>
      </c>
      <c r="O41" s="48">
        <f t="shared" si="3"/>
        <v>0</v>
      </c>
    </row>
    <row r="42" spans="1:15" x14ac:dyDescent="0.15">
      <c r="A42" s="36" t="s">
        <v>180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8">
        <f t="shared" si="3"/>
        <v>0</v>
      </c>
    </row>
    <row r="43" spans="1:15" x14ac:dyDescent="0.15">
      <c r="A43" s="36" t="s">
        <v>95</v>
      </c>
      <c r="B43" s="42">
        <f>SUM(B37,B41:B42)</f>
        <v>3158.1950000000002</v>
      </c>
      <c r="C43" s="42">
        <f t="shared" ref="C43:N43" si="5">SUM(C37,C41:C42)</f>
        <v>29.005154999999998</v>
      </c>
      <c r="D43" s="42">
        <f t="shared" si="5"/>
        <v>25.797452</v>
      </c>
      <c r="E43" s="42">
        <f t="shared" si="5"/>
        <v>26.500330000000005</v>
      </c>
      <c r="F43" s="42">
        <f t="shared" si="5"/>
        <v>63.122212999999988</v>
      </c>
      <c r="G43" s="42">
        <f t="shared" si="5"/>
        <v>0</v>
      </c>
      <c r="H43" s="42">
        <f t="shared" si="5"/>
        <v>0</v>
      </c>
      <c r="I43" s="42">
        <f t="shared" si="5"/>
        <v>0</v>
      </c>
      <c r="J43" s="42">
        <f t="shared" si="5"/>
        <v>0</v>
      </c>
      <c r="K43" s="42">
        <f t="shared" si="5"/>
        <v>0</v>
      </c>
      <c r="L43" s="42">
        <f t="shared" si="5"/>
        <v>0</v>
      </c>
      <c r="M43" s="42">
        <f t="shared" si="5"/>
        <v>0</v>
      </c>
      <c r="N43" s="42">
        <f t="shared" si="5"/>
        <v>0</v>
      </c>
      <c r="O43" s="48">
        <f t="shared" si="3"/>
        <v>144.42514999999997</v>
      </c>
    </row>
  </sheetData>
  <phoneticPr fontId="30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61"/>
  <sheetViews>
    <sheetView topLeftCell="A43" workbookViewId="0">
      <selection activeCell="J67" sqref="J67"/>
    </sheetView>
  </sheetViews>
  <sheetFormatPr defaultColWidth="9" defaultRowHeight="13.5" x14ac:dyDescent="0.15"/>
  <cols>
    <col min="1" max="1" width="13.875" customWidth="1"/>
  </cols>
  <sheetData>
    <row r="1" spans="1:16" x14ac:dyDescent="0.15">
      <c r="C1" s="380" t="s">
        <v>268</v>
      </c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26"/>
    </row>
    <row r="2" spans="1:16" ht="15" customHeight="1" x14ac:dyDescent="0.15">
      <c r="A2" s="27" t="s">
        <v>162</v>
      </c>
      <c r="B2" s="28" t="s">
        <v>267</v>
      </c>
      <c r="C2" s="29" t="s">
        <v>83</v>
      </c>
      <c r="D2" s="30" t="s">
        <v>84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0" t="s">
        <v>93</v>
      </c>
      <c r="N2" s="30" t="s">
        <v>94</v>
      </c>
      <c r="O2" s="44" t="s">
        <v>111</v>
      </c>
    </row>
    <row r="3" spans="1:16" ht="15" customHeight="1" x14ac:dyDescent="0.15">
      <c r="A3" s="31" t="s">
        <v>148</v>
      </c>
      <c r="B3" s="32">
        <v>9.4499999999999993</v>
      </c>
      <c r="C3" s="33">
        <f>结算电量表!C37/9.45</f>
        <v>134.46497354497356</v>
      </c>
      <c r="D3" s="33">
        <f>结算电量表!D37/9.45</f>
        <v>106.17474074074076</v>
      </c>
      <c r="E3" s="33">
        <f>结算电量表!E37/9.45</f>
        <v>123.69523809523811</v>
      </c>
      <c r="F3" s="33">
        <f>结算电量表!F37/9.45</f>
        <v>116.75661375661376</v>
      </c>
      <c r="G3" s="33">
        <f>结算电量表!G37/9.45</f>
        <v>154.24649735449736</v>
      </c>
      <c r="H3" s="33">
        <f>结算电量表!H37/9.45</f>
        <v>76.9457037037037</v>
      </c>
      <c r="I3" s="33">
        <f>结算电量表!I37/9.45</f>
        <v>91.090317460317465</v>
      </c>
      <c r="J3" s="33">
        <f>结算电量表!J37/9.45</f>
        <v>99.512730158730164</v>
      </c>
      <c r="K3" s="33">
        <f>结算电量表!K37/9.45</f>
        <v>92.448518518518526</v>
      </c>
      <c r="L3" s="33">
        <f>结算电量表!L37/9.45</f>
        <v>180.03924867724868</v>
      </c>
      <c r="M3" s="33">
        <f>结算电量表!M37/9.45</f>
        <v>174.36190476190478</v>
      </c>
      <c r="N3" s="33">
        <f>结算电量表!N37/9.45</f>
        <v>142.10305820105822</v>
      </c>
      <c r="O3" s="45">
        <f>SUM(C3:N3)</f>
        <v>1491.8395449735451</v>
      </c>
      <c r="P3" s="46"/>
    </row>
    <row r="4" spans="1:16" ht="15" customHeight="1" x14ac:dyDescent="0.15">
      <c r="A4" s="31" t="s">
        <v>149</v>
      </c>
      <c r="B4" s="32">
        <v>9.9</v>
      </c>
      <c r="C4" s="33">
        <f>结算电量表!C38/9.9</f>
        <v>125.34545454545454</v>
      </c>
      <c r="D4" s="33">
        <f>结算电量表!D38/9.9</f>
        <v>84.990909090909085</v>
      </c>
      <c r="E4" s="33">
        <f>结算电量表!E38/9.9</f>
        <v>95.106848484848484</v>
      </c>
      <c r="F4" s="33">
        <f>结算电量表!F38/9.9</f>
        <v>78.494949494949495</v>
      </c>
      <c r="G4" s="33">
        <f>结算电量表!G38/9.9</f>
        <v>78.487636363636355</v>
      </c>
      <c r="H4" s="33">
        <f>结算电量表!H38/9.9</f>
        <v>66.730040404040395</v>
      </c>
      <c r="I4" s="33">
        <f>结算电量表!I38/9.9</f>
        <v>29.79393939393939</v>
      </c>
      <c r="J4" s="33">
        <f>结算电量表!J38/9.9</f>
        <v>83.205050505050508</v>
      </c>
      <c r="K4" s="33">
        <f>结算电量表!K38/9.9</f>
        <v>99.494949494949495</v>
      </c>
      <c r="L4" s="33">
        <f>结算电量表!L38/9.9</f>
        <v>103.90707070707072</v>
      </c>
      <c r="M4" s="33">
        <f>结算电量表!M38/9.9</f>
        <v>70.616050505050495</v>
      </c>
      <c r="N4" s="33">
        <f>结算电量表!N38/9.9</f>
        <v>112.12525252525252</v>
      </c>
      <c r="O4" s="45">
        <f t="shared" ref="O4:O20" si="0">SUM(C4:N4)</f>
        <v>1028.2981515151514</v>
      </c>
      <c r="P4" s="46"/>
    </row>
    <row r="5" spans="1:16" ht="15" customHeight="1" x14ac:dyDescent="0.15">
      <c r="A5" s="31" t="s">
        <v>150</v>
      </c>
      <c r="B5" s="32">
        <v>20.100000000000001</v>
      </c>
      <c r="C5" s="33">
        <f>结算电量表!C39/20.1</f>
        <v>103.45074626865672</v>
      </c>
      <c r="D5" s="33">
        <f>结算电量表!D39/20.1</f>
        <v>84.567825870646757</v>
      </c>
      <c r="E5" s="33">
        <f>结算电量表!E39/20.1</f>
        <v>71.81754726368159</v>
      </c>
      <c r="F5" s="33">
        <f>结算电量表!F39/20.1</f>
        <v>82.817278606965175</v>
      </c>
      <c r="G5" s="33">
        <f>结算电量表!G39/20.1</f>
        <v>62.785218905472632</v>
      </c>
      <c r="H5" s="33">
        <f>结算电量表!H39/20.1</f>
        <v>61.969661691542292</v>
      </c>
      <c r="I5" s="33">
        <f>结算电量表!I39/20.1</f>
        <v>51.821179104477615</v>
      </c>
      <c r="J5" s="33">
        <f>结算电量表!J39/20.1</f>
        <v>90.705417910447764</v>
      </c>
      <c r="K5" s="33">
        <f>结算电量表!K39/20.1</f>
        <v>90.543283582089543</v>
      </c>
      <c r="L5" s="33">
        <f>结算电量表!L39/20.1</f>
        <v>80.244114427860694</v>
      </c>
      <c r="M5" s="33">
        <f>结算电量表!M39/20.1</f>
        <v>75.303895522388061</v>
      </c>
      <c r="N5" s="33">
        <f>结算电量表!N39/20.1</f>
        <v>34.688388059701488</v>
      </c>
      <c r="O5" s="45">
        <f t="shared" si="0"/>
        <v>890.71455721393045</v>
      </c>
      <c r="P5" s="46"/>
    </row>
    <row r="6" spans="1:16" ht="15" customHeight="1" x14ac:dyDescent="0.15">
      <c r="A6" s="31" t="s">
        <v>151</v>
      </c>
      <c r="B6" s="32">
        <v>4.95</v>
      </c>
      <c r="C6" s="33">
        <f>结算电量表!C40/4.95</f>
        <v>152.76363636363635</v>
      </c>
      <c r="D6" s="33">
        <f>结算电量表!D40/4.95</f>
        <v>194.41010101010102</v>
      </c>
      <c r="E6" s="33">
        <f>结算电量表!E40/4.95</f>
        <v>282.90909090909093</v>
      </c>
      <c r="F6" s="33">
        <f>结算电量表!F40/4.95</f>
        <v>275.15555555555557</v>
      </c>
      <c r="G6" s="33">
        <f>结算电量表!G40/4.95</f>
        <v>269.30101010101009</v>
      </c>
      <c r="H6" s="33">
        <f>结算电量表!H40/4.95</f>
        <v>174.81010101010099</v>
      </c>
      <c r="I6" s="33">
        <f>结算电量表!I40/4.95</f>
        <v>240.06262626262625</v>
      </c>
      <c r="J6" s="33">
        <f>结算电量表!J40/4.95</f>
        <v>170.88686868686867</v>
      </c>
      <c r="K6" s="33">
        <f>结算电量表!K40/4.95</f>
        <v>145.20606060606059</v>
      </c>
      <c r="L6" s="33">
        <f>结算电量表!L40/4.95</f>
        <v>185.06464646464647</v>
      </c>
      <c r="M6" s="33">
        <f>结算电量表!M40/4.95</f>
        <v>153.2311313131313</v>
      </c>
      <c r="N6" s="33">
        <f>结算电量表!N40/4.95</f>
        <v>173.30303030303031</v>
      </c>
      <c r="O6" s="45">
        <f t="shared" si="0"/>
        <v>2417.1038585858587</v>
      </c>
      <c r="P6" s="46"/>
    </row>
    <row r="7" spans="1:16" ht="15" customHeight="1" x14ac:dyDescent="0.15">
      <c r="A7" s="31" t="s">
        <v>152</v>
      </c>
      <c r="B7" s="32">
        <f>SUM(B8:B11)</f>
        <v>9.9</v>
      </c>
      <c r="C7" s="33">
        <f>结算电量表!C41/9.9</f>
        <v>41.725252525252522</v>
      </c>
      <c r="D7" s="33">
        <f>结算电量表!D41/9.9</f>
        <v>38.344444444444441</v>
      </c>
      <c r="E7" s="33">
        <f>结算电量表!E41/9.9</f>
        <v>90.898989898989896</v>
      </c>
      <c r="F7" s="33">
        <f>结算电量表!F41/9.9</f>
        <v>170.19979797979798</v>
      </c>
      <c r="G7" s="33">
        <f>结算电量表!G41/9.9</f>
        <v>163.58888888888887</v>
      </c>
      <c r="H7" s="33">
        <f>结算电量表!H41/9.9</f>
        <v>120.20202020202019</v>
      </c>
      <c r="I7" s="33">
        <f>结算电量表!I41/9.9</f>
        <v>107.41414141414143</v>
      </c>
      <c r="J7" s="33">
        <f>结算电量表!J41/9.9</f>
        <v>97.804040404040393</v>
      </c>
      <c r="K7" s="33">
        <f>结算电量表!K41/9.9</f>
        <v>79.845454545454544</v>
      </c>
      <c r="L7" s="33">
        <f>结算电量表!L41/9.9</f>
        <v>69.058585858585857</v>
      </c>
      <c r="M7" s="33">
        <f>结算电量表!M41/9.9</f>
        <v>100.510101010101</v>
      </c>
      <c r="N7" s="33">
        <f>结算电量表!N41/9.9</f>
        <v>56.588888888888889</v>
      </c>
      <c r="O7" s="45">
        <f>SUM(O8:O11)</f>
        <v>2272.364</v>
      </c>
      <c r="P7" s="46"/>
    </row>
    <row r="8" spans="1:16" ht="15" customHeight="1" x14ac:dyDescent="0.15">
      <c r="A8" s="31" t="s">
        <v>153</v>
      </c>
      <c r="B8" s="32">
        <v>4.95</v>
      </c>
      <c r="C8" s="33">
        <f>结算电量表!C42/4.95</f>
        <v>52.137373737373736</v>
      </c>
      <c r="D8" s="33">
        <f>结算电量表!D42/4.95</f>
        <v>54.854545454545445</v>
      </c>
      <c r="E8" s="33">
        <f>结算电量表!E42/4.95</f>
        <v>122.6949494949495</v>
      </c>
      <c r="F8" s="33">
        <f>结算电量表!F42/4.95</f>
        <v>223.86987878787878</v>
      </c>
      <c r="G8" s="33">
        <f>结算电量表!G42/4.95</f>
        <v>178.69335353535354</v>
      </c>
      <c r="H8" s="33">
        <f>结算电量表!H42/4.95</f>
        <v>143.50521212121214</v>
      </c>
      <c r="I8" s="33">
        <f>结算电量表!I42/4.95</f>
        <v>142.21818181818182</v>
      </c>
      <c r="J8" s="33">
        <f>结算电量表!J42/4.95</f>
        <v>123.76969696969695</v>
      </c>
      <c r="K8" s="33">
        <f>结算电量表!K42/4.95</f>
        <v>98.856585858585859</v>
      </c>
      <c r="L8" s="33">
        <f>结算电量表!L42/4.95</f>
        <v>85.535353535353522</v>
      </c>
      <c r="M8" s="33">
        <f>结算电量表!M42/4.95</f>
        <v>165.7291515151515</v>
      </c>
      <c r="N8" s="33">
        <f>结算电量表!N42/4.95</f>
        <v>102.74949494949495</v>
      </c>
      <c r="O8" s="45">
        <f t="shared" si="0"/>
        <v>1494.6137777777776</v>
      </c>
      <c r="P8" s="46"/>
    </row>
    <row r="9" spans="1:16" ht="15" customHeight="1" x14ac:dyDescent="0.15">
      <c r="A9" s="31" t="s">
        <v>186</v>
      </c>
      <c r="B9" s="32">
        <v>4.95</v>
      </c>
      <c r="C9" s="33">
        <f>结算电量表!C43/4.95</f>
        <v>31.313131313131311</v>
      </c>
      <c r="D9" s="33">
        <f>结算电量表!D43/4.95</f>
        <v>21.834343434343435</v>
      </c>
      <c r="E9" s="33">
        <f>结算电量表!E43/4.95</f>
        <v>59.103030303030302</v>
      </c>
      <c r="F9" s="33">
        <f>结算电量表!F43/4.95</f>
        <v>116.52971717171717</v>
      </c>
      <c r="G9" s="33">
        <f>结算电量表!G43/4.95</f>
        <v>148.48442424242424</v>
      </c>
      <c r="H9" s="33">
        <f>结算电量表!H43/4.95</f>
        <v>96.898828282828276</v>
      </c>
      <c r="I9" s="33">
        <f>结算电量表!I43/4.95</f>
        <v>72.610101010101005</v>
      </c>
      <c r="J9" s="33">
        <f>结算电量表!J43/4.95</f>
        <v>71.838383838383834</v>
      </c>
      <c r="K9" s="33">
        <f>结算电量表!K43/4.95</f>
        <v>60.834323232323236</v>
      </c>
      <c r="L9" s="33">
        <f>结算电量表!L43/4.95</f>
        <v>52.581818181818171</v>
      </c>
      <c r="M9" s="33">
        <f>结算电量表!M43/4.95</f>
        <v>35.293838383838384</v>
      </c>
      <c r="N9" s="33">
        <f>结算电量表!N43/4.95</f>
        <v>10.428282828282827</v>
      </c>
      <c r="O9" s="45">
        <f t="shared" si="0"/>
        <v>777.75022222222231</v>
      </c>
      <c r="P9" s="46"/>
    </row>
    <row r="10" spans="1:16" ht="15" customHeight="1" x14ac:dyDescent="0.15">
      <c r="A10" s="31" t="s">
        <v>155</v>
      </c>
      <c r="B10" s="32">
        <v>0</v>
      </c>
      <c r="C10" s="33">
        <f>结算电量表!C44/0.67</f>
        <v>0</v>
      </c>
      <c r="D10" s="33">
        <f>结算电量表!D44/0.67</f>
        <v>0</v>
      </c>
      <c r="E10" s="33">
        <f>结算电量表!E44/0.67</f>
        <v>0</v>
      </c>
      <c r="F10" s="33">
        <f>结算电量表!F44/0.67</f>
        <v>0</v>
      </c>
      <c r="G10" s="33">
        <f>结算电量表!G44/0.67</f>
        <v>0</v>
      </c>
      <c r="H10" s="33">
        <f>结算电量表!H44/0.67</f>
        <v>0</v>
      </c>
      <c r="I10" s="33">
        <f>结算电量表!I44/0.67</f>
        <v>0</v>
      </c>
      <c r="J10" s="33">
        <f>结算电量表!J44/0.67</f>
        <v>0</v>
      </c>
      <c r="K10" s="33">
        <f>结算电量表!K44/0.67</f>
        <v>0</v>
      </c>
      <c r="L10" s="33">
        <f>结算电量表!L44/0.67</f>
        <v>0</v>
      </c>
      <c r="M10" s="33">
        <f>结算电量表!M44/0.67</f>
        <v>0</v>
      </c>
      <c r="N10" s="33">
        <f>结算电量表!N44/0.67</f>
        <v>0</v>
      </c>
      <c r="O10" s="45">
        <f t="shared" si="0"/>
        <v>0</v>
      </c>
      <c r="P10" s="46"/>
    </row>
    <row r="11" spans="1:16" ht="15" customHeight="1" x14ac:dyDescent="0.15">
      <c r="A11" s="31" t="s">
        <v>156</v>
      </c>
      <c r="B11" s="32">
        <v>0</v>
      </c>
      <c r="C11" s="33">
        <f>结算电量表!C45/0.67</f>
        <v>0</v>
      </c>
      <c r="D11" s="33">
        <f>结算电量表!D45/0.67</f>
        <v>0</v>
      </c>
      <c r="E11" s="33">
        <f>结算电量表!E45/0.67</f>
        <v>0</v>
      </c>
      <c r="F11" s="33">
        <f>结算电量表!F45/0.67</f>
        <v>0</v>
      </c>
      <c r="G11" s="33">
        <f>结算电量表!G45/0.67</f>
        <v>0</v>
      </c>
      <c r="H11" s="33">
        <f>结算电量表!H45/0.67</f>
        <v>0</v>
      </c>
      <c r="I11" s="33">
        <f>结算电量表!I45/0.67</f>
        <v>0</v>
      </c>
      <c r="J11" s="33">
        <f>结算电量表!J45/0.67</f>
        <v>0</v>
      </c>
      <c r="K11" s="33">
        <f>结算电量表!K45/0.67</f>
        <v>0</v>
      </c>
      <c r="L11" s="33">
        <f>结算电量表!L45/0.67</f>
        <v>0</v>
      </c>
      <c r="M11" s="33">
        <f>结算电量表!M45/0.67</f>
        <v>0</v>
      </c>
      <c r="N11" s="33">
        <f>结算电量表!N45/0.67</f>
        <v>0</v>
      </c>
      <c r="O11" s="45"/>
      <c r="P11" s="46"/>
    </row>
    <row r="12" spans="1:16" ht="15" customHeight="1" x14ac:dyDescent="0.15">
      <c r="A12" s="31" t="s">
        <v>157</v>
      </c>
      <c r="B12" s="32">
        <v>4.95</v>
      </c>
      <c r="C12" s="33">
        <f>结算电量表!C46/4.95</f>
        <v>24.76969696969697</v>
      </c>
      <c r="D12" s="33">
        <f>结算电量表!D46/4.95</f>
        <v>22.692929292929293</v>
      </c>
      <c r="E12" s="33">
        <f>结算电量表!E46/4.95</f>
        <v>92.484848484848484</v>
      </c>
      <c r="F12" s="33">
        <f>结算电量表!F46/4.95</f>
        <v>161.59264646464646</v>
      </c>
      <c r="G12" s="33">
        <f>结算电量表!G46/4.95</f>
        <v>155.91313131313132</v>
      </c>
      <c r="H12" s="33">
        <f>结算电量表!H46/4.95</f>
        <v>264.45216161616162</v>
      </c>
      <c r="I12" s="33">
        <f>结算电量表!I46/4.95</f>
        <v>175.16969696969696</v>
      </c>
      <c r="J12" s="33">
        <f>结算电量表!J46/4.95</f>
        <v>171.34173737373737</v>
      </c>
      <c r="K12" s="33">
        <f>结算电量表!K46/4.95</f>
        <v>107.22602020202021</v>
      </c>
      <c r="L12" s="33">
        <f>结算电量表!L46/4.95</f>
        <v>87.517171717171706</v>
      </c>
      <c r="M12" s="33">
        <f>结算电量表!M46/4.95</f>
        <v>52.476767676767672</v>
      </c>
      <c r="N12" s="33">
        <f>结算电量表!N46/4.95</f>
        <v>40.196343434343433</v>
      </c>
      <c r="O12" s="45">
        <f t="shared" si="0"/>
        <v>1355.8331515151515</v>
      </c>
      <c r="P12" s="46"/>
    </row>
    <row r="13" spans="1:16" ht="15" customHeight="1" x14ac:dyDescent="0.15">
      <c r="A13" s="31" t="s">
        <v>158</v>
      </c>
      <c r="B13" s="32">
        <v>2.8</v>
      </c>
      <c r="C13" s="33">
        <f>结算电量表!C47/2.8</f>
        <v>93.085714285714289</v>
      </c>
      <c r="D13" s="33">
        <f>结算电量表!D47/2.8</f>
        <v>105.66071428571431</v>
      </c>
      <c r="E13" s="33">
        <f>结算电量表!E47/2.8</f>
        <v>98.050000000000011</v>
      </c>
      <c r="F13" s="33">
        <f>结算电量表!F47/2.8</f>
        <v>126.37500000000001</v>
      </c>
      <c r="G13" s="33">
        <f>结算电量表!G47/2.8</f>
        <v>122.71785714285716</v>
      </c>
      <c r="H13" s="33">
        <f>结算电量表!H47/2.8</f>
        <v>137.71071428571429</v>
      </c>
      <c r="I13" s="33">
        <f>结算电量表!I47/2.8</f>
        <v>116.81428571428572</v>
      </c>
      <c r="J13" s="33">
        <f>结算电量表!J47/2.8</f>
        <v>116.00714285714287</v>
      </c>
      <c r="K13" s="33">
        <f>结算电量表!K47/2.8</f>
        <v>110.03214285714286</v>
      </c>
      <c r="L13" s="33">
        <f>结算电量表!L47/2.8</f>
        <v>145.05000000000001</v>
      </c>
      <c r="M13" s="33">
        <f>结算电量表!M47/2.8</f>
        <v>81.539285714285725</v>
      </c>
      <c r="N13" s="33">
        <f>结算电量表!N47/2.8</f>
        <v>64.424999999999997</v>
      </c>
      <c r="O13" s="45">
        <f t="shared" si="0"/>
        <v>1317.4678571428572</v>
      </c>
      <c r="P13" s="46"/>
    </row>
    <row r="14" spans="1:16" ht="15" customHeight="1" x14ac:dyDescent="0.15">
      <c r="A14" s="31" t="s">
        <v>159</v>
      </c>
      <c r="B14" s="32">
        <v>3</v>
      </c>
      <c r="C14" s="33">
        <f>结算电量表!C48/5</f>
        <v>109.64400000000001</v>
      </c>
      <c r="D14" s="33">
        <f>结算电量表!D48/5</f>
        <v>138.90799999999999</v>
      </c>
      <c r="E14" s="33">
        <f>结算电量表!E48/5</f>
        <v>139.42599999999999</v>
      </c>
      <c r="F14" s="33">
        <f>结算电量表!F48/5</f>
        <v>179.714</v>
      </c>
      <c r="G14" s="33">
        <f>结算电量表!G48/5</f>
        <v>130.67400000000001</v>
      </c>
      <c r="H14" s="33">
        <f>结算电量表!H48/5</f>
        <v>126.976</v>
      </c>
      <c r="I14" s="33">
        <f>结算电量表!I48/5</f>
        <v>114.13800000000001</v>
      </c>
      <c r="J14" s="33">
        <f>结算电量表!J48/5</f>
        <v>145.79599999999999</v>
      </c>
      <c r="K14" s="33">
        <f>结算电量表!K48/5</f>
        <v>138.768</v>
      </c>
      <c r="L14" s="33">
        <f>结算电量表!L48/5</f>
        <v>96.087999999999994</v>
      </c>
      <c r="M14" s="33">
        <f>结算电量表!M48/5</f>
        <v>86.903999999999996</v>
      </c>
      <c r="N14" s="33">
        <f>结算电量表!N48/5</f>
        <v>102.07274</v>
      </c>
      <c r="O14" s="45">
        <f t="shared" si="0"/>
        <v>1509.1087400000001</v>
      </c>
      <c r="P14" s="46"/>
    </row>
    <row r="15" spans="1:16" ht="15" customHeight="1" x14ac:dyDescent="0.15">
      <c r="A15" s="31" t="s">
        <v>160</v>
      </c>
      <c r="B15" s="32">
        <v>5</v>
      </c>
      <c r="C15" s="33">
        <f>结算电量表!C49/3</f>
        <v>94.286666666666676</v>
      </c>
      <c r="D15" s="33">
        <f>结算电量表!D49/3</f>
        <v>72.44</v>
      </c>
      <c r="E15" s="33">
        <f>结算电量表!E49/3</f>
        <v>97.376666666666665</v>
      </c>
      <c r="F15" s="33">
        <f>结算电量表!F49/3</f>
        <v>140.75333333333333</v>
      </c>
      <c r="G15" s="33">
        <f>结算电量表!G49/3</f>
        <v>150.47666666666666</v>
      </c>
      <c r="H15" s="33">
        <f>结算电量表!H49/3</f>
        <v>137.68333333333334</v>
      </c>
      <c r="I15" s="33">
        <f>结算电量表!I49/3</f>
        <v>117.69</v>
      </c>
      <c r="J15" s="33">
        <f>结算电量表!J49/3</f>
        <v>88.213333333333324</v>
      </c>
      <c r="K15" s="33">
        <f>结算电量表!K49/3</f>
        <v>135.22333333333333</v>
      </c>
      <c r="L15" s="33">
        <f>结算电量表!L49/3</f>
        <v>113.13333333333333</v>
      </c>
      <c r="M15" s="33">
        <f>结算电量表!M49/3</f>
        <v>118.47333333333334</v>
      </c>
      <c r="N15" s="33">
        <f>结算电量表!N49/3</f>
        <v>96.683333333333337</v>
      </c>
      <c r="O15" s="45">
        <f t="shared" si="0"/>
        <v>1362.4333333333334</v>
      </c>
      <c r="P15" s="46"/>
    </row>
    <row r="16" spans="1:16" ht="15" customHeight="1" x14ac:dyDescent="0.15">
      <c r="A16" s="31" t="s">
        <v>95</v>
      </c>
      <c r="B16" s="32">
        <f>SUM(B3:B7,B12:B15)</f>
        <v>70.050000000000011</v>
      </c>
      <c r="C16" s="34">
        <f>结算电量表!C50/70.05</f>
        <v>99.565510349750184</v>
      </c>
      <c r="D16" s="34">
        <f>结算电量表!D50/70.05</f>
        <v>88.601778729478937</v>
      </c>
      <c r="E16" s="34">
        <f>结算电量表!E50/70.05</f>
        <v>108.15004282655246</v>
      </c>
      <c r="F16" s="34">
        <f>结算电量表!F50/70.05</f>
        <v>129.43096216987865</v>
      </c>
      <c r="G16" s="34">
        <f>结算电量表!G50/70.05</f>
        <v>123.76002712348323</v>
      </c>
      <c r="H16" s="34">
        <f>结算电量表!H50/70.05</f>
        <v>106.08454960742328</v>
      </c>
      <c r="I16" s="34">
        <f>结算电量表!I50/70.05</f>
        <v>93.747454675231992</v>
      </c>
      <c r="J16" s="34">
        <f>结算电量表!J50/70.05</f>
        <v>108.03762740899359</v>
      </c>
      <c r="K16" s="34">
        <f>结算电量表!K50/70.05</f>
        <v>101.72972591006425</v>
      </c>
      <c r="L16" s="34">
        <f>结算电量表!L50/70.05</f>
        <v>108.52102212705211</v>
      </c>
      <c r="M16" s="34">
        <f>结算电量表!M50/70.05</f>
        <v>98.386599571734493</v>
      </c>
      <c r="N16" s="34">
        <f>结算电量表!N50/70.05</f>
        <v>82.05576159885797</v>
      </c>
      <c r="O16" s="45">
        <f t="shared" si="0"/>
        <v>1248.071062098501</v>
      </c>
      <c r="P16" s="46"/>
    </row>
    <row r="17" spans="1:15" ht="15" customHeight="1" x14ac:dyDescent="0.15">
      <c r="A17" s="35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47"/>
    </row>
    <row r="18" spans="1:15" ht="15" customHeight="1" x14ac:dyDescent="0.15">
      <c r="A18" s="38" t="s">
        <v>163</v>
      </c>
      <c r="B18" s="32">
        <v>4.8</v>
      </c>
      <c r="C18" s="33">
        <f>结算电量表!C51/4.8</f>
        <v>375.61250000000001</v>
      </c>
      <c r="D18" s="33">
        <f>结算电量表!D51/4.8</f>
        <v>304.66458333333338</v>
      </c>
      <c r="E18" s="33">
        <f>结算电量表!E51/4.8</f>
        <v>441.62083333333339</v>
      </c>
      <c r="F18" s="33">
        <f>结算电量表!F51/4.8</f>
        <v>412.38333333333338</v>
      </c>
      <c r="G18" s="33">
        <f>结算电量表!G51/4.8</f>
        <v>272.24583333333334</v>
      </c>
      <c r="H18" s="33">
        <f>结算电量表!H51/4.8</f>
        <v>226.08333333333334</v>
      </c>
      <c r="I18" s="33">
        <f>结算电量表!I51/4.8</f>
        <v>148.33333333333334</v>
      </c>
      <c r="J18" s="33">
        <f>结算电量表!J51/4.8</f>
        <v>203.89166666666665</v>
      </c>
      <c r="K18" s="33">
        <f>结算电量表!K51/4.8</f>
        <v>115.1875</v>
      </c>
      <c r="L18" s="33">
        <f>结算电量表!L51/4.8</f>
        <v>242.43750000000003</v>
      </c>
      <c r="M18" s="33">
        <f>结算电量表!M51/4.8</f>
        <v>302.08750000000003</v>
      </c>
      <c r="N18" s="33">
        <f>结算电量表!N51/4.8</f>
        <v>341.65625</v>
      </c>
      <c r="O18" s="48">
        <f t="shared" si="0"/>
        <v>3386.2041666666669</v>
      </c>
    </row>
    <row r="19" spans="1:15" ht="15" customHeight="1" x14ac:dyDescent="0.15">
      <c r="A19" s="38" t="s">
        <v>164</v>
      </c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48"/>
    </row>
    <row r="20" spans="1:15" ht="15" customHeight="1" x14ac:dyDescent="0.15">
      <c r="A20" s="38" t="s">
        <v>165</v>
      </c>
      <c r="B20" s="32">
        <v>2</v>
      </c>
      <c r="C20" s="33">
        <f>结算电量表!C52/2</f>
        <v>0</v>
      </c>
      <c r="D20" s="33">
        <f>结算电量表!D52/2</f>
        <v>0</v>
      </c>
      <c r="E20" s="33">
        <f>结算电量表!E52/2</f>
        <v>0</v>
      </c>
      <c r="F20" s="33">
        <f>结算电量表!F52/2</f>
        <v>0</v>
      </c>
      <c r="G20" s="33">
        <f>结算电量表!G52/2</f>
        <v>0</v>
      </c>
      <c r="H20" s="33">
        <f>结算电量表!H52/2</f>
        <v>0</v>
      </c>
      <c r="I20" s="33">
        <f>结算电量表!I52/2</f>
        <v>0</v>
      </c>
      <c r="J20" s="33">
        <f>结算电量表!J52/2</f>
        <v>0</v>
      </c>
      <c r="K20" s="33">
        <f>结算电量表!K52/2</f>
        <v>0</v>
      </c>
      <c r="L20" s="33">
        <f>结算电量表!L52/2</f>
        <v>0</v>
      </c>
      <c r="M20" s="33">
        <f>结算电量表!M52/2</f>
        <v>0</v>
      </c>
      <c r="N20" s="33">
        <f>结算电量表!N52/2</f>
        <v>291.00785000000002</v>
      </c>
      <c r="O20" s="45">
        <f t="shared" si="0"/>
        <v>291.00785000000002</v>
      </c>
    </row>
    <row r="22" spans="1:15" ht="14.25" x14ac:dyDescent="0.15">
      <c r="A22" s="27" t="s">
        <v>170</v>
      </c>
      <c r="B22" s="28" t="s">
        <v>267</v>
      </c>
      <c r="C22" s="29" t="s">
        <v>83</v>
      </c>
      <c r="D22" s="30" t="s">
        <v>84</v>
      </c>
      <c r="E22" s="30" t="s">
        <v>85</v>
      </c>
      <c r="F22" s="30" t="s">
        <v>86</v>
      </c>
      <c r="G22" s="30" t="s">
        <v>87</v>
      </c>
      <c r="H22" s="30" t="s">
        <v>88</v>
      </c>
      <c r="I22" s="30" t="s">
        <v>89</v>
      </c>
      <c r="J22" s="30" t="s">
        <v>90</v>
      </c>
      <c r="K22" s="30" t="s">
        <v>91</v>
      </c>
      <c r="L22" s="30" t="s">
        <v>92</v>
      </c>
      <c r="M22" s="30" t="s">
        <v>93</v>
      </c>
      <c r="N22" s="30" t="s">
        <v>94</v>
      </c>
      <c r="O22" s="44" t="s">
        <v>111</v>
      </c>
    </row>
    <row r="23" spans="1:15" x14ac:dyDescent="0.15">
      <c r="A23" s="31" t="s">
        <v>148</v>
      </c>
      <c r="B23" s="32">
        <v>9.4499999999999993</v>
      </c>
      <c r="C23" s="39">
        <f>结算电量表!C57/B23</f>
        <v>153.96322751322754</v>
      </c>
      <c r="D23" s="39">
        <f>结算电量表!D57/B23</f>
        <v>104.23621164021165</v>
      </c>
      <c r="E23" s="39">
        <f>结算电量表!E57/B23</f>
        <v>119.44810582010582</v>
      </c>
      <c r="F23" s="39">
        <f>结算电量表!F57/B23</f>
        <v>141.93414814814818</v>
      </c>
      <c r="G23" s="39">
        <f>结算电量表!G57/B23</f>
        <v>124.84052910052911</v>
      </c>
      <c r="H23" s="39">
        <f>结算电量表!H57/B23</f>
        <v>118.45714285714287</v>
      </c>
      <c r="I23" s="39">
        <f>结算电量表!I57/B23</f>
        <v>144.02751322751323</v>
      </c>
      <c r="J23" s="39">
        <f>结算电量表!J57/B23</f>
        <v>96.539682539682545</v>
      </c>
      <c r="K23" s="39">
        <f>结算电量表!K57/B23</f>
        <v>106.35343915343915</v>
      </c>
      <c r="L23" s="39">
        <f>结算电量表!L57/B23</f>
        <v>141.92592592592595</v>
      </c>
      <c r="M23" s="39">
        <f>结算电量表!M57/B23</f>
        <v>144.13756613756613</v>
      </c>
      <c r="N23" s="39">
        <f>结算电量表!N57/B23</f>
        <v>162.84126984126985</v>
      </c>
      <c r="O23" s="49">
        <f>SUM(C23:N23)</f>
        <v>1558.7047619047621</v>
      </c>
    </row>
    <row r="24" spans="1:15" x14ac:dyDescent="0.15">
      <c r="A24" s="31" t="s">
        <v>149</v>
      </c>
      <c r="B24" s="32">
        <v>9.9</v>
      </c>
      <c r="C24" s="39">
        <f>结算电量表!C58/B24</f>
        <v>61.845858585858586</v>
      </c>
      <c r="D24" s="39">
        <f>结算电量表!D58/B24</f>
        <v>98.37777777777778</v>
      </c>
      <c r="E24" s="39">
        <f>结算电量表!E58/B24</f>
        <v>136.96969696969697</v>
      </c>
      <c r="F24" s="39">
        <f>结算电量表!F58/B24</f>
        <v>99.974747474747474</v>
      </c>
      <c r="G24" s="39">
        <f>结算电量表!G58/B24</f>
        <v>160.79393939393938</v>
      </c>
      <c r="H24" s="39">
        <f>结算电量表!H58/B24</f>
        <v>99.361616161616155</v>
      </c>
      <c r="I24" s="39">
        <f>结算电量表!I58/B24</f>
        <v>137.15858585858584</v>
      </c>
      <c r="J24" s="39">
        <f>结算电量表!J58/B24</f>
        <v>133.70989898989899</v>
      </c>
      <c r="K24" s="39">
        <f>结算电量表!K58/B24</f>
        <v>115.73333333333333</v>
      </c>
      <c r="L24" s="39">
        <f>结算电量表!L58/B24</f>
        <v>140.89191919191919</v>
      </c>
      <c r="M24" s="39">
        <f>结算电量表!M58/B24</f>
        <v>99.635353535353531</v>
      </c>
      <c r="N24" s="39">
        <f>结算电量表!N58/B24</f>
        <v>199.1070707070707</v>
      </c>
      <c r="O24" s="49">
        <f>SUM(C24:N24)</f>
        <v>1483.5597979797978</v>
      </c>
    </row>
    <row r="25" spans="1:15" x14ac:dyDescent="0.15">
      <c r="A25" s="31" t="s">
        <v>150</v>
      </c>
      <c r="B25" s="32">
        <v>20.100000000000001</v>
      </c>
      <c r="C25" s="39">
        <f>结算电量表!C59/B25</f>
        <v>69.603736318407954</v>
      </c>
      <c r="D25" s="39">
        <f>结算电量表!D59/B25</f>
        <v>64.998164179104464</v>
      </c>
      <c r="E25" s="39">
        <f>结算电量表!E59/B25</f>
        <v>133.2303184079602</v>
      </c>
      <c r="F25" s="39">
        <f>结算电量表!F59/B25</f>
        <v>109.55969651741292</v>
      </c>
      <c r="G25" s="39">
        <f>结算电量表!G59/B25</f>
        <v>147.52891044776118</v>
      </c>
      <c r="H25" s="39">
        <f>结算电量表!H59/B25</f>
        <v>55.697557213930345</v>
      </c>
      <c r="I25" s="39">
        <f>结算电量表!I59/B25</f>
        <v>100.25381094527363</v>
      </c>
      <c r="J25" s="39">
        <f>结算电量表!J59/B25</f>
        <v>158.88382089552238</v>
      </c>
      <c r="K25" s="39">
        <f>结算电量表!K59/B25</f>
        <v>92.832835820895525</v>
      </c>
      <c r="L25" s="39">
        <f>结算电量表!L59/B25</f>
        <v>99.650746268656704</v>
      </c>
      <c r="M25" s="39">
        <f>结算电量表!M59/B25</f>
        <v>103.29354726368159</v>
      </c>
      <c r="N25" s="39">
        <f>结算电量表!N59/B25</f>
        <v>166.97761194029849</v>
      </c>
      <c r="O25" s="49">
        <f>SUM(C25:N25)</f>
        <v>1302.5107562189053</v>
      </c>
    </row>
    <row r="26" spans="1:15" x14ac:dyDescent="0.15">
      <c r="A26" s="31" t="s">
        <v>151</v>
      </c>
      <c r="B26" s="32">
        <v>4.95</v>
      </c>
      <c r="C26" s="39">
        <f>结算电量表!C60/B26</f>
        <v>157.10844444444442</v>
      </c>
      <c r="D26" s="39">
        <f>结算电量表!D60/B26</f>
        <v>230.70202020202018</v>
      </c>
      <c r="E26" s="39">
        <f>结算电量表!E60/B26</f>
        <v>142.15242424242425</v>
      </c>
      <c r="F26" s="39">
        <f>结算电量表!F60/B26</f>
        <v>331.73715151515148</v>
      </c>
      <c r="G26" s="39">
        <f>结算电量表!G60/B26</f>
        <v>293.15672727272727</v>
      </c>
      <c r="H26" s="39">
        <f>结算电量表!H60/B26</f>
        <v>216.72418181818179</v>
      </c>
      <c r="I26" s="39">
        <f>结算电量表!I60/B26</f>
        <v>205.79486868686868</v>
      </c>
      <c r="J26" s="39">
        <f>结算电量表!J60/B26</f>
        <v>163.85943434343434</v>
      </c>
      <c r="K26" s="39">
        <f>结算电量表!K60/B26</f>
        <v>280.43052525252523</v>
      </c>
      <c r="L26" s="39">
        <f>结算电量表!L60/B26</f>
        <v>297.49246464646467</v>
      </c>
      <c r="M26" s="39">
        <f>结算电量表!M60/B26</f>
        <v>212.52624242424241</v>
      </c>
      <c r="N26" s="39">
        <f>结算电量表!N60/B26</f>
        <v>227.82020202020203</v>
      </c>
      <c r="O26" s="49">
        <f>SUM(C26:N26)</f>
        <v>2759.5046868686868</v>
      </c>
    </row>
    <row r="27" spans="1:15" x14ac:dyDescent="0.15">
      <c r="A27" s="31" t="s">
        <v>152</v>
      </c>
      <c r="B27" s="32">
        <f>SUM(B28:B31)</f>
        <v>29.9</v>
      </c>
      <c r="C27" s="39">
        <f>结算电量表!C61/B27</f>
        <v>19.850167224080266</v>
      </c>
      <c r="D27" s="39">
        <f>结算电量表!D61/B27</f>
        <v>19.242591973244146</v>
      </c>
      <c r="E27" s="39">
        <f>结算电量表!E61/B27</f>
        <v>29.748153846153851</v>
      </c>
      <c r="F27" s="39">
        <f>结算电量表!F61/B27</f>
        <v>79.099036789297671</v>
      </c>
      <c r="G27" s="39">
        <f>结算电量表!G61/B27</f>
        <v>190.65562207357863</v>
      </c>
      <c r="H27" s="39">
        <f>结算电量表!H61/B27</f>
        <v>158.22113712374582</v>
      </c>
      <c r="I27" s="39">
        <f>结算电量表!I61/B27</f>
        <v>171.98090635451507</v>
      </c>
      <c r="J27" s="39">
        <f>结算电量表!J61/B27</f>
        <v>162.44408026755855</v>
      </c>
      <c r="K27" s="39">
        <f>结算电量表!K61/B27</f>
        <v>124.6311170568562</v>
      </c>
      <c r="L27" s="39">
        <f>结算电量表!L61/B27</f>
        <v>132.80936454849498</v>
      </c>
      <c r="M27" s="39">
        <f>结算电量表!M61/B27</f>
        <v>95.003006688963211</v>
      </c>
      <c r="N27" s="39">
        <f>结算电量表!N61/B27</f>
        <v>103.47157190635453</v>
      </c>
      <c r="O27" s="49">
        <f>SUM(O28:O31)</f>
        <v>5133.3592625252531</v>
      </c>
    </row>
    <row r="28" spans="1:15" x14ac:dyDescent="0.15">
      <c r="A28" s="31" t="s">
        <v>153</v>
      </c>
      <c r="B28" s="32">
        <v>4.95</v>
      </c>
      <c r="C28" s="39">
        <f>结算电量表!Q62/B28</f>
        <v>101.46666666666665</v>
      </c>
      <c r="D28" s="39">
        <f>结算电量表!D62/B28</f>
        <v>96.666666666666657</v>
      </c>
      <c r="E28" s="39">
        <f>结算电量表!E62/B28</f>
        <v>124.01129292929294</v>
      </c>
      <c r="F28" s="39">
        <f>结算电量表!F62/B28</f>
        <v>192.56109090909092</v>
      </c>
      <c r="G28" s="39">
        <f>结算电量表!G62/B28</f>
        <v>176.2479595959596</v>
      </c>
      <c r="H28" s="39">
        <f>结算电量表!H62/B28</f>
        <v>156.05177777777777</v>
      </c>
      <c r="I28" s="39">
        <f>结算电量表!I62/B28</f>
        <v>184.35187878787877</v>
      </c>
      <c r="J28" s="39">
        <f>结算电量表!J62/B28</f>
        <v>147.77466666666666</v>
      </c>
      <c r="K28" s="39">
        <f>结算电量表!K62/B28</f>
        <v>179.47317171717171</v>
      </c>
      <c r="L28" s="39">
        <f>结算电量表!L62/B28</f>
        <v>107.88858585858586</v>
      </c>
      <c r="M28" s="39">
        <f>结算电量表!M62/B28</f>
        <v>140.66955555555555</v>
      </c>
      <c r="N28" s="39">
        <f>结算电量表!N62/B28</f>
        <v>113.36270707070706</v>
      </c>
      <c r="O28" s="49">
        <f t="shared" ref="O28:O39" si="1">SUM(C28:N28)</f>
        <v>1720.5260202020202</v>
      </c>
    </row>
    <row r="29" spans="1:15" x14ac:dyDescent="0.15">
      <c r="A29" s="31" t="s">
        <v>186</v>
      </c>
      <c r="B29" s="32">
        <v>4.95</v>
      </c>
      <c r="C29" s="39">
        <f>结算电量表!C63/B29</f>
        <v>13.989050505050505</v>
      </c>
      <c r="D29" s="39">
        <f>结算电量表!D63/B29</f>
        <v>19.566363636363636</v>
      </c>
      <c r="E29" s="39">
        <f>结算电量表!E63/B29</f>
        <v>55.679575757575755</v>
      </c>
      <c r="F29" s="39">
        <f>结算电量表!F63/B29</f>
        <v>104.30191919191918</v>
      </c>
      <c r="G29" s="39">
        <f>结算电量表!G63/B29</f>
        <v>113.34539393939394</v>
      </c>
      <c r="H29" s="39">
        <f>结算电量表!H63/B29</f>
        <v>91.857232323232324</v>
      </c>
      <c r="I29" s="39">
        <f>结算电量表!I63/B29</f>
        <v>121.31763636363635</v>
      </c>
      <c r="J29" s="39">
        <f>结算电量表!J63/B29</f>
        <v>104.12777777777778</v>
      </c>
      <c r="K29" s="39">
        <f>结算电量表!K63/B29</f>
        <v>92.657252525252517</v>
      </c>
      <c r="L29" s="39">
        <f>结算电量表!L63/B29</f>
        <v>63.654808080808074</v>
      </c>
      <c r="M29" s="39">
        <f>结算电量表!M63/B29</f>
        <v>30.319393939393937</v>
      </c>
      <c r="N29" s="39">
        <f>结算电量表!N63/B29</f>
        <v>16.932828282828282</v>
      </c>
      <c r="O29" s="49">
        <f t="shared" si="1"/>
        <v>827.74923232323226</v>
      </c>
    </row>
    <row r="30" spans="1:15" x14ac:dyDescent="0.15">
      <c r="A30" s="31" t="s">
        <v>155</v>
      </c>
      <c r="B30" s="32">
        <v>10</v>
      </c>
      <c r="C30" s="39">
        <f>结算电量表!C64/B30</f>
        <v>0</v>
      </c>
      <c r="D30" s="39">
        <f>结算电量表!D64/B30</f>
        <v>0</v>
      </c>
      <c r="E30" s="39">
        <f>结算电量表!E64/B30</f>
        <v>0</v>
      </c>
      <c r="F30" s="39">
        <f>结算电量表!F64/B30</f>
        <v>30.578530000000001</v>
      </c>
      <c r="G30" s="39">
        <f>结算电量表!G64/B30</f>
        <v>221.26059000000001</v>
      </c>
      <c r="H30" s="39">
        <f>结算电量表!H64/B30</f>
        <v>178.89508000000001</v>
      </c>
      <c r="I30" s="39">
        <f>结算电量表!I64/B30</f>
        <v>190.41081</v>
      </c>
      <c r="J30" s="39">
        <f>结算电量表!J64/B30</f>
        <v>175.31292999999999</v>
      </c>
      <c r="K30" s="39">
        <f>结算电量表!K64/B30</f>
        <v>120.68202000000001</v>
      </c>
      <c r="L30" s="39">
        <f>结算电量表!L64/B30</f>
        <v>159.70043000000001</v>
      </c>
      <c r="M30" s="39">
        <f>结算电量表!M64/B30</f>
        <v>100.17193999999999</v>
      </c>
      <c r="N30" s="39">
        <f>结算电量表!N64/B30</f>
        <v>135.93805</v>
      </c>
      <c r="O30" s="49">
        <f t="shared" si="1"/>
        <v>1312.95038</v>
      </c>
    </row>
    <row r="31" spans="1:15" x14ac:dyDescent="0.15">
      <c r="A31" s="31" t="s">
        <v>156</v>
      </c>
      <c r="B31" s="32">
        <v>10</v>
      </c>
      <c r="C31" s="39">
        <f>结算电量表!C65/B31</f>
        <v>0</v>
      </c>
      <c r="D31" s="39">
        <f>结算电量表!D65/B31</f>
        <v>0</v>
      </c>
      <c r="E31" s="39">
        <f>结算电量表!E65/B31</f>
        <v>0</v>
      </c>
      <c r="F31" s="39">
        <f>结算电量表!F65/B31</f>
        <v>58.980399999999996</v>
      </c>
      <c r="G31" s="39">
        <f>结算电量表!G65/B31</f>
        <v>205.45101</v>
      </c>
      <c r="H31" s="39">
        <f>结算电量表!H65/B31</f>
        <v>171.47116</v>
      </c>
      <c r="I31" s="39">
        <f>结算电量表!I65/B31</f>
        <v>172.50569000000002</v>
      </c>
      <c r="J31" s="39">
        <f>结算电量表!J65/B31</f>
        <v>185.70316</v>
      </c>
      <c r="K31" s="39">
        <f>结算电量表!K65/B31</f>
        <v>117.26045999999999</v>
      </c>
      <c r="L31" s="39">
        <f>结算电量表!L65/B31</f>
        <v>152.50083999999998</v>
      </c>
      <c r="M31" s="39">
        <f>结算电量表!M65/B31</f>
        <v>99.247519999999994</v>
      </c>
      <c r="N31" s="39">
        <f>结算电量表!N65/B31</f>
        <v>109.01339</v>
      </c>
      <c r="O31" s="49">
        <f t="shared" si="1"/>
        <v>1272.1336299999998</v>
      </c>
    </row>
    <row r="32" spans="1:15" x14ac:dyDescent="0.15">
      <c r="A32" s="31" t="s">
        <v>157</v>
      </c>
      <c r="B32" s="32">
        <v>4.95</v>
      </c>
      <c r="C32" s="39">
        <f>结算电量表!C66/B32</f>
        <v>37.954424242424246</v>
      </c>
      <c r="D32" s="39">
        <f>结算电量表!D66/B32</f>
        <v>52.659616161616157</v>
      </c>
      <c r="E32" s="39">
        <f>结算电量表!E66/B32</f>
        <v>120.50313131313131</v>
      </c>
      <c r="F32" s="39">
        <f>结算电量表!F66/B32</f>
        <v>220.44127272727269</v>
      </c>
      <c r="G32" s="39">
        <f>结算电量表!G66/B32</f>
        <v>204.89319191919191</v>
      </c>
      <c r="H32" s="39">
        <f>结算电量表!H66/B32</f>
        <v>233.14660606060608</v>
      </c>
      <c r="I32" s="39">
        <f>结算电量表!I66/B32</f>
        <v>283.36412121212118</v>
      </c>
      <c r="J32" s="39">
        <f>结算电量表!J66/B32</f>
        <v>246.94036363636363</v>
      </c>
      <c r="K32" s="39">
        <f>结算电量表!K66/B32</f>
        <v>175.80606060606061</v>
      </c>
      <c r="L32" s="39">
        <f>结算电量表!L66/B32</f>
        <v>112.0681616161616</v>
      </c>
      <c r="M32" s="39">
        <f>结算电量表!M66/B32</f>
        <v>83.228020202020204</v>
      </c>
      <c r="N32" s="39">
        <f>结算电量表!N66/B32</f>
        <v>49.683777777777777</v>
      </c>
      <c r="O32" s="49">
        <f t="shared" si="1"/>
        <v>1820.6887474747473</v>
      </c>
    </row>
    <row r="33" spans="1:15" x14ac:dyDescent="0.15">
      <c r="A33" s="31" t="s">
        <v>158</v>
      </c>
      <c r="B33" s="32">
        <v>2.8</v>
      </c>
      <c r="C33" s="39">
        <f>结算电量表!C67/B33</f>
        <v>103.44642857142857</v>
      </c>
      <c r="D33" s="39">
        <f>结算电量表!D67/B33</f>
        <v>91.378571428571433</v>
      </c>
      <c r="E33" s="39">
        <f>结算电量表!E67/B33</f>
        <v>118.62857142857145</v>
      </c>
      <c r="F33" s="39">
        <f>结算电量表!F67/B33</f>
        <v>114.22500000000001</v>
      </c>
      <c r="G33" s="39">
        <f>结算电量表!G67/B33</f>
        <v>155.88214285714287</v>
      </c>
      <c r="H33" s="39">
        <f>结算电量表!H67/B33</f>
        <v>105.79642857142858</v>
      </c>
      <c r="I33" s="39">
        <f>结算电量表!I67/B33</f>
        <v>110.75714285714287</v>
      </c>
      <c r="J33" s="39">
        <f>结算电量表!J67/B33</f>
        <v>126.58178571428572</v>
      </c>
      <c r="K33" s="39">
        <f>结算电量表!K67/B33</f>
        <v>116.04285714285716</v>
      </c>
      <c r="L33" s="39">
        <f>结算电量表!L67/B33</f>
        <v>125.91428571428573</v>
      </c>
      <c r="M33" s="39">
        <f>结算电量表!M67/B33</f>
        <v>111.93928571428572</v>
      </c>
      <c r="N33" s="39">
        <f>结算电量表!N67/B33</f>
        <v>103.75</v>
      </c>
      <c r="O33" s="49">
        <f t="shared" si="1"/>
        <v>1384.3425000000002</v>
      </c>
    </row>
    <row r="34" spans="1:15" x14ac:dyDescent="0.15">
      <c r="A34" s="31" t="s">
        <v>159</v>
      </c>
      <c r="B34" s="32">
        <v>3</v>
      </c>
      <c r="C34" s="39">
        <f>结算电量表!C68/B34</f>
        <v>181.07000000000002</v>
      </c>
      <c r="D34" s="39">
        <f>结算电量表!D68/B34</f>
        <v>186.33333333333334</v>
      </c>
      <c r="E34" s="39">
        <f>结算电量表!E68/B34</f>
        <v>218.41333333333333</v>
      </c>
      <c r="F34" s="39">
        <f>结算电量表!F68/B34</f>
        <v>273.68333333333334</v>
      </c>
      <c r="G34" s="39">
        <f>结算电量表!G68/B34</f>
        <v>295.3966666666667</v>
      </c>
      <c r="H34" s="39">
        <f>结算电量表!H68/B34</f>
        <v>260.77</v>
      </c>
      <c r="I34" s="39">
        <f>结算电量表!I68/B34</f>
        <v>237.02803333333335</v>
      </c>
      <c r="J34" s="39">
        <f>结算电量表!J68/B34</f>
        <v>197.59</v>
      </c>
      <c r="K34" s="39">
        <f>结算电量表!K68/B34</f>
        <v>204.01333333333332</v>
      </c>
      <c r="L34" s="39">
        <f>结算电量表!L68/B34</f>
        <v>219.53333333333333</v>
      </c>
      <c r="M34" s="39">
        <f>结算电量表!M68/B34</f>
        <v>192.33333333333334</v>
      </c>
      <c r="N34" s="39">
        <f>结算电量表!N68/B34</f>
        <v>217.39333333333332</v>
      </c>
      <c r="O34" s="49">
        <f t="shared" si="1"/>
        <v>2683.5580333333337</v>
      </c>
    </row>
    <row r="35" spans="1:15" x14ac:dyDescent="0.15">
      <c r="A35" s="31" t="s">
        <v>160</v>
      </c>
      <c r="B35" s="32">
        <v>5</v>
      </c>
      <c r="C35" s="39">
        <f>结算电量表!C69/B35</f>
        <v>49.302</v>
      </c>
      <c r="D35" s="39">
        <f>结算电量表!D69/B35</f>
        <v>62.748000000000005</v>
      </c>
      <c r="E35" s="39">
        <f>结算电量表!E69/B35</f>
        <v>79.224000000000004</v>
      </c>
      <c r="F35" s="39">
        <f>结算电量表!F69/B35</f>
        <v>85.17</v>
      </c>
      <c r="G35" s="39">
        <f>结算电量表!G69/B35</f>
        <v>86.24</v>
      </c>
      <c r="H35" s="39">
        <f>结算电量表!H69/B35</f>
        <v>80.804000000000002</v>
      </c>
      <c r="I35" s="39">
        <f>结算电量表!I69/B35</f>
        <v>75.430679999999995</v>
      </c>
      <c r="J35" s="39">
        <f>结算电量表!J69/B35</f>
        <v>72.664739999999995</v>
      </c>
      <c r="K35" s="39">
        <f>结算电量表!K69/B35</f>
        <v>70.872</v>
      </c>
      <c r="L35" s="39">
        <f>结算电量表!L69/B35</f>
        <v>64.994</v>
      </c>
      <c r="M35" s="39">
        <f>结算电量表!M69/B35</f>
        <v>67.768000000000001</v>
      </c>
      <c r="N35" s="39">
        <f>结算电量表!N69/B35</f>
        <v>61.908000000000001</v>
      </c>
      <c r="O35" s="49">
        <f t="shared" si="1"/>
        <v>857.12541999999996</v>
      </c>
    </row>
    <row r="36" spans="1:15" x14ac:dyDescent="0.15">
      <c r="A36" s="31" t="s">
        <v>95</v>
      </c>
      <c r="B36" s="32">
        <f>SUM(B23:B27,B32:B35)</f>
        <v>90.050000000000011</v>
      </c>
      <c r="C36" s="39">
        <f>结算电量表!C70/B36</f>
        <v>67.792456413103821</v>
      </c>
      <c r="D36" s="39">
        <f>结算电量表!D70/B36</f>
        <v>70.761009439200421</v>
      </c>
      <c r="E36" s="39">
        <f>结算电量表!E70/B36</f>
        <v>97.011091615769004</v>
      </c>
      <c r="F36" s="39">
        <f>结算电量表!F70/B36</f>
        <v>124.35593559133814</v>
      </c>
      <c r="G36" s="39">
        <f>结算电量表!G70/B36</f>
        <v>173.86723264852859</v>
      </c>
      <c r="H36" s="39">
        <f>结算电量表!H70/B36</f>
        <v>129.51530594114379</v>
      </c>
      <c r="I36" s="39">
        <f>结算电量表!I70/B36</f>
        <v>152.09278400888391</v>
      </c>
      <c r="J36" s="39">
        <f>结算电量表!J70/B36</f>
        <v>151.36760133259298</v>
      </c>
      <c r="K36" s="39">
        <f>结算电量表!K70/B36</f>
        <v>125.40701277068294</v>
      </c>
      <c r="L36" s="39">
        <f>结算电量表!L70/B36</f>
        <v>134.07681954469737</v>
      </c>
      <c r="M36" s="39">
        <f>结算电量表!M70/B36</f>
        <v>110.58893725707939</v>
      </c>
      <c r="N36" s="39">
        <f>结算电量表!N70/B36</f>
        <v>139.77348139922265</v>
      </c>
      <c r="O36" s="49">
        <f t="shared" si="1"/>
        <v>1476.6096679622431</v>
      </c>
    </row>
    <row r="37" spans="1:15" x14ac:dyDescent="0.15">
      <c r="A37" s="38" t="s">
        <v>163</v>
      </c>
      <c r="B37" s="32">
        <v>4.8</v>
      </c>
      <c r="C37" s="39">
        <f>结算电量表!C73/B37</f>
        <v>498.35</v>
      </c>
      <c r="D37" s="39">
        <f>结算电量表!D73/B37</f>
        <v>401.29166666666669</v>
      </c>
      <c r="E37" s="39">
        <f>结算电量表!E73/B37</f>
        <v>455.58043749999996</v>
      </c>
      <c r="F37" s="39">
        <f>结算电量表!F73/B37</f>
        <v>327.68958333333336</v>
      </c>
      <c r="G37" s="39">
        <f>结算电量表!G73/B37</f>
        <v>208.38958333333335</v>
      </c>
      <c r="H37" s="39">
        <f>结算电量表!H73/B37</f>
        <v>147.08541666666667</v>
      </c>
      <c r="I37" s="39">
        <f>结算电量表!I73/B37</f>
        <v>96.07083333333334</v>
      </c>
      <c r="J37" s="39">
        <f>结算电量表!J73/B37</f>
        <v>122.75416666666668</v>
      </c>
      <c r="K37" s="39">
        <f>结算电量表!K73/B37</f>
        <v>165.70833333333334</v>
      </c>
      <c r="L37" s="39">
        <f>结算电量表!L73/B37</f>
        <v>262.73333333333335</v>
      </c>
      <c r="M37" s="39">
        <f>结算电量表!M73/B37</f>
        <v>690.12083333333339</v>
      </c>
      <c r="N37" s="39">
        <f>结算电量表!N73/B37</f>
        <v>692.75416666666661</v>
      </c>
      <c r="O37" s="50">
        <f t="shared" si="1"/>
        <v>4068.5283541666668</v>
      </c>
    </row>
    <row r="38" spans="1:15" x14ac:dyDescent="0.15">
      <c r="A38" s="38" t="s">
        <v>164</v>
      </c>
      <c r="B38" s="32">
        <v>4.8</v>
      </c>
      <c r="C38" s="39">
        <f>结算电量表!C74/B38</f>
        <v>206.17500000000001</v>
      </c>
      <c r="D38" s="39">
        <f>结算电量表!D74/B38</f>
        <v>353.64</v>
      </c>
      <c r="E38" s="39">
        <f>结算电量表!E74/B38</f>
        <v>473.0020833333333</v>
      </c>
      <c r="F38" s="39">
        <f>结算电量表!F74/B38</f>
        <v>330.19375000000002</v>
      </c>
      <c r="G38" s="39">
        <f>结算电量表!G74/B38</f>
        <v>176.95225000000002</v>
      </c>
      <c r="H38" s="39">
        <f>结算电量表!H74/B38</f>
        <v>131.25624999999999</v>
      </c>
      <c r="I38" s="39">
        <f>结算电量表!I74/B38</f>
        <v>84.405895833333332</v>
      </c>
      <c r="J38" s="39">
        <f>结算电量表!J74/B38</f>
        <v>108.79558333333334</v>
      </c>
      <c r="K38" s="39">
        <f>结算电量表!K74/B38</f>
        <v>114.00625000000001</v>
      </c>
      <c r="L38" s="39">
        <f>结算电量表!L74/B38</f>
        <v>115.72416666666668</v>
      </c>
      <c r="M38" s="39">
        <f>结算电量表!M74/B38</f>
        <v>241.70447916666666</v>
      </c>
      <c r="N38" s="39">
        <f>结算电量表!N74/B38</f>
        <v>225.59972916666666</v>
      </c>
      <c r="O38" s="50">
        <f t="shared" si="1"/>
        <v>2561.4554374999998</v>
      </c>
    </row>
    <row r="39" spans="1:15" x14ac:dyDescent="0.15">
      <c r="A39" s="38" t="s">
        <v>165</v>
      </c>
      <c r="B39" s="32">
        <v>2</v>
      </c>
      <c r="C39" s="39">
        <f>结算电量表!C75/B39</f>
        <v>169.82</v>
      </c>
      <c r="D39" s="39">
        <f>结算电量表!D75/B39</f>
        <v>160.16</v>
      </c>
      <c r="E39" s="39">
        <f>结算电量表!E75/B39</f>
        <v>154.285</v>
      </c>
      <c r="F39" s="39">
        <f>结算电量表!F75/B39</f>
        <v>125.932</v>
      </c>
      <c r="G39" s="39">
        <f>结算电量表!G75/B39</f>
        <v>121.785</v>
      </c>
      <c r="H39" s="39">
        <f>结算电量表!H75/B39</f>
        <v>145.44</v>
      </c>
      <c r="I39" s="39">
        <f>结算电量表!I75/B39</f>
        <v>107.34350000000001</v>
      </c>
      <c r="J39" s="39">
        <f>结算电量表!J75/B39</f>
        <v>119.5615</v>
      </c>
      <c r="K39" s="39">
        <f>结算电量表!K75/B39</f>
        <v>131.38</v>
      </c>
      <c r="L39" s="39">
        <f>结算电量表!L75/B39</f>
        <v>137.43</v>
      </c>
      <c r="M39" s="39">
        <f>结算电量表!M75/B39</f>
        <v>137.9</v>
      </c>
      <c r="N39" s="39">
        <f>结算电量表!N75/B39</f>
        <v>149.72550000000001</v>
      </c>
      <c r="O39" s="49">
        <f t="shared" si="1"/>
        <v>1660.7625</v>
      </c>
    </row>
    <row r="41" spans="1:15" ht="14.25" x14ac:dyDescent="0.15">
      <c r="A41" s="27" t="s">
        <v>170</v>
      </c>
      <c r="B41" s="28" t="s">
        <v>267</v>
      </c>
      <c r="C41" s="29" t="s">
        <v>83</v>
      </c>
      <c r="D41" s="30" t="s">
        <v>84</v>
      </c>
      <c r="E41" s="30" t="s">
        <v>85</v>
      </c>
      <c r="F41" s="30" t="s">
        <v>86</v>
      </c>
      <c r="G41" s="30" t="s">
        <v>87</v>
      </c>
      <c r="H41" s="30" t="s">
        <v>88</v>
      </c>
      <c r="I41" s="30" t="s">
        <v>89</v>
      </c>
      <c r="J41" s="30" t="s">
        <v>90</v>
      </c>
      <c r="K41" s="30" t="s">
        <v>91</v>
      </c>
      <c r="L41" s="30" t="s">
        <v>92</v>
      </c>
      <c r="M41" s="30" t="s">
        <v>93</v>
      </c>
      <c r="N41" s="30" t="s">
        <v>94</v>
      </c>
      <c r="O41" s="44" t="s">
        <v>111</v>
      </c>
    </row>
    <row r="42" spans="1:15" x14ac:dyDescent="0.15">
      <c r="A42" s="31" t="s">
        <v>148</v>
      </c>
      <c r="B42" s="32">
        <v>9.4499999999999993</v>
      </c>
      <c r="C42" s="33">
        <f>结算电量表!C90/$B42</f>
        <v>148.15551322751324</v>
      </c>
      <c r="D42" s="33">
        <f>结算电量表!D90/$B42</f>
        <v>154.9873015873016</v>
      </c>
      <c r="E42" s="33">
        <f>结算电量表!E90/$B42</f>
        <v>178.73121693121695</v>
      </c>
      <c r="F42" s="33">
        <f>结算电量表!F90/$B42</f>
        <v>185.90158730158731</v>
      </c>
      <c r="G42" s="33">
        <f>结算电量表!G90/$B42</f>
        <v>0</v>
      </c>
      <c r="H42" s="33">
        <f>结算电量表!H90/$B42</f>
        <v>0</v>
      </c>
      <c r="I42" s="33">
        <f>结算电量表!I90/$B42</f>
        <v>0</v>
      </c>
      <c r="J42" s="33">
        <f>结算电量表!J90/$B42</f>
        <v>0</v>
      </c>
      <c r="K42" s="33">
        <f>结算电量表!K90/$B42</f>
        <v>0</v>
      </c>
      <c r="L42" s="33">
        <f>结算电量表!L90/$B42</f>
        <v>0</v>
      </c>
      <c r="M42" s="33">
        <f>结算电量表!M90/$B42</f>
        <v>0</v>
      </c>
      <c r="N42" s="33">
        <f>结算电量表!N90/$B42</f>
        <v>0</v>
      </c>
      <c r="O42" s="33">
        <f>结算电量表!O90/$B42</f>
        <v>667.7756190476191</v>
      </c>
    </row>
    <row r="43" spans="1:15" x14ac:dyDescent="0.15">
      <c r="A43" s="31" t="s">
        <v>149</v>
      </c>
      <c r="B43" s="32">
        <v>9.9</v>
      </c>
      <c r="C43" s="33">
        <f>结算电量表!C91/$B43</f>
        <v>132.52222222222221</v>
      </c>
      <c r="D43" s="33">
        <f>结算电量表!D91/$B43</f>
        <v>99.160535353535352</v>
      </c>
      <c r="E43" s="33">
        <f>结算电量表!E91/$B43</f>
        <v>126.93333333333334</v>
      </c>
      <c r="F43" s="33">
        <f>结算电量表!F91/$B43</f>
        <v>147.5221313131313</v>
      </c>
      <c r="G43" s="33">
        <f>结算电量表!G91/$B43</f>
        <v>0</v>
      </c>
      <c r="H43" s="33">
        <f>结算电量表!H91/$B43</f>
        <v>0</v>
      </c>
      <c r="I43" s="33">
        <f>结算电量表!I91/$B43</f>
        <v>0</v>
      </c>
      <c r="J43" s="33">
        <f>结算电量表!J91/$B43</f>
        <v>0</v>
      </c>
      <c r="K43" s="33">
        <f>结算电量表!K91/$B43</f>
        <v>0</v>
      </c>
      <c r="L43" s="33">
        <f>结算电量表!L91/$B43</f>
        <v>0</v>
      </c>
      <c r="M43" s="33">
        <f>结算电量表!M91/$B43</f>
        <v>0</v>
      </c>
      <c r="N43" s="33">
        <f>结算电量表!N91/$B43</f>
        <v>0</v>
      </c>
      <c r="O43" s="33">
        <f>结算电量表!O91/$B43</f>
        <v>506.13822222222228</v>
      </c>
    </row>
    <row r="44" spans="1:15" x14ac:dyDescent="0.15">
      <c r="A44" s="31" t="s">
        <v>150</v>
      </c>
      <c r="B44" s="32">
        <v>20.100000000000001</v>
      </c>
      <c r="C44" s="33">
        <f>结算电量表!C92/$B44</f>
        <v>115.4835422885572</v>
      </c>
      <c r="D44" s="33">
        <f>结算电量表!D92/$B44</f>
        <v>94.265671641791045</v>
      </c>
      <c r="E44" s="33">
        <f>结算电量表!E92/$B44</f>
        <v>106.32139303482586</v>
      </c>
      <c r="F44" s="33">
        <f>结算电量表!F92/$B44</f>
        <v>144.44825870646764</v>
      </c>
      <c r="G44" s="33">
        <f>结算电量表!G92/$B44</f>
        <v>0</v>
      </c>
      <c r="H44" s="33">
        <f>结算电量表!H92/$B44</f>
        <v>0</v>
      </c>
      <c r="I44" s="33">
        <f>结算电量表!I92/$B44</f>
        <v>0</v>
      </c>
      <c r="J44" s="33">
        <f>结算电量表!J92/$B44</f>
        <v>0</v>
      </c>
      <c r="K44" s="33">
        <f>结算电量表!K92/$B44</f>
        <v>0</v>
      </c>
      <c r="L44" s="33">
        <f>结算电量表!L92/$B44</f>
        <v>0</v>
      </c>
      <c r="M44" s="33">
        <f>结算电量表!M92/$B44</f>
        <v>0</v>
      </c>
      <c r="N44" s="33">
        <f>结算电量表!N92/$B44</f>
        <v>0</v>
      </c>
      <c r="O44" s="33">
        <f>结算电量表!O92/$B44</f>
        <v>460.51886567164178</v>
      </c>
    </row>
    <row r="45" spans="1:15" x14ac:dyDescent="0.15">
      <c r="A45" s="31" t="s">
        <v>151</v>
      </c>
      <c r="B45" s="32">
        <v>9.9</v>
      </c>
      <c r="C45" s="33">
        <f>结算电量表!C93/$B45</f>
        <v>172.40040404040403</v>
      </c>
      <c r="D45" s="33">
        <f>结算电量表!D93/$B45</f>
        <v>152.79797979797979</v>
      </c>
      <c r="E45" s="33">
        <f>结算电量表!E93/$B45</f>
        <v>145.74722222222223</v>
      </c>
      <c r="F45" s="33">
        <f>结算电量表!F93/$B45</f>
        <v>266.41807070707068</v>
      </c>
      <c r="G45" s="33">
        <f>结算电量表!G93/$B45</f>
        <v>0</v>
      </c>
      <c r="H45" s="33">
        <f>结算电量表!H93/$B45</f>
        <v>0</v>
      </c>
      <c r="I45" s="33">
        <f>结算电量表!I93/$B45</f>
        <v>0</v>
      </c>
      <c r="J45" s="33">
        <f>结算电量表!J93/$B45</f>
        <v>0</v>
      </c>
      <c r="K45" s="33">
        <f>结算电量表!K93/$B45</f>
        <v>0</v>
      </c>
      <c r="L45" s="33">
        <f>结算电量表!L93/$B45</f>
        <v>0</v>
      </c>
      <c r="M45" s="33">
        <f>结算电量表!M93/$B45</f>
        <v>0</v>
      </c>
      <c r="N45" s="33">
        <f>结算电量表!N93/$B45</f>
        <v>0</v>
      </c>
      <c r="O45" s="33">
        <f>结算电量表!O93/$B45</f>
        <v>737.36367676767679</v>
      </c>
    </row>
    <row r="46" spans="1:15" x14ac:dyDescent="0.15">
      <c r="A46" s="31" t="s">
        <v>152</v>
      </c>
      <c r="B46" s="32">
        <f>SUM(B47:B50)</f>
        <v>29.9</v>
      </c>
      <c r="C46" s="33">
        <f>结算电量表!C94/$B46</f>
        <v>196.17625418060203</v>
      </c>
      <c r="D46" s="33">
        <f>结算电量表!D94/$B46</f>
        <v>82.274247491638803</v>
      </c>
      <c r="E46" s="33">
        <f>结算电量表!E94/$B46</f>
        <v>193.13067558528431</v>
      </c>
      <c r="F46" s="33">
        <f>结算电量表!F94/$B46</f>
        <v>187.59586287625419</v>
      </c>
      <c r="G46" s="33">
        <f>结算电量表!G94/$B46</f>
        <v>0</v>
      </c>
      <c r="H46" s="33">
        <f>结算电量表!H94/$B46</f>
        <v>0</v>
      </c>
      <c r="I46" s="33">
        <f>结算电量表!I94/$B46</f>
        <v>0</v>
      </c>
      <c r="J46" s="33">
        <f>结算电量表!J94/$B46</f>
        <v>0</v>
      </c>
      <c r="K46" s="33">
        <f>结算电量表!K94/$B46</f>
        <v>0</v>
      </c>
      <c r="L46" s="33">
        <f>结算电量表!L94/$B46</f>
        <v>0</v>
      </c>
      <c r="M46" s="33">
        <f>结算电量表!M94/$B46</f>
        <v>0</v>
      </c>
      <c r="N46" s="33">
        <f>结算电量表!N94/$B46</f>
        <v>0</v>
      </c>
      <c r="O46" s="33">
        <f>结算电量表!O94/$B46</f>
        <v>659.1770401337792</v>
      </c>
    </row>
    <row r="47" spans="1:15" x14ac:dyDescent="0.15">
      <c r="A47" s="31" t="s">
        <v>153</v>
      </c>
      <c r="B47" s="32">
        <v>4.95</v>
      </c>
      <c r="C47" s="33">
        <f>结算电量表!C95/$B47</f>
        <v>199.29882828282825</v>
      </c>
      <c r="D47" s="33">
        <f>结算电量表!D95/$B47</f>
        <v>140.30270707070704</v>
      </c>
      <c r="E47" s="33">
        <f>结算电量表!E95/$B47</f>
        <v>194.34911111111111</v>
      </c>
      <c r="F47" s="33">
        <f>结算电量表!F95/$B47</f>
        <v>164.47333333333333</v>
      </c>
      <c r="G47" s="33">
        <f>结算电量表!G95/$B47</f>
        <v>0</v>
      </c>
      <c r="H47" s="33">
        <f>结算电量表!H95/$B47</f>
        <v>0</v>
      </c>
      <c r="I47" s="33">
        <f>结算电量表!I95/$B47</f>
        <v>0</v>
      </c>
      <c r="J47" s="33">
        <f>结算电量表!J95/$B47</f>
        <v>0</v>
      </c>
      <c r="K47" s="33">
        <f>结算电量表!K95/$B47</f>
        <v>0</v>
      </c>
      <c r="L47" s="33">
        <f>结算电量表!L95/$B47</f>
        <v>0</v>
      </c>
      <c r="M47" s="33">
        <f>结算电量表!M95/$B47</f>
        <v>0</v>
      </c>
      <c r="N47" s="33">
        <f>结算电量表!N95/$B47</f>
        <v>0</v>
      </c>
      <c r="O47" s="33">
        <f>结算电量表!O95/$B47</f>
        <v>698.42397979797977</v>
      </c>
    </row>
    <row r="48" spans="1:15" x14ac:dyDescent="0.15">
      <c r="A48" s="31" t="s">
        <v>186</v>
      </c>
      <c r="B48" s="32">
        <v>4.95</v>
      </c>
      <c r="C48" s="33">
        <f>结算电量表!C96/$B48</f>
        <v>27.70020202020202</v>
      </c>
      <c r="D48" s="33">
        <f>结算电量表!D96/$B48</f>
        <v>30.352626262626259</v>
      </c>
      <c r="E48" s="33">
        <f>结算电量表!E96/$B48</f>
        <v>68.220262626262624</v>
      </c>
      <c r="F48" s="33">
        <f>结算电量表!F96/$B48</f>
        <v>108.64313131313131</v>
      </c>
      <c r="G48" s="33">
        <f>结算电量表!G96/$B48</f>
        <v>0</v>
      </c>
      <c r="H48" s="33">
        <f>结算电量表!H96/$B48</f>
        <v>0</v>
      </c>
      <c r="I48" s="33">
        <f>结算电量表!I96/$B48</f>
        <v>0</v>
      </c>
      <c r="J48" s="33">
        <f>结算电量表!J96/$B48</f>
        <v>0</v>
      </c>
      <c r="K48" s="33">
        <f>结算电量表!K96/$B48</f>
        <v>0</v>
      </c>
      <c r="L48" s="33">
        <f>结算电量表!L96/$B48</f>
        <v>0</v>
      </c>
      <c r="M48" s="33">
        <f>结算电量表!M96/$B48</f>
        <v>0</v>
      </c>
      <c r="N48" s="33">
        <f>结算电量表!N96/$B48</f>
        <v>0</v>
      </c>
      <c r="O48" s="33">
        <f>结算电量表!O96/$B48</f>
        <v>234.91622222222222</v>
      </c>
    </row>
    <row r="49" spans="1:15" x14ac:dyDescent="0.15">
      <c r="A49" s="31" t="s">
        <v>155</v>
      </c>
      <c r="B49" s="32">
        <v>10</v>
      </c>
      <c r="C49" s="33">
        <f>结算电量表!C97/$B49</f>
        <v>246.24349000000001</v>
      </c>
      <c r="D49" s="33">
        <f>结算电量表!D97/$B49</f>
        <v>76.192350000000005</v>
      </c>
      <c r="E49" s="33">
        <f>结算电量表!E97/$B49</f>
        <v>243.34672999999998</v>
      </c>
      <c r="F49" s="33">
        <f>结算电量表!F97/$B49</f>
        <v>219.60079999999999</v>
      </c>
      <c r="G49" s="33">
        <f>结算电量表!G97/$B49</f>
        <v>0</v>
      </c>
      <c r="H49" s="33">
        <f>结算电量表!H97/$B49</f>
        <v>0</v>
      </c>
      <c r="I49" s="33">
        <f>结算电量表!I97/$B49</f>
        <v>0</v>
      </c>
      <c r="J49" s="33">
        <f>结算电量表!J97/$B49</f>
        <v>0</v>
      </c>
      <c r="K49" s="33">
        <f>结算电量表!K97/$B49</f>
        <v>0</v>
      </c>
      <c r="L49" s="33">
        <f>结算电量表!L97/$B49</f>
        <v>0</v>
      </c>
      <c r="M49" s="33">
        <f>结算电量表!M97/$B49</f>
        <v>0</v>
      </c>
      <c r="N49" s="33">
        <f>结算电量表!N97/$B49</f>
        <v>0</v>
      </c>
      <c r="O49" s="33">
        <f>结算电量表!O97/$B49</f>
        <v>785.3833699999999</v>
      </c>
    </row>
    <row r="50" spans="1:15" x14ac:dyDescent="0.15">
      <c r="A50" s="31" t="s">
        <v>156</v>
      </c>
      <c r="B50" s="32">
        <v>10</v>
      </c>
      <c r="C50" s="33">
        <f>结算电量表!C98/$B50</f>
        <v>227.95909999999998</v>
      </c>
      <c r="D50" s="33">
        <f>结算电量表!D98/$B50</f>
        <v>85.336789999999993</v>
      </c>
      <c r="E50" s="33">
        <f>结算电量表!E98/$B50</f>
        <v>204.14214999999999</v>
      </c>
      <c r="F50" s="33">
        <f>结算电量表!F98/$B50</f>
        <v>206.11818</v>
      </c>
      <c r="G50" s="33">
        <f>结算电量表!G98/$B50</f>
        <v>0</v>
      </c>
      <c r="H50" s="33">
        <f>结算电量表!H98/$B50</f>
        <v>0</v>
      </c>
      <c r="I50" s="33">
        <f>结算电量表!I98/$B50</f>
        <v>0</v>
      </c>
      <c r="J50" s="33">
        <f>结算电量表!J98/$B50</f>
        <v>0</v>
      </c>
      <c r="K50" s="33">
        <f>结算电量表!K98/$B50</f>
        <v>0</v>
      </c>
      <c r="L50" s="33">
        <f>结算电量表!L98/$B50</f>
        <v>0</v>
      </c>
      <c r="M50" s="33">
        <f>结算电量表!M98/$B50</f>
        <v>0</v>
      </c>
      <c r="N50" s="33">
        <f>结算电量表!N98/$B50</f>
        <v>0</v>
      </c>
      <c r="O50" s="33">
        <f>结算电量表!O98/$B50</f>
        <v>723.55622000000005</v>
      </c>
    </row>
    <row r="51" spans="1:15" x14ac:dyDescent="0.15">
      <c r="A51" s="31" t="s">
        <v>157</v>
      </c>
      <c r="B51" s="32">
        <v>4.95</v>
      </c>
      <c r="C51" s="33">
        <f>结算电量表!C99/$B51</f>
        <v>69.501010101010095</v>
      </c>
      <c r="D51" s="33">
        <f>结算电量表!D99/$B51</f>
        <v>62.674747474747477</v>
      </c>
      <c r="E51" s="33">
        <f>结算电量表!E99/$B51</f>
        <v>141.81347474747474</v>
      </c>
      <c r="F51" s="33">
        <f>结算电量表!F99/$B51</f>
        <v>173.18979797979796</v>
      </c>
      <c r="G51" s="33">
        <f>结算电量表!G99/$B51</f>
        <v>0</v>
      </c>
      <c r="H51" s="33">
        <f>结算电量表!H99/$B51</f>
        <v>0</v>
      </c>
      <c r="I51" s="33">
        <f>结算电量表!I99/$B51</f>
        <v>0</v>
      </c>
      <c r="J51" s="33">
        <f>结算电量表!J99/$B51</f>
        <v>0</v>
      </c>
      <c r="K51" s="33">
        <f>结算电量表!K99/$B51</f>
        <v>0</v>
      </c>
      <c r="L51" s="33">
        <f>结算电量表!L99/$B51</f>
        <v>0</v>
      </c>
      <c r="M51" s="33">
        <f>结算电量表!M99/$B51</f>
        <v>0</v>
      </c>
      <c r="N51" s="33">
        <f>结算电量表!N99/$B51</f>
        <v>0</v>
      </c>
      <c r="O51" s="33">
        <f>结算电量表!O99/$B51</f>
        <v>447.17903030303029</v>
      </c>
    </row>
    <row r="52" spans="1:15" x14ac:dyDescent="0.15">
      <c r="A52" s="31" t="s">
        <v>158</v>
      </c>
      <c r="B52" s="32">
        <v>2.8</v>
      </c>
      <c r="C52" s="33">
        <f>结算电量表!C100/$B52</f>
        <v>105.0607142857143</v>
      </c>
      <c r="D52" s="33">
        <f>结算电量表!D100/$B52</f>
        <v>133.31428571428572</v>
      </c>
      <c r="E52" s="33">
        <f>结算电量表!E100/$B52</f>
        <v>146</v>
      </c>
      <c r="F52" s="33">
        <f>结算电量表!F100/$B52</f>
        <v>111.92857142857143</v>
      </c>
      <c r="G52" s="33">
        <f>结算电量表!G100/$B52</f>
        <v>0</v>
      </c>
      <c r="H52" s="33">
        <f>结算电量表!H100/$B52</f>
        <v>0</v>
      </c>
      <c r="I52" s="33">
        <f>结算电量表!I100/$B52</f>
        <v>0</v>
      </c>
      <c r="J52" s="33">
        <f>结算电量表!J100/$B52</f>
        <v>0</v>
      </c>
      <c r="K52" s="33">
        <f>结算电量表!K100/$B52</f>
        <v>0</v>
      </c>
      <c r="L52" s="33">
        <f>结算电量表!L100/$B52</f>
        <v>0</v>
      </c>
      <c r="M52" s="33">
        <f>结算电量表!M100/$B52</f>
        <v>0</v>
      </c>
      <c r="N52" s="33">
        <f>结算电量表!N100/$B52</f>
        <v>0</v>
      </c>
      <c r="O52" s="33">
        <f>结算电量表!O100/$B52</f>
        <v>496.3035714285715</v>
      </c>
    </row>
    <row r="53" spans="1:15" x14ac:dyDescent="0.15">
      <c r="A53" s="31" t="s">
        <v>159</v>
      </c>
      <c r="B53" s="32">
        <v>3</v>
      </c>
      <c r="C53" s="33">
        <f>结算电量表!C101/$B53</f>
        <v>196.85333333333332</v>
      </c>
      <c r="D53" s="33">
        <f>结算电量表!D101/$B53</f>
        <v>215.70000000000002</v>
      </c>
      <c r="E53" s="33">
        <f>结算电量表!E101/$B53</f>
        <v>234.00363333333334</v>
      </c>
      <c r="F53" s="33">
        <f>结算电量表!F101/$B53</f>
        <v>273.39333333333332</v>
      </c>
      <c r="G53" s="33">
        <f>结算电量表!G101/$B53</f>
        <v>0</v>
      </c>
      <c r="H53" s="33">
        <f>结算电量表!H101/$B53</f>
        <v>0</v>
      </c>
      <c r="I53" s="33">
        <f>结算电量表!I101/$B53</f>
        <v>0</v>
      </c>
      <c r="J53" s="33">
        <f>结算电量表!J101/$B53</f>
        <v>0</v>
      </c>
      <c r="K53" s="33">
        <f>结算电量表!K101/$B53</f>
        <v>0</v>
      </c>
      <c r="L53" s="33">
        <f>结算电量表!L101/$B53</f>
        <v>0</v>
      </c>
      <c r="M53" s="33">
        <f>结算电量表!M101/$B53</f>
        <v>0</v>
      </c>
      <c r="N53" s="33">
        <f>结算电量表!N101/$B53</f>
        <v>0</v>
      </c>
      <c r="O53" s="33">
        <f>结算电量表!O101/$B53</f>
        <v>919.95029999999997</v>
      </c>
    </row>
    <row r="54" spans="1:15" x14ac:dyDescent="0.15">
      <c r="A54" s="31" t="s">
        <v>160</v>
      </c>
      <c r="B54" s="32">
        <v>5</v>
      </c>
      <c r="C54" s="33">
        <f>结算电量表!C102/$B54</f>
        <v>63.426000000000002</v>
      </c>
      <c r="D54" s="33">
        <f>结算电量表!D102/$B54</f>
        <v>66.498000000000005</v>
      </c>
      <c r="E54" s="33">
        <f>结算电量表!E102/$B54</f>
        <v>83.215999999999994</v>
      </c>
      <c r="F54" s="33">
        <f>结算电量表!F102/$B54</f>
        <v>83.222000000000008</v>
      </c>
      <c r="G54" s="33">
        <f>结算电量表!G102/$B54</f>
        <v>0</v>
      </c>
      <c r="H54" s="33">
        <f>结算电量表!H102/$B54</f>
        <v>0</v>
      </c>
      <c r="I54" s="33">
        <f>结算电量表!I102/$B54</f>
        <v>0</v>
      </c>
      <c r="J54" s="33">
        <f>结算电量表!J102/$B54</f>
        <v>0</v>
      </c>
      <c r="K54" s="33">
        <f>结算电量表!K102/$B54</f>
        <v>0</v>
      </c>
      <c r="L54" s="33">
        <f>结算电量表!L102/$B54</f>
        <v>0</v>
      </c>
      <c r="M54" s="33">
        <f>结算电量表!M102/$B54</f>
        <v>0</v>
      </c>
      <c r="N54" s="33">
        <f>结算电量表!N102/$B54</f>
        <v>0</v>
      </c>
      <c r="O54" s="33">
        <f>结算电量表!O102/$B54</f>
        <v>296.36199999999997</v>
      </c>
    </row>
    <row r="55" spans="1:15" x14ac:dyDescent="0.15">
      <c r="A55" s="40" t="s">
        <v>176</v>
      </c>
      <c r="B55" s="41">
        <f>SUM(B42:B46,B51:B54)</f>
        <v>95</v>
      </c>
      <c r="C55" s="39">
        <f>结算电量表!C103/$B55</f>
        <v>148.96404105263159</v>
      </c>
      <c r="D55" s="39">
        <f>结算电量表!D103/$B55</f>
        <v>105.02004842105264</v>
      </c>
      <c r="E55" s="39">
        <f>结算电量表!E103/$B55</f>
        <v>152.9377084210526</v>
      </c>
      <c r="F55" s="39">
        <f>结算电量表!F103/$B55</f>
        <v>176.57140842105264</v>
      </c>
      <c r="G55" s="39">
        <f>结算电量表!G103/$B55</f>
        <v>0</v>
      </c>
      <c r="H55" s="39">
        <f>结算电量表!H103/$B55</f>
        <v>0</v>
      </c>
      <c r="I55" s="39">
        <f>结算电量表!I103/$B55</f>
        <v>0</v>
      </c>
      <c r="J55" s="39">
        <f>结算电量表!J103/$B55</f>
        <v>0</v>
      </c>
      <c r="K55" s="39">
        <f>结算电量表!K103/$B55</f>
        <v>0</v>
      </c>
      <c r="L55" s="39">
        <f>结算电量表!L103/$B55</f>
        <v>0</v>
      </c>
      <c r="M55" s="39">
        <f>结算电量表!M103/$B55</f>
        <v>0</v>
      </c>
      <c r="N55" s="39">
        <f>结算电量表!N103/$B55</f>
        <v>0</v>
      </c>
      <c r="O55" s="39">
        <f>结算电量表!O103/$B55</f>
        <v>583.4928231578948</v>
      </c>
    </row>
    <row r="56" spans="1:15" x14ac:dyDescent="0.15">
      <c r="A56" s="38" t="s">
        <v>163</v>
      </c>
      <c r="B56" s="32">
        <v>9.6</v>
      </c>
      <c r="C56" s="33">
        <f>结算电量表!C106/$B56</f>
        <v>396.80833333333334</v>
      </c>
      <c r="D56" s="33">
        <f>结算电量表!D106/$B56</f>
        <v>249.72187500000001</v>
      </c>
      <c r="E56" s="33">
        <f>结算电量表!E106/$B56</f>
        <v>315.38749999999999</v>
      </c>
      <c r="F56" s="33">
        <f>结算电量表!F106/$B56</f>
        <v>267.98645833333336</v>
      </c>
      <c r="G56" s="33">
        <f>结算电量表!G106/$B56</f>
        <v>0</v>
      </c>
      <c r="H56" s="33">
        <f>结算电量表!H106/$B56</f>
        <v>0</v>
      </c>
      <c r="I56" s="33">
        <f>结算电量表!I106/$B56</f>
        <v>0</v>
      </c>
      <c r="J56" s="33">
        <f>结算电量表!J106/$B56</f>
        <v>0</v>
      </c>
      <c r="K56" s="33">
        <f>结算电量表!K106/$B56</f>
        <v>0</v>
      </c>
      <c r="L56" s="33">
        <f>结算电量表!L106/$B56</f>
        <v>0</v>
      </c>
      <c r="M56" s="33">
        <f>结算电量表!M106/$B56</f>
        <v>0</v>
      </c>
      <c r="N56" s="33">
        <f>结算电量表!N106/$B56</f>
        <v>0</v>
      </c>
      <c r="O56" s="33">
        <f>结算电量表!O106/$B56</f>
        <v>1229.9041666666667</v>
      </c>
    </row>
    <row r="57" spans="1:15" x14ac:dyDescent="0.15">
      <c r="A57" s="38" t="s">
        <v>164</v>
      </c>
      <c r="B57" s="32">
        <v>4.8</v>
      </c>
      <c r="C57" s="33">
        <f>结算电量表!C107/$B57</f>
        <v>419.37639583333333</v>
      </c>
      <c r="D57" s="33">
        <f>结算电量表!D107/$B57</f>
        <v>383.43772916666666</v>
      </c>
      <c r="E57" s="33">
        <f>结算电量表!E107/$B57</f>
        <v>361.91875000000005</v>
      </c>
      <c r="F57" s="33">
        <f>结算电量表!F107/$B57</f>
        <v>316.48733333333337</v>
      </c>
      <c r="G57" s="33">
        <f>结算电量表!G107/$B57</f>
        <v>0</v>
      </c>
      <c r="H57" s="33">
        <f>结算电量表!H107/$B57</f>
        <v>0</v>
      </c>
      <c r="I57" s="33">
        <f>结算电量表!I107/$B57</f>
        <v>0</v>
      </c>
      <c r="J57" s="33">
        <f>结算电量表!J107/$B57</f>
        <v>0</v>
      </c>
      <c r="K57" s="33">
        <f>结算电量表!K107/$B57</f>
        <v>0</v>
      </c>
      <c r="L57" s="33">
        <f>结算电量表!L107/$B57</f>
        <v>0</v>
      </c>
      <c r="M57" s="33">
        <f>结算电量表!M107/$B57</f>
        <v>0</v>
      </c>
      <c r="N57" s="33">
        <f>结算电量表!N107/$B57</f>
        <v>0</v>
      </c>
      <c r="O57" s="33">
        <f>结算电量表!O107/$B57</f>
        <v>1481.2202083333334</v>
      </c>
    </row>
    <row r="58" spans="1:15" x14ac:dyDescent="0.15">
      <c r="A58" s="36" t="s">
        <v>165</v>
      </c>
      <c r="B58" s="32">
        <v>2</v>
      </c>
      <c r="C58" s="33">
        <f>结算电量表!C108/$B58</f>
        <v>151.32749999999999</v>
      </c>
      <c r="D58" s="33">
        <f>结算电量表!D108/$B58</f>
        <v>148.08750000000001</v>
      </c>
      <c r="E58" s="33">
        <f>结算电量表!E108/$B58</f>
        <v>163.5325</v>
      </c>
      <c r="F58" s="33">
        <f>结算电量表!F108/$B58</f>
        <v>153.27000000000001</v>
      </c>
      <c r="G58" s="33">
        <f>结算电量表!G108/$B58</f>
        <v>0</v>
      </c>
      <c r="H58" s="33">
        <f>结算电量表!H108/$B58</f>
        <v>0</v>
      </c>
      <c r="I58" s="33">
        <f>结算电量表!I108/$B58</f>
        <v>0</v>
      </c>
      <c r="J58" s="33">
        <f>结算电量表!J108/$B58</f>
        <v>0</v>
      </c>
      <c r="K58" s="33">
        <f>结算电量表!K108/$B58</f>
        <v>0</v>
      </c>
      <c r="L58" s="33">
        <f>结算电量表!L108/$B58</f>
        <v>0</v>
      </c>
      <c r="M58" s="33">
        <f>结算电量表!M108/$B58</f>
        <v>0</v>
      </c>
      <c r="N58" s="33">
        <f>结算电量表!N108/$B58</f>
        <v>0</v>
      </c>
      <c r="O58" s="33">
        <f>结算电量表!O108/$B58</f>
        <v>616.21749999999997</v>
      </c>
    </row>
    <row r="59" spans="1:15" x14ac:dyDescent="0.15">
      <c r="A59" s="36" t="s">
        <v>176</v>
      </c>
      <c r="B59" s="42">
        <f>SUM(B56:B58)</f>
        <v>16.399999999999999</v>
      </c>
      <c r="C59" s="33">
        <f>结算电量表!C109/$B59</f>
        <v>373.47693292682931</v>
      </c>
      <c r="D59" s="33">
        <f>结算电量表!D109/$B59</f>
        <v>276.46378658536588</v>
      </c>
      <c r="E59" s="33">
        <f>结算电量表!E109/$B59</f>
        <v>310.48750000000001</v>
      </c>
      <c r="F59" s="33">
        <f>结算电量表!F109/$B59</f>
        <v>268.19202439024394</v>
      </c>
      <c r="G59" s="33">
        <f>结算电量表!G109/$B59</f>
        <v>0</v>
      </c>
      <c r="H59" s="33">
        <f>结算电量表!H109/$B59</f>
        <v>0</v>
      </c>
      <c r="I59" s="33">
        <f>结算电量表!I109/$B59</f>
        <v>0</v>
      </c>
      <c r="J59" s="33">
        <f>结算电量表!J109/$B59</f>
        <v>0</v>
      </c>
      <c r="K59" s="33">
        <f>结算电量表!K109/$B59</f>
        <v>0</v>
      </c>
      <c r="L59" s="33">
        <f>结算电量表!L109/$B59</f>
        <v>0</v>
      </c>
      <c r="M59" s="33">
        <f>结算电量表!M109/$B59</f>
        <v>0</v>
      </c>
      <c r="N59" s="33">
        <f>结算电量表!N109/$B59</f>
        <v>0</v>
      </c>
      <c r="O59" s="33">
        <f>结算电量表!O109/$B59</f>
        <v>1228.6202439024391</v>
      </c>
    </row>
    <row r="60" spans="1:15" x14ac:dyDescent="0.15">
      <c r="A60" s="36" t="s">
        <v>180</v>
      </c>
      <c r="B60" s="43">
        <v>9.4</v>
      </c>
      <c r="C60" s="33">
        <f>结算电量表!C110/$B60</f>
        <v>0</v>
      </c>
      <c r="D60" s="33">
        <f>结算电量表!D110/$B60</f>
        <v>0</v>
      </c>
      <c r="E60" s="33">
        <f>结算电量表!E110/$B60</f>
        <v>0</v>
      </c>
      <c r="F60" s="33">
        <f>结算电量表!F110/$B60</f>
        <v>0</v>
      </c>
      <c r="G60" s="33">
        <f>结算电量表!G110/$B60</f>
        <v>0</v>
      </c>
      <c r="H60" s="33">
        <f>结算电量表!H110/$B60</f>
        <v>0</v>
      </c>
      <c r="I60" s="33">
        <f>结算电量表!I110/$B60</f>
        <v>0</v>
      </c>
      <c r="J60" s="33">
        <f>结算电量表!J110/$B60</f>
        <v>0</v>
      </c>
      <c r="K60" s="33">
        <f>结算电量表!K110/$B60</f>
        <v>0</v>
      </c>
      <c r="L60" s="33">
        <f>结算电量表!L110/$B60</f>
        <v>0</v>
      </c>
      <c r="M60" s="33">
        <f>结算电量表!M110/$B60</f>
        <v>0</v>
      </c>
      <c r="N60" s="33">
        <f>结算电量表!N110/$B60</f>
        <v>0</v>
      </c>
      <c r="O60" s="33">
        <f>结算电量表!O110/$B60</f>
        <v>0</v>
      </c>
    </row>
    <row r="61" spans="1:15" x14ac:dyDescent="0.15">
      <c r="A61" s="36" t="s">
        <v>95</v>
      </c>
      <c r="B61" s="42">
        <f>SUM(B55,B59:B60)</f>
        <v>120.80000000000001</v>
      </c>
      <c r="C61" s="33">
        <f>结算电量表!C111/$B61</f>
        <v>167.8526953642384</v>
      </c>
      <c r="D61" s="33">
        <f>结算电量表!D111/$B61</f>
        <v>120.12343294701986</v>
      </c>
      <c r="E61" s="33">
        <f>结算电量表!E111/$B61</f>
        <v>162.42613658940394</v>
      </c>
      <c r="F61" s="33">
        <f>结算电量表!F111/$B61</f>
        <v>175.27014072847683</v>
      </c>
      <c r="G61" s="33">
        <f>结算电量表!G111/$B61</f>
        <v>0</v>
      </c>
      <c r="H61" s="33">
        <f>结算电量表!H111/$B61</f>
        <v>0</v>
      </c>
      <c r="I61" s="33">
        <f>结算电量表!I111/$B61</f>
        <v>0</v>
      </c>
      <c r="J61" s="33">
        <f>结算电量表!J111/$B61</f>
        <v>0</v>
      </c>
      <c r="K61" s="33">
        <f>结算电量表!K111/$B61</f>
        <v>0</v>
      </c>
      <c r="L61" s="33">
        <f>结算电量表!L111/$B61</f>
        <v>0</v>
      </c>
      <c r="M61" s="33">
        <f>结算电量表!M111/$B61</f>
        <v>0</v>
      </c>
      <c r="N61" s="33">
        <f>结算电量表!N111/$B61</f>
        <v>0</v>
      </c>
      <c r="O61" s="33">
        <f>结算电量表!O111/$B61</f>
        <v>625.6721043046357</v>
      </c>
    </row>
  </sheetData>
  <mergeCells count="1">
    <mergeCell ref="C1:N1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V18"/>
  <sheetViews>
    <sheetView workbookViewId="0">
      <selection activeCell="N24" sqref="N24"/>
    </sheetView>
  </sheetViews>
  <sheetFormatPr defaultColWidth="9" defaultRowHeight="12" x14ac:dyDescent="0.15"/>
  <cols>
    <col min="1" max="1" width="8.375" style="1" customWidth="1"/>
    <col min="2" max="2" width="4.375" style="2" customWidth="1"/>
    <col min="3" max="3" width="9" style="1"/>
    <col min="4" max="13" width="8.125" style="2" customWidth="1"/>
    <col min="14" max="15" width="9" style="1"/>
    <col min="16" max="16" width="9.125" style="1" customWidth="1"/>
    <col min="17" max="17" width="9.375" style="1" customWidth="1"/>
    <col min="18" max="19" width="9" style="1"/>
    <col min="20" max="20" width="10.25" style="1" customWidth="1"/>
    <col min="21" max="21" width="11.25" style="1" customWidth="1"/>
    <col min="22" max="16384" width="9" style="1"/>
  </cols>
  <sheetData>
    <row r="1" spans="1:22" ht="22.5" x14ac:dyDescent="0.15">
      <c r="A1" s="385" t="s">
        <v>269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</row>
    <row r="3" spans="1:22" x14ac:dyDescent="0.15">
      <c r="A3" s="390" t="s">
        <v>270</v>
      </c>
      <c r="B3" s="386" t="s">
        <v>271</v>
      </c>
      <c r="C3" s="386" t="s">
        <v>272</v>
      </c>
      <c r="D3" s="386" t="s">
        <v>273</v>
      </c>
      <c r="E3" s="386"/>
      <c r="F3" s="386" t="s">
        <v>274</v>
      </c>
      <c r="G3" s="386"/>
      <c r="H3" s="386" t="s">
        <v>275</v>
      </c>
      <c r="I3" s="386"/>
      <c r="J3" s="386" t="s">
        <v>276</v>
      </c>
      <c r="K3" s="386"/>
      <c r="L3" s="386" t="s">
        <v>277</v>
      </c>
      <c r="M3" s="386"/>
      <c r="N3" s="386" t="s">
        <v>278</v>
      </c>
      <c r="O3" s="387"/>
      <c r="P3" s="386" t="s">
        <v>279</v>
      </c>
      <c r="Q3" s="387"/>
      <c r="R3" s="386" t="s">
        <v>280</v>
      </c>
      <c r="S3" s="387"/>
      <c r="T3" s="386" t="s">
        <v>281</v>
      </c>
      <c r="U3" s="387"/>
      <c r="V3" s="396" t="s">
        <v>282</v>
      </c>
    </row>
    <row r="4" spans="1:22" x14ac:dyDescent="0.15">
      <c r="A4" s="391"/>
      <c r="B4" s="394"/>
      <c r="C4" s="395"/>
      <c r="D4" s="3" t="s">
        <v>183</v>
      </c>
      <c r="E4" s="3" t="s">
        <v>111</v>
      </c>
      <c r="F4" s="3" t="s">
        <v>183</v>
      </c>
      <c r="G4" s="3" t="s">
        <v>111</v>
      </c>
      <c r="H4" s="3" t="s">
        <v>183</v>
      </c>
      <c r="I4" s="3" t="s">
        <v>111</v>
      </c>
      <c r="J4" s="3" t="s">
        <v>183</v>
      </c>
      <c r="K4" s="3" t="s">
        <v>111</v>
      </c>
      <c r="L4" s="3" t="s">
        <v>183</v>
      </c>
      <c r="M4" s="3" t="s">
        <v>111</v>
      </c>
      <c r="N4" s="3" t="s">
        <v>183</v>
      </c>
      <c r="O4" s="3" t="s">
        <v>111</v>
      </c>
      <c r="P4" s="3" t="s">
        <v>183</v>
      </c>
      <c r="Q4" s="3" t="s">
        <v>111</v>
      </c>
      <c r="R4" s="3" t="s">
        <v>183</v>
      </c>
      <c r="S4" s="3" t="s">
        <v>111</v>
      </c>
      <c r="T4" s="3" t="s">
        <v>183</v>
      </c>
      <c r="U4" s="3" t="s">
        <v>111</v>
      </c>
      <c r="V4" s="397"/>
    </row>
    <row r="5" spans="1:22" x14ac:dyDescent="0.15">
      <c r="A5" s="392" t="s">
        <v>173</v>
      </c>
      <c r="B5" s="4" t="s">
        <v>187</v>
      </c>
      <c r="C5" s="5">
        <v>39.450000000000003</v>
      </c>
      <c r="D5" s="6">
        <f>SUM(结算电量表!L57:L59)</f>
        <v>4739.01</v>
      </c>
      <c r="E5" s="6">
        <f>SUM(结算电量表!O57:O59)</f>
        <v>55597.468200000003</v>
      </c>
      <c r="F5" s="6">
        <f>SUM(结算电量表!Z57:Z59)</f>
        <v>4641.0245999999997</v>
      </c>
      <c r="G5" s="6">
        <f>SUM(结算电量表!AC57:AC59)</f>
        <v>53744.625799999994</v>
      </c>
      <c r="H5" s="7">
        <v>769.96360000000004</v>
      </c>
      <c r="I5" s="7">
        <v>29533.107199999999</v>
      </c>
      <c r="J5" s="6">
        <f>SUM(交易电量!L23:L25)</f>
        <v>3011.33</v>
      </c>
      <c r="K5" s="6">
        <f>SUM(交易电量!O23:O25)</f>
        <v>29078.059799999999</v>
      </c>
      <c r="L5" s="19">
        <v>0.24479999999999999</v>
      </c>
      <c r="M5" s="19">
        <v>0.17130000000000001</v>
      </c>
      <c r="N5" s="6">
        <f>SUM(营业总收入!L43:L45)</f>
        <v>1501.2420149999971</v>
      </c>
      <c r="O5" s="6">
        <f>SUM(营业总收入!O43:O45)</f>
        <v>20328.887100999971</v>
      </c>
      <c r="P5" s="6">
        <f>SUM(外购动力费!L25:L27)</f>
        <v>14.717227000000001</v>
      </c>
      <c r="Q5" s="6">
        <f>SUM(外购动力费!O25:O27)</f>
        <v>149.41882000000001</v>
      </c>
      <c r="R5" s="6">
        <f>SUM(材料修理费!L5:L7)</f>
        <v>25.820671000000001</v>
      </c>
      <c r="S5" s="6">
        <f>SUM(材料修理费!O5:O7)</f>
        <v>1101.147915</v>
      </c>
      <c r="T5" s="6">
        <f>SUM(利润!L79:L81)</f>
        <v>0</v>
      </c>
      <c r="U5" s="6">
        <f>SUM(利润!O79:O81)</f>
        <v>-317.70245299999999</v>
      </c>
      <c r="V5" s="397"/>
    </row>
    <row r="6" spans="1:22" x14ac:dyDescent="0.15">
      <c r="A6" s="392"/>
      <c r="B6" s="4" t="s">
        <v>188</v>
      </c>
      <c r="C6" s="5">
        <v>2.8</v>
      </c>
      <c r="D6" s="6">
        <f>结算电量表!L67</f>
        <v>352.56</v>
      </c>
      <c r="E6" s="6">
        <f>结算电量表!O67</f>
        <v>3876.1590000000001</v>
      </c>
      <c r="F6" s="6">
        <f>结算电量表!Z67</f>
        <v>346.07</v>
      </c>
      <c r="G6" s="6">
        <f>结算电量表!AC67</f>
        <v>3782.1365000000005</v>
      </c>
      <c r="H6" s="7">
        <v>25.765000000000001</v>
      </c>
      <c r="I6" s="7">
        <v>812.9452</v>
      </c>
      <c r="J6" s="6">
        <f>交易电量!L33</f>
        <v>107.82</v>
      </c>
      <c r="K6" s="6">
        <f>交易电量!O33</f>
        <v>1262.1635999999999</v>
      </c>
      <c r="L6" s="19">
        <v>0.2452</v>
      </c>
      <c r="M6" s="19">
        <v>0.1767</v>
      </c>
      <c r="N6" s="6">
        <f>营业总收入!L53</f>
        <v>298.34371499999901</v>
      </c>
      <c r="O6" s="6">
        <f>营业总收入!O53</f>
        <v>3288.7148400000001</v>
      </c>
      <c r="P6" s="6">
        <f>外购动力费!L35</f>
        <v>2.210801</v>
      </c>
      <c r="Q6" s="6">
        <f>外购动力费!O35</f>
        <v>20.455649999999999</v>
      </c>
      <c r="R6" s="6">
        <f>材料修理费!L15</f>
        <v>0.03</v>
      </c>
      <c r="S6" s="6">
        <f>材料修理费!O15</f>
        <v>65.455371999999997</v>
      </c>
      <c r="T6" s="6">
        <f>利润!L89</f>
        <v>0</v>
      </c>
      <c r="U6" s="6">
        <f>利润!O89</f>
        <v>102.90759900000009</v>
      </c>
      <c r="V6" s="397"/>
    </row>
    <row r="7" spans="1:22" x14ac:dyDescent="0.15">
      <c r="A7" s="392" t="s">
        <v>174</v>
      </c>
      <c r="B7" s="4" t="s">
        <v>187</v>
      </c>
      <c r="C7" s="5">
        <v>34.85</v>
      </c>
      <c r="D7" s="6">
        <f>SUM(结算电量表!L62:L66)</f>
        <v>4525.8899000000001</v>
      </c>
      <c r="E7" s="6">
        <f>SUM(结算电量表!O62:O66)</f>
        <v>47499.224000000002</v>
      </c>
      <c r="F7" s="6">
        <f>SUM(结算电量表!Z62:Z66)</f>
        <v>4374.54</v>
      </c>
      <c r="G7" s="6">
        <f>SUM(结算电量表!AC62:AC66)</f>
        <v>45878.080099999999</v>
      </c>
      <c r="H7" s="7">
        <v>298.54899999999998</v>
      </c>
      <c r="I7" s="7">
        <v>24131.167000000001</v>
      </c>
      <c r="J7" s="6">
        <f>交易电量!L32</f>
        <v>316.07</v>
      </c>
      <c r="K7" s="6">
        <f>交易电量!O32</f>
        <v>5208.0395000000008</v>
      </c>
      <c r="L7" s="19">
        <v>0.1512</v>
      </c>
      <c r="M7" s="19">
        <v>0.2162</v>
      </c>
      <c r="N7" s="6">
        <f>SUM(营业总收入!L48:L52)</f>
        <v>1959.5078289999999</v>
      </c>
      <c r="O7" s="6">
        <f>SUM(营业总收入!O48:O52)</f>
        <v>17089.066982</v>
      </c>
      <c r="P7" s="6">
        <f>SUM(外购动力费!L29,外购动力费!L34)</f>
        <v>20.995153999999999</v>
      </c>
      <c r="Q7" s="6">
        <f>SUM(外购动力费!O29,外购动力费!O34)</f>
        <v>220.064131</v>
      </c>
      <c r="R7" s="6">
        <f>SUM(材料修理费!L9,材料修理费!L14)</f>
        <v>44.273759999999996</v>
      </c>
      <c r="S7" s="6">
        <f>SUM(材料修理费!O9,材料修理费!O14)</f>
        <v>302.57779600000003</v>
      </c>
      <c r="T7" s="6">
        <f>SUM(利润!L83,利润!L88)</f>
        <v>0</v>
      </c>
      <c r="U7" s="6">
        <f>SUM(利润!O83,利润!O88)</f>
        <v>1906.3827279999994</v>
      </c>
      <c r="V7" s="397"/>
    </row>
    <row r="8" spans="1:22" x14ac:dyDescent="0.15">
      <c r="A8" s="392"/>
      <c r="B8" s="4" t="s">
        <v>188</v>
      </c>
      <c r="C8" s="5"/>
      <c r="D8" s="6"/>
      <c r="E8" s="6"/>
      <c r="F8" s="8"/>
      <c r="G8" s="8"/>
      <c r="H8" s="7"/>
      <c r="I8" s="20"/>
      <c r="J8" s="6"/>
      <c r="K8" s="6"/>
      <c r="L8" s="19"/>
      <c r="M8" s="19"/>
      <c r="N8" s="6"/>
      <c r="O8" s="6"/>
      <c r="P8" s="6"/>
      <c r="Q8" s="6"/>
      <c r="R8" s="6"/>
      <c r="S8" s="6"/>
      <c r="T8" s="6"/>
      <c r="U8" s="6"/>
      <c r="V8" s="397"/>
    </row>
    <row r="9" spans="1:22" x14ac:dyDescent="0.15">
      <c r="A9" s="392" t="s">
        <v>175</v>
      </c>
      <c r="B9" s="4" t="s">
        <v>187</v>
      </c>
      <c r="C9" s="5">
        <v>9.9</v>
      </c>
      <c r="D9" s="6">
        <f>结算电量表!L60</f>
        <v>1472.5877</v>
      </c>
      <c r="E9" s="6">
        <f>结算电量表!O60</f>
        <v>13659.548200000001</v>
      </c>
      <c r="F9" s="6">
        <f>结算电量表!Z60</f>
        <v>1395.7</v>
      </c>
      <c r="G9" s="6">
        <f>结算电量表!AC60</f>
        <v>12736.379600000002</v>
      </c>
      <c r="H9" s="7">
        <v>66.071600000000004</v>
      </c>
      <c r="I9" s="7">
        <v>995.1037</v>
      </c>
      <c r="J9" s="6">
        <f>交易电量!L26</f>
        <v>995.43</v>
      </c>
      <c r="K9" s="6">
        <f>交易电量!O26</f>
        <v>10356.505599999999</v>
      </c>
      <c r="L9" s="19">
        <v>7.9500000000000001E-2</v>
      </c>
      <c r="M9" s="19">
        <v>8.3000000000000004E-2</v>
      </c>
      <c r="N9" s="6">
        <f>营业总收入!L46</f>
        <v>611.16463099999999</v>
      </c>
      <c r="O9" s="6">
        <f>营业总收入!O46</f>
        <v>5673.7050440000003</v>
      </c>
      <c r="P9" s="6">
        <f>外购动力费!L28</f>
        <v>0</v>
      </c>
      <c r="Q9" s="6">
        <f>外购动力费!O28</f>
        <v>20</v>
      </c>
      <c r="R9" s="6">
        <f>材料修理费!L8</f>
        <v>0.38</v>
      </c>
      <c r="S9" s="6">
        <f>材料修理费!O8</f>
        <v>54.048287000000002</v>
      </c>
      <c r="T9" s="6">
        <f>利润!L82</f>
        <v>0</v>
      </c>
      <c r="U9" s="6">
        <f>利润!O82</f>
        <v>1657.2996709999979</v>
      </c>
      <c r="V9" s="397"/>
    </row>
    <row r="10" spans="1:22" x14ac:dyDescent="0.15">
      <c r="A10" s="392"/>
      <c r="B10" s="4" t="s">
        <v>188</v>
      </c>
      <c r="C10" s="5">
        <v>5</v>
      </c>
      <c r="D10" s="6">
        <f>结算电量表!L68</f>
        <v>658.6</v>
      </c>
      <c r="E10" s="6">
        <f>结算电量表!O68</f>
        <v>8050.6741000000011</v>
      </c>
      <c r="F10" s="6">
        <f>结算电量表!Z68</f>
        <v>629.89</v>
      </c>
      <c r="G10" s="6">
        <f>结算电量表!AC68</f>
        <v>7761.4479999999994</v>
      </c>
      <c r="H10" s="7">
        <v>26.721699999999998</v>
      </c>
      <c r="I10" s="7">
        <v>918.47810000000004</v>
      </c>
      <c r="J10" s="6">
        <f>交易电量!L34</f>
        <v>499.77</v>
      </c>
      <c r="K10" s="6">
        <f>交易电量!O34</f>
        <v>6510.8502999999992</v>
      </c>
      <c r="L10" s="19">
        <v>5.7000000000000002E-2</v>
      </c>
      <c r="M10" s="19">
        <v>7.4999999999999997E-2</v>
      </c>
      <c r="N10" s="6">
        <f>营业总收入!L54</f>
        <v>584.86076499999899</v>
      </c>
      <c r="O10" s="6">
        <f>营业总收入!O54</f>
        <v>7183.4796500000002</v>
      </c>
      <c r="P10" s="6">
        <f>外购动力费!L36</f>
        <v>2.7015199999999999</v>
      </c>
      <c r="Q10" s="6">
        <f>外购动力费!O36</f>
        <v>18.446638</v>
      </c>
      <c r="R10" s="6">
        <f>材料修理费!L16</f>
        <v>6.023282</v>
      </c>
      <c r="S10" s="6">
        <f>材料修理费!O16</f>
        <v>136.98879499999998</v>
      </c>
      <c r="T10" s="6">
        <f>利润!L90</f>
        <v>0</v>
      </c>
      <c r="U10" s="6">
        <f>利润!O90</f>
        <v>775.75326899999891</v>
      </c>
      <c r="V10" s="397"/>
    </row>
    <row r="11" spans="1:22" x14ac:dyDescent="0.15">
      <c r="A11" s="392" t="s">
        <v>177</v>
      </c>
      <c r="B11" s="4" t="s">
        <v>187</v>
      </c>
      <c r="C11" s="5"/>
      <c r="D11" s="6"/>
      <c r="E11" s="6"/>
      <c r="F11" s="8"/>
      <c r="G11" s="8"/>
      <c r="H11" s="7"/>
      <c r="I11" s="20"/>
      <c r="J11" s="6"/>
      <c r="K11" s="6"/>
      <c r="L11" s="19"/>
      <c r="M11" s="19"/>
      <c r="N11" s="6"/>
      <c r="O11" s="6"/>
      <c r="P11" s="6"/>
      <c r="Q11" s="6"/>
      <c r="R11" s="6"/>
      <c r="S11" s="6"/>
      <c r="T11" s="6"/>
      <c r="U11" s="6"/>
      <c r="V11" s="397"/>
    </row>
    <row r="12" spans="1:22" x14ac:dyDescent="0.15">
      <c r="A12" s="392"/>
      <c r="B12" s="4" t="s">
        <v>188</v>
      </c>
      <c r="C12" s="5">
        <v>3</v>
      </c>
      <c r="D12" s="6">
        <f>结算电量表!L69</f>
        <v>324.97000000000003</v>
      </c>
      <c r="E12" s="6">
        <f>结算电量表!O69</f>
        <v>4285.6271000000006</v>
      </c>
      <c r="F12" s="6">
        <f>结算电量表!Z69</f>
        <v>319.74</v>
      </c>
      <c r="G12" s="6">
        <f>结算电量表!AC69</f>
        <v>4194.4049999999997</v>
      </c>
      <c r="H12" s="7">
        <v>47.725200000000001</v>
      </c>
      <c r="I12" s="7">
        <v>492.72620000000001</v>
      </c>
      <c r="J12" s="6">
        <f>交易电量!L35</f>
        <v>211.7</v>
      </c>
      <c r="K12" s="6">
        <f>交易电量!O35</f>
        <v>2194.4</v>
      </c>
      <c r="L12" s="19">
        <v>2.5700000000000001E-2</v>
      </c>
      <c r="M12" s="19">
        <v>5.3499999999999999E-2</v>
      </c>
      <c r="N12" s="6">
        <f>营业总收入!L55</f>
        <v>275.124123</v>
      </c>
      <c r="O12" s="6">
        <f>营业总收入!O55</f>
        <v>3679.8235009999999</v>
      </c>
      <c r="P12" s="6">
        <f>外购动力费!L37</f>
        <v>3.4489049999999999</v>
      </c>
      <c r="Q12" s="6">
        <f>外购动力费!O37</f>
        <v>45.239440000000002</v>
      </c>
      <c r="R12" s="6">
        <f>材料修理费!L17</f>
        <v>0.58929600000000004</v>
      </c>
      <c r="S12" s="6">
        <f>材料修理费!O17</f>
        <v>60.650102000000004</v>
      </c>
      <c r="T12" s="6">
        <f>利润!L91</f>
        <v>0</v>
      </c>
      <c r="U12" s="6">
        <f>利润!O91</f>
        <v>235.79070899999999</v>
      </c>
      <c r="V12" s="397"/>
    </row>
    <row r="13" spans="1:22" x14ac:dyDescent="0.15">
      <c r="A13" s="393" t="s">
        <v>176</v>
      </c>
      <c r="B13" s="3" t="s">
        <v>187</v>
      </c>
      <c r="C13" s="9">
        <f>C5+C7+C9+C11</f>
        <v>84.200000000000017</v>
      </c>
      <c r="D13" s="10">
        <f t="shared" ref="D13:K14" si="0">D5+D7+D9+D11</f>
        <v>10737.4876</v>
      </c>
      <c r="E13" s="10">
        <f t="shared" si="0"/>
        <v>116756.24040000001</v>
      </c>
      <c r="F13" s="10">
        <f>F5+F7+F9+F11</f>
        <v>10411.2646</v>
      </c>
      <c r="G13" s="10">
        <f t="shared" si="0"/>
        <v>112359.0855</v>
      </c>
      <c r="H13" s="10">
        <v>1134.5842</v>
      </c>
      <c r="I13" s="10">
        <v>54659.377899999999</v>
      </c>
      <c r="J13" s="10">
        <f t="shared" si="0"/>
        <v>4322.83</v>
      </c>
      <c r="K13" s="10">
        <f t="shared" si="0"/>
        <v>44642.604899999998</v>
      </c>
      <c r="L13" s="21"/>
      <c r="M13" s="21"/>
      <c r="N13" s="10">
        <f t="shared" ref="N13:U14" si="1">N5+N7+N9+N11</f>
        <v>4071.9144749999973</v>
      </c>
      <c r="O13" s="10">
        <f t="shared" si="1"/>
        <v>43091.659126999977</v>
      </c>
      <c r="P13" s="10">
        <f t="shared" si="1"/>
        <v>35.712381000000001</v>
      </c>
      <c r="Q13" s="10">
        <f t="shared" si="1"/>
        <v>389.48295100000001</v>
      </c>
      <c r="R13" s="10">
        <f t="shared" si="1"/>
        <v>70.474430999999996</v>
      </c>
      <c r="S13" s="10">
        <f t="shared" si="1"/>
        <v>1457.7739980000001</v>
      </c>
      <c r="T13" s="10">
        <f t="shared" si="1"/>
        <v>0</v>
      </c>
      <c r="U13" s="10">
        <f t="shared" si="1"/>
        <v>3245.9799459999972</v>
      </c>
      <c r="V13" s="397"/>
    </row>
    <row r="14" spans="1:22" x14ac:dyDescent="0.15">
      <c r="A14" s="393"/>
      <c r="B14" s="3" t="s">
        <v>188</v>
      </c>
      <c r="C14" s="9">
        <f>C6+C8+C10+C12</f>
        <v>10.8</v>
      </c>
      <c r="D14" s="10">
        <f t="shared" si="0"/>
        <v>1336.13</v>
      </c>
      <c r="E14" s="10">
        <f t="shared" si="0"/>
        <v>16212.460200000001</v>
      </c>
      <c r="F14" s="10">
        <f>F6+F8+F10+F12</f>
        <v>1295.7</v>
      </c>
      <c r="G14" s="10">
        <f t="shared" si="0"/>
        <v>15737.9895</v>
      </c>
      <c r="H14" s="10">
        <v>100.2119</v>
      </c>
      <c r="I14" s="10">
        <v>2224.1495</v>
      </c>
      <c r="J14" s="10">
        <f t="shared" si="0"/>
        <v>819.29</v>
      </c>
      <c r="K14" s="10">
        <f t="shared" si="0"/>
        <v>9967.4138999999996</v>
      </c>
      <c r="L14" s="21"/>
      <c r="M14" s="21"/>
      <c r="N14" s="10">
        <f t="shared" si="1"/>
        <v>1158.3286029999981</v>
      </c>
      <c r="O14" s="10">
        <f t="shared" si="1"/>
        <v>14152.017991000001</v>
      </c>
      <c r="P14" s="10">
        <f t="shared" si="1"/>
        <v>8.3612260000000003</v>
      </c>
      <c r="Q14" s="10">
        <f t="shared" si="1"/>
        <v>84.141728000000001</v>
      </c>
      <c r="R14" s="10">
        <f t="shared" si="1"/>
        <v>6.6425780000000003</v>
      </c>
      <c r="S14" s="10">
        <f t="shared" si="1"/>
        <v>263.094269</v>
      </c>
      <c r="T14" s="10">
        <f t="shared" si="1"/>
        <v>0</v>
      </c>
      <c r="U14" s="10">
        <f t="shared" si="1"/>
        <v>1114.4515769999989</v>
      </c>
      <c r="V14" s="397"/>
    </row>
    <row r="15" spans="1:22" x14ac:dyDescent="0.15">
      <c r="A15" s="11" t="s">
        <v>95</v>
      </c>
      <c r="B15" s="12"/>
      <c r="C15" s="13">
        <f>SUM(C13:C14)</f>
        <v>95.000000000000014</v>
      </c>
      <c r="D15" s="14">
        <f t="shared" ref="D15:K15" si="2">SUM(D13:D14)</f>
        <v>12073.617600000001</v>
      </c>
      <c r="E15" s="14">
        <f t="shared" si="2"/>
        <v>132968.70060000001</v>
      </c>
      <c r="F15" s="14">
        <f t="shared" si="2"/>
        <v>11706.964600000001</v>
      </c>
      <c r="G15" s="14">
        <f t="shared" si="2"/>
        <v>128097.075</v>
      </c>
      <c r="H15" s="14">
        <v>1234.7961</v>
      </c>
      <c r="I15" s="14">
        <v>56883.527399999999</v>
      </c>
      <c r="J15" s="14">
        <f t="shared" si="2"/>
        <v>5142.12</v>
      </c>
      <c r="K15" s="14">
        <f t="shared" si="2"/>
        <v>54610.018799999998</v>
      </c>
      <c r="L15" s="22">
        <v>0.186</v>
      </c>
      <c r="M15" s="22">
        <v>0.14199999999999999</v>
      </c>
      <c r="N15" s="14">
        <f t="shared" ref="N15:U15" si="3">SUM(N13:N14)</f>
        <v>5230.2430779999959</v>
      </c>
      <c r="O15" s="14">
        <f t="shared" si="3"/>
        <v>57243.677117999978</v>
      </c>
      <c r="P15" s="14">
        <f t="shared" si="3"/>
        <v>44.073607000000003</v>
      </c>
      <c r="Q15" s="14">
        <f t="shared" si="3"/>
        <v>473.62467900000001</v>
      </c>
      <c r="R15" s="14">
        <f t="shared" si="3"/>
        <v>77.117008999999996</v>
      </c>
      <c r="S15" s="14">
        <f t="shared" si="3"/>
        <v>1720.8682670000001</v>
      </c>
      <c r="T15" s="14">
        <f t="shared" si="3"/>
        <v>0</v>
      </c>
      <c r="U15" s="14">
        <f t="shared" si="3"/>
        <v>4360.4315229999957</v>
      </c>
      <c r="V15" s="24">
        <v>0.76200000000000001</v>
      </c>
    </row>
    <row r="16" spans="1:22" x14ac:dyDescent="0.15">
      <c r="A16" s="15"/>
      <c r="B16" s="15"/>
      <c r="C16" s="16"/>
      <c r="D16" s="17"/>
      <c r="E16" s="17"/>
      <c r="F16" s="17"/>
      <c r="G16" s="17"/>
      <c r="H16" s="17"/>
      <c r="I16" s="17"/>
      <c r="J16" s="17"/>
      <c r="K16" s="17"/>
      <c r="L16" s="23"/>
      <c r="M16" s="23">
        <v>0.22900000000000001</v>
      </c>
      <c r="N16" s="17"/>
      <c r="O16" s="17"/>
      <c r="P16" s="17"/>
      <c r="Q16" s="17"/>
      <c r="R16" s="17"/>
      <c r="S16" s="17"/>
      <c r="T16" s="17"/>
      <c r="U16" s="17"/>
      <c r="V16" s="25"/>
    </row>
    <row r="17" spans="1:22" x14ac:dyDescent="0.15">
      <c r="A17" s="1">
        <v>2016</v>
      </c>
      <c r="G17" s="18"/>
      <c r="H17" s="18"/>
      <c r="I17" s="18"/>
      <c r="M17" s="2">
        <v>0.221</v>
      </c>
    </row>
    <row r="18" spans="1:22" x14ac:dyDescent="0.15">
      <c r="A18" s="388" t="s">
        <v>283</v>
      </c>
      <c r="B18" s="389"/>
      <c r="C18" s="389"/>
      <c r="D18" s="389"/>
      <c r="E18" s="389"/>
      <c r="F18" s="389"/>
      <c r="G18" s="389"/>
      <c r="H18" s="389"/>
      <c r="I18" s="389"/>
      <c r="J18" s="389"/>
      <c r="K18" s="389"/>
      <c r="L18" s="389"/>
      <c r="M18" s="389"/>
      <c r="N18" s="389"/>
      <c r="O18" s="389"/>
      <c r="P18" s="389"/>
      <c r="Q18" s="389"/>
      <c r="R18" s="389"/>
      <c r="S18" s="389"/>
      <c r="T18" s="389"/>
      <c r="U18" s="389"/>
      <c r="V18" s="389"/>
    </row>
  </sheetData>
  <mergeCells count="21">
    <mergeCell ref="A18:V18"/>
    <mergeCell ref="A3:A4"/>
    <mergeCell ref="A5:A6"/>
    <mergeCell ref="A7:A8"/>
    <mergeCell ref="A9:A10"/>
    <mergeCell ref="A11:A12"/>
    <mergeCell ref="A13:A14"/>
    <mergeCell ref="B3:B4"/>
    <mergeCell ref="C3:C4"/>
    <mergeCell ref="V3:V4"/>
    <mergeCell ref="V5:V14"/>
    <mergeCell ref="A1:V1"/>
    <mergeCell ref="D3:E3"/>
    <mergeCell ref="F3:G3"/>
    <mergeCell ref="H3:I3"/>
    <mergeCell ref="J3:K3"/>
    <mergeCell ref="L3:M3"/>
    <mergeCell ref="N3:O3"/>
    <mergeCell ref="P3:Q3"/>
    <mergeCell ref="R3:S3"/>
    <mergeCell ref="T3:U3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1"/>
  <sheetViews>
    <sheetView workbookViewId="0">
      <pane xSplit="1" ySplit="2" topLeftCell="B3" activePane="bottomRight" state="frozenSplit"/>
      <selection pane="topRight"/>
      <selection pane="bottomLeft"/>
      <selection pane="bottomRight" activeCell="F3" sqref="F3:F70"/>
    </sheetView>
  </sheetViews>
  <sheetFormatPr defaultColWidth="9" defaultRowHeight="13.5" x14ac:dyDescent="0.15"/>
  <cols>
    <col min="1" max="1" width="26" customWidth="1"/>
    <col min="2" max="2" width="9.75" customWidth="1"/>
    <col min="3" max="4" width="8.375" customWidth="1"/>
    <col min="5" max="5" width="8.5" customWidth="1"/>
    <col min="6" max="6" width="8.375" customWidth="1"/>
    <col min="7" max="7" width="10.5" customWidth="1"/>
    <col min="8" max="14" width="8.375" customWidth="1"/>
    <col min="15" max="15" width="11.37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10714.490769230801</v>
      </c>
      <c r="C3" s="292">
        <v>724.98089400000003</v>
      </c>
      <c r="D3" s="292">
        <v>559.77480500000001</v>
      </c>
      <c r="E3" s="292">
        <v>774.83779700000002</v>
      </c>
      <c r="F3" s="292">
        <v>988.47315000000003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342">
        <f>SUM(C3:N3)</f>
        <v>3048.0666460000002</v>
      </c>
    </row>
    <row r="4" spans="1:15" x14ac:dyDescent="0.15">
      <c r="A4" s="291" t="s">
        <v>15</v>
      </c>
      <c r="B4" s="292">
        <f>B5+B6</f>
        <v>10714.490769230801</v>
      </c>
      <c r="C4" s="292">
        <v>724.98089400000003</v>
      </c>
      <c r="D4" s="292">
        <v>559.77480500000001</v>
      </c>
      <c r="E4" s="292">
        <v>774.83779700000002</v>
      </c>
      <c r="F4" s="292">
        <v>988.47315000000003</v>
      </c>
      <c r="G4" s="292">
        <f t="shared" ref="G4:N4" si="1">G5+G6</f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342">
        <f>SUM(C4:N4)</f>
        <v>3048.0666460000002</v>
      </c>
    </row>
    <row r="5" spans="1:15" x14ac:dyDescent="0.15">
      <c r="A5" s="291" t="s">
        <v>17</v>
      </c>
      <c r="B5" s="292">
        <v>10714.490769230801</v>
      </c>
      <c r="C5" s="292">
        <v>724.98089400000003</v>
      </c>
      <c r="D5" s="292">
        <v>559.77480500000001</v>
      </c>
      <c r="E5" s="292">
        <v>774.83779700000002</v>
      </c>
      <c r="F5" s="292">
        <v>988.47315000000003</v>
      </c>
      <c r="G5" s="292"/>
      <c r="H5" s="292"/>
      <c r="I5" s="292"/>
      <c r="J5" s="292"/>
      <c r="K5" s="292"/>
      <c r="L5" s="292"/>
      <c r="M5" s="292"/>
      <c r="N5" s="292"/>
      <c r="O5" s="342">
        <f>SUM(C5:N5)</f>
        <v>3048.0666460000002</v>
      </c>
    </row>
    <row r="6" spans="1:15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342">
        <f>SUM(C6:M6)</f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342">
        <f t="shared" ref="O7:O37" si="2">SUM(C7:N7)</f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342">
        <f t="shared" si="2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342">
        <f t="shared" si="2"/>
        <v>0</v>
      </c>
    </row>
    <row r="10" spans="1:15" x14ac:dyDescent="0.15">
      <c r="A10" s="291" t="s">
        <v>22</v>
      </c>
      <c r="B10" s="292">
        <f>B11+B21+B23+B25+B29</f>
        <v>12228.895799999998</v>
      </c>
      <c r="C10" s="292">
        <v>939.16627200000005</v>
      </c>
      <c r="D10" s="292">
        <v>871.39796599999897</v>
      </c>
      <c r="E10" s="292">
        <v>882.29723300000001</v>
      </c>
      <c r="F10" s="292">
        <v>984.31546499999899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342">
        <f t="shared" si="2"/>
        <v>3677.176935999998</v>
      </c>
    </row>
    <row r="11" spans="1:15" x14ac:dyDescent="0.15">
      <c r="A11" s="291" t="s">
        <v>23</v>
      </c>
      <c r="B11" s="292">
        <f>B12+B13</f>
        <v>8204.258679999999</v>
      </c>
      <c r="C11" s="292">
        <v>610.68095300000004</v>
      </c>
      <c r="D11" s="292">
        <v>568.48060399999997</v>
      </c>
      <c r="E11" s="292">
        <v>550.35289599999999</v>
      </c>
      <c r="F11" s="292">
        <v>661.52771399999995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342">
        <f t="shared" si="2"/>
        <v>2391.0421669999996</v>
      </c>
    </row>
    <row r="12" spans="1:15" x14ac:dyDescent="0.15">
      <c r="A12" s="291" t="s">
        <v>144</v>
      </c>
      <c r="B12" s="292">
        <f>B73</f>
        <v>8204.258679999999</v>
      </c>
      <c r="C12" s="293">
        <v>610.68095300000004</v>
      </c>
      <c r="D12" s="293">
        <v>568.48060399999997</v>
      </c>
      <c r="E12" s="293">
        <v>550.35289599999999</v>
      </c>
      <c r="F12" s="293">
        <v>661.52771399999995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343">
        <f t="shared" si="2"/>
        <v>2391.0421669999996</v>
      </c>
    </row>
    <row r="13" spans="1:15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342">
        <f t="shared" si="2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342">
        <f t="shared" si="2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342">
        <f t="shared" si="2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342">
        <f t="shared" si="2"/>
        <v>0</v>
      </c>
    </row>
    <row r="17" spans="1:16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342">
        <f t="shared" si="2"/>
        <v>0</v>
      </c>
    </row>
    <row r="18" spans="1:16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342">
        <f t="shared" si="2"/>
        <v>0</v>
      </c>
    </row>
    <row r="19" spans="1:16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342">
        <f t="shared" si="2"/>
        <v>0</v>
      </c>
    </row>
    <row r="20" spans="1:16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342">
        <f t="shared" si="2"/>
        <v>0</v>
      </c>
    </row>
    <row r="21" spans="1:16" x14ac:dyDescent="0.15">
      <c r="A21" s="291" t="s">
        <v>33</v>
      </c>
      <c r="B21" s="292">
        <v>91</v>
      </c>
      <c r="C21" s="292">
        <v>1.8747099999999901</v>
      </c>
      <c r="D21" s="292">
        <v>1.182131</v>
      </c>
      <c r="E21" s="292">
        <v>0.24573999999999899</v>
      </c>
      <c r="F21" s="292">
        <v>0.27196999999999999</v>
      </c>
      <c r="G21" s="292"/>
      <c r="H21" s="292"/>
      <c r="I21" s="292"/>
      <c r="J21" s="292"/>
      <c r="K21" s="292"/>
      <c r="L21" s="292"/>
      <c r="M21" s="292"/>
      <c r="N21" s="292"/>
      <c r="O21" s="342">
        <f t="shared" si="2"/>
        <v>3.5745509999999894</v>
      </c>
    </row>
    <row r="22" spans="1:16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342">
        <f t="shared" si="2"/>
        <v>0</v>
      </c>
    </row>
    <row r="23" spans="1:16" x14ac:dyDescent="0.15">
      <c r="A23" s="291" t="s">
        <v>35</v>
      </c>
      <c r="B23" s="292">
        <v>684.45911999999998</v>
      </c>
      <c r="C23" s="292">
        <v>39.042807000000003</v>
      </c>
      <c r="D23" s="292">
        <v>38.911504999999998</v>
      </c>
      <c r="E23" s="292">
        <v>18.734611999999998</v>
      </c>
      <c r="F23" s="292">
        <v>44.568342999999899</v>
      </c>
      <c r="G23" s="292"/>
      <c r="H23" s="292"/>
      <c r="I23" s="292"/>
      <c r="J23" s="292"/>
      <c r="K23" s="292"/>
      <c r="L23" s="292"/>
      <c r="M23" s="292"/>
      <c r="N23" s="292"/>
      <c r="O23" s="342">
        <f t="shared" si="2"/>
        <v>141.2572669999999</v>
      </c>
      <c r="P23" s="46"/>
    </row>
    <row r="24" spans="1:16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342">
        <f t="shared" si="2"/>
        <v>0</v>
      </c>
      <c r="P24" s="46"/>
    </row>
    <row r="25" spans="1:16" x14ac:dyDescent="0.15">
      <c r="A25" s="291" t="s">
        <v>37</v>
      </c>
      <c r="B25" s="292">
        <v>3224.1280000000002</v>
      </c>
      <c r="C25" s="292">
        <v>287.56780199999997</v>
      </c>
      <c r="D25" s="292">
        <v>262.82372600000002</v>
      </c>
      <c r="E25" s="292">
        <v>312.96398499999998</v>
      </c>
      <c r="F25" s="292">
        <v>277.94743799999998</v>
      </c>
      <c r="G25" s="292"/>
      <c r="H25" s="292"/>
      <c r="I25" s="292"/>
      <c r="J25" s="292"/>
      <c r="K25" s="292"/>
      <c r="L25" s="292"/>
      <c r="M25" s="292"/>
      <c r="N25" s="292"/>
      <c r="O25" s="342">
        <f t="shared" si="2"/>
        <v>1141.3029509999999</v>
      </c>
      <c r="P25" s="46"/>
    </row>
    <row r="26" spans="1:16" hidden="1" x14ac:dyDescent="0.15">
      <c r="A26" s="291" t="s">
        <v>38</v>
      </c>
      <c r="B26" s="292"/>
      <c r="C26" s="292">
        <v>287.80484899999999</v>
      </c>
      <c r="D26" s="292">
        <v>263.62459200000001</v>
      </c>
      <c r="E26" s="292">
        <v>313.61950199999899</v>
      </c>
      <c r="F26" s="292">
        <v>278.16663799999998</v>
      </c>
      <c r="G26" s="292"/>
      <c r="H26" s="292"/>
      <c r="I26" s="292"/>
      <c r="J26" s="292"/>
      <c r="K26" s="292"/>
      <c r="L26" s="292"/>
      <c r="M26" s="292"/>
      <c r="N26" s="292"/>
      <c r="O26" s="342">
        <f t="shared" si="2"/>
        <v>1143.215580999999</v>
      </c>
      <c r="P26" s="46"/>
    </row>
    <row r="27" spans="1:16" hidden="1" x14ac:dyDescent="0.15">
      <c r="A27" s="291" t="s">
        <v>39</v>
      </c>
      <c r="B27" s="292"/>
      <c r="C27" s="292">
        <v>0.24004699999999901</v>
      </c>
      <c r="D27" s="292">
        <v>0.80886599999999997</v>
      </c>
      <c r="E27" s="292">
        <v>0.67851700000000004</v>
      </c>
      <c r="F27" s="292">
        <v>0.22689999999999999</v>
      </c>
      <c r="G27" s="292"/>
      <c r="H27" s="292"/>
      <c r="I27" s="292"/>
      <c r="J27" s="292"/>
      <c r="K27" s="292"/>
      <c r="L27" s="292"/>
      <c r="M27" s="292"/>
      <c r="N27" s="292"/>
      <c r="O27" s="342">
        <f t="shared" si="2"/>
        <v>1.9543299999999988</v>
      </c>
    </row>
    <row r="28" spans="1:16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342">
        <f t="shared" si="2"/>
        <v>0</v>
      </c>
    </row>
    <row r="29" spans="1:16" x14ac:dyDescent="0.15">
      <c r="A29" s="291" t="s">
        <v>41</v>
      </c>
      <c r="B29" s="292">
        <v>25.05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342">
        <f t="shared" si="2"/>
        <v>0</v>
      </c>
    </row>
    <row r="30" spans="1:16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342">
        <f t="shared" si="2"/>
        <v>0</v>
      </c>
    </row>
    <row r="31" spans="1:16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342">
        <f t="shared" si="2"/>
        <v>0</v>
      </c>
    </row>
    <row r="32" spans="1:16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342">
        <f t="shared" si="2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342">
        <f t="shared" si="2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342">
        <f t="shared" si="2"/>
        <v>0</v>
      </c>
    </row>
    <row r="35" spans="1:15" x14ac:dyDescent="0.15">
      <c r="A35" s="291" t="s">
        <v>47</v>
      </c>
      <c r="B35" s="292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342">
        <f t="shared" si="2"/>
        <v>0</v>
      </c>
    </row>
    <row r="36" spans="1:15" x14ac:dyDescent="0.15">
      <c r="A36" s="291" t="s">
        <v>48</v>
      </c>
      <c r="B36" s="295">
        <f>B3-B10+B35</f>
        <v>-1514.4050307691978</v>
      </c>
      <c r="C36" s="292">
        <v>-214.18537799999999</v>
      </c>
      <c r="D36" s="295">
        <v>-311.62316099999902</v>
      </c>
      <c r="E36" s="295">
        <v>-107.459436</v>
      </c>
      <c r="F36" s="295">
        <v>4.15768499999903</v>
      </c>
      <c r="G36" s="295">
        <f t="shared" ref="G36:N36" si="6">G3-G10+G35</f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 t="shared" si="6"/>
        <v>0</v>
      </c>
      <c r="O36" s="342">
        <f t="shared" si="2"/>
        <v>-629.11028999999996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342">
        <f t="shared" si="2"/>
        <v>0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342">
        <f t="shared" ref="O38:O68" si="7">SUM(C38:N38)</f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342">
        <f t="shared" si="7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342">
        <f t="shared" si="7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342">
        <f t="shared" si="7"/>
        <v>0</v>
      </c>
    </row>
    <row r="42" spans="1:15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342">
        <f t="shared" si="7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342">
        <f t="shared" si="7"/>
        <v>0</v>
      </c>
    </row>
    <row r="44" spans="1:15" hidden="1" x14ac:dyDescent="0.15">
      <c r="A44" s="291" t="s">
        <v>56</v>
      </c>
      <c r="B44" s="292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44">
        <f t="shared" si="7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342">
        <f t="shared" si="7"/>
        <v>0</v>
      </c>
    </row>
    <row r="46" spans="1:15" x14ac:dyDescent="0.15">
      <c r="A46" s="291" t="s">
        <v>58</v>
      </c>
      <c r="B46" s="292">
        <f>B36+B37-B42</f>
        <v>-1514.4050307691978</v>
      </c>
      <c r="C46" s="292">
        <v>-214.18537799999999</v>
      </c>
      <c r="D46" s="296">
        <v>-311.62316099999998</v>
      </c>
      <c r="E46" s="296">
        <v>-107.459436</v>
      </c>
      <c r="F46" s="296">
        <v>4.1576849999999599</v>
      </c>
      <c r="G46" s="296">
        <f t="shared" ref="G46:N46" si="8">G36+G37-G42</f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342">
        <f t="shared" si="7"/>
        <v>-629.11028999999996</v>
      </c>
    </row>
    <row r="47" spans="1:15" x14ac:dyDescent="0.15">
      <c r="A47" s="291" t="s">
        <v>59</v>
      </c>
      <c r="B47" s="297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342">
        <f t="shared" si="7"/>
        <v>0</v>
      </c>
    </row>
    <row r="48" spans="1:15" x14ac:dyDescent="0.15">
      <c r="A48" s="291" t="s">
        <v>60</v>
      </c>
      <c r="B48" s="297"/>
      <c r="C48" s="292">
        <v>-214.18537799999999</v>
      </c>
      <c r="D48" s="292">
        <v>-311.62316099999998</v>
      </c>
      <c r="E48" s="292">
        <v>-107.459435999999</v>
      </c>
      <c r="F48" s="292">
        <v>4.1576849999989296</v>
      </c>
      <c r="G48" s="292"/>
      <c r="H48" s="292"/>
      <c r="I48" s="292"/>
      <c r="J48" s="292"/>
      <c r="K48" s="292"/>
      <c r="L48" s="292"/>
      <c r="M48" s="292"/>
      <c r="N48" s="292"/>
      <c r="O48" s="342">
        <f t="shared" si="7"/>
        <v>-629.11029000000008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7"/>
        <v>0</v>
      </c>
    </row>
    <row r="50" spans="1:15" ht="24" hidden="1" x14ac:dyDescent="0.15">
      <c r="A50" s="291" t="s">
        <v>62</v>
      </c>
      <c r="B50" s="298"/>
      <c r="C50" s="292">
        <v>-214.18537799999999</v>
      </c>
      <c r="D50" s="292">
        <v>-311.62316099999998</v>
      </c>
      <c r="E50" s="292">
        <v>-107.459436</v>
      </c>
      <c r="F50" s="292">
        <v>4.1576850000009804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7"/>
        <v>-629.11028999999905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7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7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7"/>
        <v>0</v>
      </c>
    </row>
    <row r="54" spans="1:15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7"/>
        <v>0</v>
      </c>
    </row>
    <row r="55" spans="1:15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7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7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7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7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7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7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7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7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159.46248600000101</v>
      </c>
      <c r="H63" s="292">
        <v>-518.47515600000099</v>
      </c>
      <c r="I63" s="292">
        <v>-264.60565499999899</v>
      </c>
      <c r="J63" s="292">
        <v>214.011742</v>
      </c>
      <c r="K63" s="292">
        <v>-213.85855699999999</v>
      </c>
      <c r="L63" s="292">
        <v>-422.79468700000001</v>
      </c>
      <c r="M63" s="292">
        <v>-456.662951999999</v>
      </c>
      <c r="N63" s="292">
        <v>-669.35547299999905</v>
      </c>
      <c r="O63" s="292">
        <f t="shared" si="7"/>
        <v>-2172.2782519999969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/>
      <c r="G64" s="292">
        <v>159.46248600000001</v>
      </c>
      <c r="H64" s="292">
        <v>-518.47515599999997</v>
      </c>
      <c r="I64" s="292">
        <v>-264.60565499999899</v>
      </c>
      <c r="J64" s="292">
        <v>214.011742</v>
      </c>
      <c r="K64" s="292">
        <v>-213.85855699999999</v>
      </c>
      <c r="L64" s="292">
        <v>-422.79468700000001</v>
      </c>
      <c r="M64" s="292">
        <v>-456.662951999999</v>
      </c>
      <c r="N64" s="292">
        <v>-669.35547299999905</v>
      </c>
      <c r="O64" s="292">
        <f t="shared" si="7"/>
        <v>-2172.2782519999969</v>
      </c>
    </row>
    <row r="65" spans="1:16" hidden="1" x14ac:dyDescent="0.15">
      <c r="A65" s="291" t="s">
        <v>77</v>
      </c>
      <c r="B65" s="298"/>
      <c r="C65" s="292">
        <v>-214.18537799999999</v>
      </c>
      <c r="D65" s="292"/>
      <c r="E65" s="292">
        <v>-107.459436</v>
      </c>
      <c r="F65" s="292">
        <v>4.1576849999999599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7"/>
        <v>-317.48712900000004</v>
      </c>
    </row>
    <row r="66" spans="1:16" ht="24" hidden="1" x14ac:dyDescent="0.15">
      <c r="A66" s="291" t="s">
        <v>78</v>
      </c>
      <c r="B66" s="298"/>
      <c r="C66" s="292">
        <v>-214.18537799999999</v>
      </c>
      <c r="D66" s="292">
        <v>-311.62316099999998</v>
      </c>
      <c r="E66" s="292">
        <v>-107.459436</v>
      </c>
      <c r="F66" s="292">
        <v>4.1576850000009804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7"/>
        <v>-629.11028999999905</v>
      </c>
    </row>
    <row r="67" spans="1:16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7"/>
        <v>0</v>
      </c>
    </row>
    <row r="68" spans="1:16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7"/>
        <v>0</v>
      </c>
    </row>
    <row r="69" spans="1:16" hidden="1" x14ac:dyDescent="0.15">
      <c r="A69" s="291" t="s">
        <v>81</v>
      </c>
      <c r="B69" s="299"/>
    </row>
    <row r="70" spans="1:16" hidden="1" x14ac:dyDescent="0.15">
      <c r="A70" s="291" t="s">
        <v>82</v>
      </c>
      <c r="B70" s="299"/>
    </row>
    <row r="71" spans="1:16" x14ac:dyDescent="0.15">
      <c r="B71" s="299"/>
    </row>
    <row r="72" spans="1:16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6" x14ac:dyDescent="0.15">
      <c r="A73" s="303" t="s">
        <v>146</v>
      </c>
      <c r="B73" s="304">
        <f t="shared" ref="B73:O73" si="9">SUM(B74:B78)</f>
        <v>8204.258679999999</v>
      </c>
      <c r="C73" s="304">
        <f t="shared" si="9"/>
        <v>610.68095300000004</v>
      </c>
      <c r="D73" s="304">
        <f t="shared" si="9"/>
        <v>568.48060399999986</v>
      </c>
      <c r="E73" s="331">
        <f t="shared" si="9"/>
        <v>550.35289599999987</v>
      </c>
      <c r="F73" s="315">
        <f t="shared" si="9"/>
        <v>661.52771400000006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16">
        <f t="shared" si="9"/>
        <v>2391.0421669999996</v>
      </c>
      <c r="P73" s="46"/>
    </row>
    <row r="74" spans="1:16" x14ac:dyDescent="0.15">
      <c r="A74" s="305" t="s">
        <v>97</v>
      </c>
      <c r="B74" s="317">
        <v>60</v>
      </c>
      <c r="C74" s="85">
        <v>3.8209599999999999</v>
      </c>
      <c r="D74" s="85">
        <v>4.8986669999999997</v>
      </c>
      <c r="E74" s="85"/>
      <c r="F74" s="85">
        <v>6.0096170000000004</v>
      </c>
      <c r="G74" s="85"/>
      <c r="H74" s="85"/>
      <c r="I74" s="85"/>
      <c r="J74" s="85"/>
      <c r="K74" s="85"/>
      <c r="L74" s="85"/>
      <c r="M74" s="85"/>
      <c r="N74" s="85"/>
      <c r="O74" s="310">
        <f>SUM(C74:N74)</f>
        <v>14.729244</v>
      </c>
    </row>
    <row r="75" spans="1:16" x14ac:dyDescent="0.15">
      <c r="A75" s="305" t="s">
        <v>98</v>
      </c>
      <c r="B75" s="317">
        <v>1025.7</v>
      </c>
      <c r="C75" s="85">
        <v>16.357386999999999</v>
      </c>
      <c r="D75" s="85">
        <v>9.2359430000000007</v>
      </c>
      <c r="E75" s="85">
        <v>6.6296020000000002</v>
      </c>
      <c r="F75" s="85">
        <v>10.44736</v>
      </c>
      <c r="G75" s="85"/>
      <c r="H75" s="85"/>
      <c r="I75" s="85"/>
      <c r="J75" s="85"/>
      <c r="K75" s="85"/>
      <c r="L75" s="85"/>
      <c r="M75" s="85"/>
      <c r="N75" s="85"/>
      <c r="O75" s="310">
        <f t="shared" ref="O75:O82" si="10">SUM(C75:N75)</f>
        <v>42.670292000000003</v>
      </c>
    </row>
    <row r="76" spans="1:16" x14ac:dyDescent="0.15">
      <c r="A76" s="305" t="s">
        <v>99</v>
      </c>
      <c r="B76" s="317">
        <v>6237.549</v>
      </c>
      <c r="C76" s="85">
        <v>524.13597800000002</v>
      </c>
      <c r="D76" s="85">
        <v>524.15459199999998</v>
      </c>
      <c r="E76" s="85">
        <v>524.03971999999999</v>
      </c>
      <c r="F76" s="85">
        <v>524.03972899999997</v>
      </c>
      <c r="G76" s="85"/>
      <c r="H76" s="85"/>
      <c r="I76" s="85"/>
      <c r="J76" s="85"/>
      <c r="K76" s="85"/>
      <c r="L76" s="85"/>
      <c r="M76" s="85"/>
      <c r="N76" s="85"/>
      <c r="O76" s="310">
        <f t="shared" si="10"/>
        <v>2096.370019</v>
      </c>
    </row>
    <row r="77" spans="1:16" x14ac:dyDescent="0.15">
      <c r="A77" s="305" t="s">
        <v>100</v>
      </c>
      <c r="B77" s="317">
        <v>516.25968</v>
      </c>
      <c r="C77" s="85">
        <v>51.543331000000002</v>
      </c>
      <c r="D77" s="85">
        <v>24.449579</v>
      </c>
      <c r="E77" s="85">
        <v>19.320267999999999</v>
      </c>
      <c r="F77" s="85">
        <v>57.344290000000001</v>
      </c>
      <c r="G77" s="85"/>
      <c r="H77" s="85"/>
      <c r="I77" s="85"/>
      <c r="J77" s="85"/>
      <c r="K77" s="85"/>
      <c r="L77" s="85"/>
      <c r="M77" s="85"/>
      <c r="N77" s="85"/>
      <c r="O77" s="310">
        <f t="shared" si="10"/>
        <v>152.65746799999999</v>
      </c>
    </row>
    <row r="78" spans="1:16" x14ac:dyDescent="0.15">
      <c r="A78" s="307" t="s">
        <v>101</v>
      </c>
      <c r="B78" s="319">
        <v>364.75</v>
      </c>
      <c r="C78" s="85">
        <v>14.823297</v>
      </c>
      <c r="D78" s="85">
        <v>5.7418230000000001</v>
      </c>
      <c r="E78" s="85">
        <v>0.36330600000000002</v>
      </c>
      <c r="F78" s="85">
        <v>63.686717999999999</v>
      </c>
      <c r="G78" s="85"/>
      <c r="H78" s="85"/>
      <c r="I78" s="320"/>
      <c r="J78" s="85"/>
      <c r="K78" s="85"/>
      <c r="L78" s="85"/>
      <c r="M78" s="85"/>
      <c r="N78" s="85"/>
      <c r="O78" s="310">
        <f t="shared" si="10"/>
        <v>84.615144000000001</v>
      </c>
    </row>
    <row r="79" spans="1:16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0</v>
      </c>
    </row>
    <row r="80" spans="1:16" x14ac:dyDescent="0.15">
      <c r="A80" s="309" t="s">
        <v>103</v>
      </c>
      <c r="B80" s="310">
        <f t="shared" ref="B80:N80" si="12">B21</f>
        <v>91</v>
      </c>
      <c r="C80" s="310">
        <f t="shared" si="12"/>
        <v>1.8747099999999901</v>
      </c>
      <c r="D80" s="310">
        <f t="shared" si="12"/>
        <v>1.182131</v>
      </c>
      <c r="E80" s="310">
        <f t="shared" si="12"/>
        <v>0.24573999999999899</v>
      </c>
      <c r="F80" s="310">
        <f t="shared" si="12"/>
        <v>0.27196999999999999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3.5745509999999894</v>
      </c>
    </row>
    <row r="81" spans="1:15" x14ac:dyDescent="0.15">
      <c r="A81" s="309" t="s">
        <v>104</v>
      </c>
      <c r="B81" s="310">
        <f t="shared" ref="B81:N81" si="13">B23</f>
        <v>684.45911999999998</v>
      </c>
      <c r="C81" s="310">
        <f t="shared" si="13"/>
        <v>39.042807000000003</v>
      </c>
      <c r="D81" s="310">
        <f t="shared" si="13"/>
        <v>38.911504999999998</v>
      </c>
      <c r="E81" s="310">
        <f t="shared" si="13"/>
        <v>18.734611999999998</v>
      </c>
      <c r="F81" s="310">
        <f t="shared" si="13"/>
        <v>44.568342999999899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141.2572669999999</v>
      </c>
    </row>
    <row r="82" spans="1:15" x14ac:dyDescent="0.15">
      <c r="A82" s="309" t="s">
        <v>105</v>
      </c>
      <c r="B82" s="310">
        <f t="shared" ref="B82:N82" si="14">B25</f>
        <v>3224.1280000000002</v>
      </c>
      <c r="C82" s="310">
        <f t="shared" si="14"/>
        <v>287.56780199999997</v>
      </c>
      <c r="D82" s="310">
        <f t="shared" si="14"/>
        <v>262.82372600000002</v>
      </c>
      <c r="E82" s="310">
        <f t="shared" si="14"/>
        <v>312.96398499999998</v>
      </c>
      <c r="F82" s="310">
        <f t="shared" si="14"/>
        <v>277.94743799999998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1141.3029509999999</v>
      </c>
    </row>
    <row r="83" spans="1:15" x14ac:dyDescent="0.15">
      <c r="A83" s="309" t="s">
        <v>106</v>
      </c>
      <c r="B83" s="310">
        <f t="shared" ref="B83:O84" si="15">B29</f>
        <v>25.05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  <row r="87" spans="1:15" x14ac:dyDescent="0.15">
      <c r="M87">
        <v>574884.81999999995</v>
      </c>
    </row>
    <row r="88" spans="1:15" x14ac:dyDescent="0.15">
      <c r="M88">
        <v>357151.51</v>
      </c>
    </row>
    <row r="89" spans="1:15" x14ac:dyDescent="0.15">
      <c r="M89">
        <f>M87-M88</f>
        <v>217733.30999999994</v>
      </c>
    </row>
    <row r="90" spans="1:15" x14ac:dyDescent="0.15">
      <c r="M90">
        <v>5000</v>
      </c>
    </row>
    <row r="91" spans="1:15" x14ac:dyDescent="0.15">
      <c r="M91">
        <f>SUM(M88,M90)</f>
        <v>362151.51</v>
      </c>
    </row>
  </sheetData>
  <phoneticPr fontId="3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2"/>
  <sheetViews>
    <sheetView workbookViewId="0">
      <pane xSplit="1" ySplit="2" topLeftCell="B3" activePane="bottomRight" state="frozenSplit"/>
      <selection pane="topRight"/>
      <selection pane="bottomLeft"/>
      <selection pane="bottomRight" activeCell="F3" sqref="F3:F70"/>
    </sheetView>
  </sheetViews>
  <sheetFormatPr defaultColWidth="9" defaultRowHeight="13.5" x14ac:dyDescent="0.15"/>
  <cols>
    <col min="1" max="1" width="24.375" customWidth="1"/>
    <col min="2" max="2" width="9.125" customWidth="1"/>
    <col min="3" max="15" width="8.5" customWidth="1"/>
  </cols>
  <sheetData>
    <row r="1" spans="1:15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x14ac:dyDescent="0.15">
      <c r="A3" s="291" t="s">
        <v>14</v>
      </c>
      <c r="B3" s="292">
        <f>B4</f>
        <v>9577.1979487179506</v>
      </c>
      <c r="C3" s="292">
        <v>680.75964399999998</v>
      </c>
      <c r="D3" s="292">
        <v>869.01808700000004</v>
      </c>
      <c r="E3" s="292">
        <v>686.75865999999996</v>
      </c>
      <c r="F3" s="292">
        <v>1216.628788</v>
      </c>
      <c r="G3" s="292">
        <f t="shared" ref="G3:N3" si="0">G4</f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>SUM(C3:N3)</f>
        <v>3453.1651790000001</v>
      </c>
    </row>
    <row r="4" spans="1:15" x14ac:dyDescent="0.15">
      <c r="A4" s="291" t="s">
        <v>15</v>
      </c>
      <c r="B4" s="292">
        <f>B5+B6</f>
        <v>9577.1979487179506</v>
      </c>
      <c r="C4" s="292">
        <v>680.75964399999998</v>
      </c>
      <c r="D4" s="292">
        <v>869.01808700000004</v>
      </c>
      <c r="E4" s="292">
        <v>686.75865999999996</v>
      </c>
      <c r="F4" s="292">
        <v>1216.628788</v>
      </c>
      <c r="G4" s="292">
        <f t="shared" ref="G4:N4" si="1">G5+G6</f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292">
        <f>SUM(C4:N4)</f>
        <v>3453.1651790000001</v>
      </c>
    </row>
    <row r="5" spans="1:15" ht="14.25" customHeight="1" x14ac:dyDescent="0.15">
      <c r="A5" s="291" t="s">
        <v>17</v>
      </c>
      <c r="B5" s="292">
        <v>9577.1979487179506</v>
      </c>
      <c r="C5" s="292">
        <v>680.75964399999998</v>
      </c>
      <c r="D5" s="292">
        <v>869.01808700000004</v>
      </c>
      <c r="E5" s="292">
        <v>686.75865999999996</v>
      </c>
      <c r="F5" s="292">
        <v>1216.628788</v>
      </c>
      <c r="G5" s="292"/>
      <c r="H5" s="292"/>
      <c r="I5" s="292"/>
      <c r="J5" s="292"/>
      <c r="K5" s="292"/>
      <c r="L5" s="292"/>
      <c r="M5" s="292"/>
      <c r="N5" s="292"/>
      <c r="O5" s="292">
        <f>SUM(C5:N5)</f>
        <v>3453.1651790000001</v>
      </c>
    </row>
    <row r="6" spans="1:15" ht="17.25" customHeight="1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>SUM(C6:L6)</f>
        <v>0</v>
      </c>
    </row>
    <row r="7" spans="1:15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ref="O7:O37" si="2">SUM(C7:N7)</f>
        <v>0</v>
      </c>
    </row>
    <row r="8" spans="1:15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2"/>
        <v>0</v>
      </c>
    </row>
    <row r="9" spans="1:15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2"/>
        <v>0</v>
      </c>
    </row>
    <row r="10" spans="1:15" x14ac:dyDescent="0.15">
      <c r="A10" s="291" t="s">
        <v>22</v>
      </c>
      <c r="B10" s="292">
        <f>B11+B21+B23+B25+B29</f>
        <v>5280.9790400000002</v>
      </c>
      <c r="C10" s="292">
        <v>461.93588699999998</v>
      </c>
      <c r="D10" s="292">
        <v>381.82506999999998</v>
      </c>
      <c r="E10" s="292">
        <v>462.99315099999899</v>
      </c>
      <c r="F10" s="292">
        <v>489.11139999999898</v>
      </c>
      <c r="G10" s="292">
        <f t="shared" ref="G10:N10" si="3">G11+G21+G23+G25+G29</f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2"/>
        <v>1795.865507999998</v>
      </c>
    </row>
    <row r="11" spans="1:15" x14ac:dyDescent="0.15">
      <c r="A11" s="291" t="s">
        <v>23</v>
      </c>
      <c r="B11" s="292">
        <f>B12+B13</f>
        <v>3326.7787599999997</v>
      </c>
      <c r="C11" s="292">
        <v>283.06828899999999</v>
      </c>
      <c r="D11" s="292">
        <v>239.77438199999901</v>
      </c>
      <c r="E11" s="292">
        <v>239.602429999999</v>
      </c>
      <c r="F11" s="292">
        <v>288.83682499999998</v>
      </c>
      <c r="G11" s="292">
        <f t="shared" ref="G11:N11" si="4">G12+G13</f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292">
        <f t="shared" si="2"/>
        <v>1051.2819259999978</v>
      </c>
    </row>
    <row r="12" spans="1:15" ht="15.75" customHeight="1" x14ac:dyDescent="0.15">
      <c r="A12" s="291" t="s">
        <v>144</v>
      </c>
      <c r="B12" s="292">
        <f>B73</f>
        <v>3326.7787599999997</v>
      </c>
      <c r="C12" s="293">
        <v>283.06828899999999</v>
      </c>
      <c r="D12" s="293">
        <v>239.77438199999901</v>
      </c>
      <c r="E12" s="293">
        <v>239.602429999999</v>
      </c>
      <c r="F12" s="293">
        <v>288.83682499999998</v>
      </c>
      <c r="G12" s="293">
        <f t="shared" ref="G12:N12" si="5">G73</f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3">
        <f t="shared" si="2"/>
        <v>1051.2819259999978</v>
      </c>
    </row>
    <row r="13" spans="1:15" ht="14.25" customHeight="1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2"/>
        <v>0</v>
      </c>
    </row>
    <row r="14" spans="1:15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2"/>
        <v>0</v>
      </c>
    </row>
    <row r="15" spans="1:15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2"/>
        <v>0</v>
      </c>
    </row>
    <row r="16" spans="1:15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2"/>
        <v>0</v>
      </c>
    </row>
    <row r="18" spans="1:15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2"/>
        <v>0</v>
      </c>
    </row>
    <row r="21" spans="1:15" x14ac:dyDescent="0.15">
      <c r="A21" s="291" t="s">
        <v>33</v>
      </c>
      <c r="B21" s="292">
        <v>33</v>
      </c>
      <c r="C21" s="292">
        <v>2.5000000000000001E-3</v>
      </c>
      <c r="D21" s="292">
        <v>0.82458999999999905</v>
      </c>
      <c r="E21" s="292">
        <v>0</v>
      </c>
      <c r="F21" s="292">
        <v>6.6308600000000002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2"/>
        <v>7.4579499999999994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2"/>
        <v>0</v>
      </c>
    </row>
    <row r="23" spans="1:15" x14ac:dyDescent="0.15">
      <c r="A23" s="291" t="s">
        <v>35</v>
      </c>
      <c r="B23" s="292">
        <v>693.37728000000004</v>
      </c>
      <c r="C23" s="292">
        <v>59.354859999999903</v>
      </c>
      <c r="D23" s="292">
        <v>33.163030999999997</v>
      </c>
      <c r="E23" s="292">
        <v>100.731709</v>
      </c>
      <c r="F23" s="292">
        <v>73.834870999999893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2"/>
        <v>267.08447099999978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si="2"/>
        <v>0</v>
      </c>
    </row>
    <row r="25" spans="1:15" x14ac:dyDescent="0.15">
      <c r="A25" s="291" t="s">
        <v>37</v>
      </c>
      <c r="B25" s="292">
        <v>1204.8230000000001</v>
      </c>
      <c r="C25" s="292">
        <v>119.51023799999901</v>
      </c>
      <c r="D25" s="292">
        <v>108.06306699999899</v>
      </c>
      <c r="E25" s="292">
        <v>122.659012</v>
      </c>
      <c r="F25" s="292">
        <v>119.80884399999999</v>
      </c>
      <c r="G25" s="292"/>
      <c r="H25" s="292"/>
      <c r="I25" s="292"/>
      <c r="J25" s="292"/>
      <c r="K25" s="292"/>
      <c r="L25" s="292"/>
      <c r="M25" s="292"/>
      <c r="N25" s="292"/>
      <c r="O25" s="292">
        <f t="shared" si="2"/>
        <v>470.04116099999806</v>
      </c>
    </row>
    <row r="26" spans="1:15" hidden="1" x14ac:dyDescent="0.15">
      <c r="A26" s="291" t="s">
        <v>38</v>
      </c>
      <c r="B26" s="292"/>
      <c r="C26" s="292">
        <v>119.752054</v>
      </c>
      <c r="D26" s="292">
        <v>108.16314399999899</v>
      </c>
      <c r="E26" s="292">
        <v>122.752887</v>
      </c>
      <c r="F26" s="292">
        <v>119.803889</v>
      </c>
      <c r="G26" s="292"/>
      <c r="H26" s="292"/>
      <c r="I26" s="292"/>
      <c r="J26" s="292"/>
      <c r="K26" s="292"/>
      <c r="L26" s="292"/>
      <c r="M26" s="292"/>
      <c r="N26" s="292"/>
      <c r="O26" s="292">
        <f t="shared" si="2"/>
        <v>470.47197399999902</v>
      </c>
    </row>
    <row r="27" spans="1:15" hidden="1" x14ac:dyDescent="0.15">
      <c r="A27" s="291" t="s">
        <v>39</v>
      </c>
      <c r="B27" s="292"/>
      <c r="C27" s="292">
        <v>0.36467500000000003</v>
      </c>
      <c r="D27" s="292">
        <v>0.15162700000000001</v>
      </c>
      <c r="E27" s="292">
        <v>0.123125</v>
      </c>
      <c r="F27" s="292">
        <v>1.5744999999999901E-2</v>
      </c>
      <c r="G27" s="292"/>
      <c r="H27" s="292"/>
      <c r="I27" s="292"/>
      <c r="J27" s="292"/>
      <c r="K27" s="292"/>
      <c r="L27" s="292"/>
      <c r="M27" s="292"/>
      <c r="N27" s="292"/>
      <c r="O27" s="292">
        <f t="shared" si="2"/>
        <v>0.65517199999999998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2"/>
        <v>0</v>
      </c>
    </row>
    <row r="29" spans="1:15" x14ac:dyDescent="0.15">
      <c r="A29" s="291" t="s">
        <v>41</v>
      </c>
      <c r="B29" s="292">
        <v>23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2"/>
        <v>0</v>
      </c>
    </row>
    <row r="30" spans="1:15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2"/>
        <v>0</v>
      </c>
    </row>
    <row r="31" spans="1:15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2"/>
        <v>0</v>
      </c>
    </row>
    <row r="32" spans="1:15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2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2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2"/>
        <v>0</v>
      </c>
    </row>
    <row r="35" spans="1:15" x14ac:dyDescent="0.15">
      <c r="A35" s="291" t="s">
        <v>47</v>
      </c>
      <c r="B35" s="292"/>
      <c r="C35" s="292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2"/>
        <v>0</v>
      </c>
    </row>
    <row r="36" spans="1:15" x14ac:dyDescent="0.15">
      <c r="A36" s="291" t="s">
        <v>48</v>
      </c>
      <c r="B36" s="341">
        <f>B3-B10+B35</f>
        <v>4296.2189087179504</v>
      </c>
      <c r="C36" s="292">
        <v>218.82375699999901</v>
      </c>
      <c r="D36" s="295">
        <v>487.193017</v>
      </c>
      <c r="E36" s="295">
        <v>223.76550899999901</v>
      </c>
      <c r="F36" s="295">
        <v>727.51738799999998</v>
      </c>
      <c r="G36" s="295">
        <f t="shared" ref="G36:N36" si="6">G3-G10+G35</f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 t="shared" si="6"/>
        <v>0</v>
      </c>
      <c r="O36" s="292">
        <f t="shared" si="2"/>
        <v>1657.2996709999979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2"/>
        <v>0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ref="O38:O68" si="7">SUM(C38:N38)</f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7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7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7"/>
        <v>0</v>
      </c>
    </row>
    <row r="42" spans="1:15" x14ac:dyDescent="0.15">
      <c r="A42" s="291" t="s">
        <v>54</v>
      </c>
      <c r="B42" s="292">
        <v>5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7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7"/>
        <v>0</v>
      </c>
    </row>
    <row r="44" spans="1:15" hidden="1" x14ac:dyDescent="0.15">
      <c r="A44" s="291" t="s">
        <v>56</v>
      </c>
      <c r="B44" s="292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25">
        <f t="shared" si="7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si="7"/>
        <v>0</v>
      </c>
    </row>
    <row r="46" spans="1:15" x14ac:dyDescent="0.15">
      <c r="A46" s="291" t="s">
        <v>58</v>
      </c>
      <c r="B46" s="292">
        <f>B36+B37-B42</f>
        <v>4291.2189087179504</v>
      </c>
      <c r="C46" s="292">
        <v>218.82375699999901</v>
      </c>
      <c r="D46" s="296">
        <v>487.193017</v>
      </c>
      <c r="E46" s="296">
        <v>223.76550899999901</v>
      </c>
      <c r="F46" s="296">
        <v>727.51738799999998</v>
      </c>
      <c r="G46" s="296">
        <f t="shared" ref="G46:N46" si="8">G36+G37-G42</f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7"/>
        <v>1657.2996709999979</v>
      </c>
    </row>
    <row r="47" spans="1:15" x14ac:dyDescent="0.15">
      <c r="A47" s="291" t="s">
        <v>59</v>
      </c>
      <c r="B47" s="292"/>
      <c r="C47" s="292"/>
      <c r="D47" s="292"/>
      <c r="E47" s="292">
        <v>25.245479</v>
      </c>
      <c r="F47" s="292">
        <v>0</v>
      </c>
      <c r="G47" s="292"/>
      <c r="H47" s="292"/>
      <c r="I47" s="292"/>
      <c r="J47" s="292"/>
      <c r="K47" s="292"/>
      <c r="L47" s="292"/>
      <c r="M47" s="292"/>
      <c r="N47" s="292"/>
      <c r="O47" s="292">
        <f t="shared" si="7"/>
        <v>25.245479</v>
      </c>
    </row>
    <row r="48" spans="1:15" ht="17.25" customHeight="1" x14ac:dyDescent="0.15">
      <c r="A48" s="291" t="s">
        <v>60</v>
      </c>
      <c r="B48" s="292"/>
      <c r="C48" s="292">
        <v>218.82375699999901</v>
      </c>
      <c r="D48" s="292">
        <v>487.193017</v>
      </c>
      <c r="E48" s="292">
        <v>198.520029999999</v>
      </c>
      <c r="F48" s="292">
        <v>727.51738799999998</v>
      </c>
      <c r="G48" s="292"/>
      <c r="H48" s="292"/>
      <c r="I48" s="292"/>
      <c r="J48" s="292"/>
      <c r="K48" s="292"/>
      <c r="L48" s="292"/>
      <c r="M48" s="292"/>
      <c r="N48" s="292"/>
      <c r="O48" s="292">
        <f t="shared" si="7"/>
        <v>1632.054191999998</v>
      </c>
    </row>
    <row r="49" spans="1:15" ht="17.25" hidden="1" customHeight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7"/>
        <v>0</v>
      </c>
    </row>
    <row r="50" spans="1:15" ht="17.25" hidden="1" customHeight="1" x14ac:dyDescent="0.15">
      <c r="A50" s="291" t="s">
        <v>62</v>
      </c>
      <c r="B50" s="298"/>
      <c r="C50" s="292">
        <v>218.82375699999901</v>
      </c>
      <c r="D50" s="292">
        <v>487.193017</v>
      </c>
      <c r="E50" s="292">
        <v>198.520029999999</v>
      </c>
      <c r="F50" s="292">
        <v>727.51738799999998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7"/>
        <v>1632.054191999998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7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7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7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7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7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7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7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7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7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7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7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7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434.51001000000002</v>
      </c>
      <c r="H63" s="292">
        <v>170.970686</v>
      </c>
      <c r="I63" s="292">
        <v>197.42106699999999</v>
      </c>
      <c r="J63" s="292">
        <v>60.8556409999998</v>
      </c>
      <c r="K63" s="292">
        <v>91.872688999999994</v>
      </c>
      <c r="L63" s="292">
        <v>359.43843099999998</v>
      </c>
      <c r="M63" s="292">
        <v>351.56727100000001</v>
      </c>
      <c r="N63" s="292">
        <v>215.872163999999</v>
      </c>
      <c r="O63" s="292">
        <f t="shared" si="7"/>
        <v>1882.5079589999987</v>
      </c>
    </row>
    <row r="64" spans="1:15" hidden="1" x14ac:dyDescent="0.15">
      <c r="A64" s="291" t="s">
        <v>76</v>
      </c>
      <c r="B64" s="298"/>
      <c r="C64" s="292"/>
      <c r="D64" s="292"/>
      <c r="E64" s="292"/>
      <c r="F64" s="292"/>
      <c r="G64" s="292">
        <v>434.51001000000002</v>
      </c>
      <c r="H64" s="292">
        <v>170.970686</v>
      </c>
      <c r="I64" s="292">
        <v>197.42106699999999</v>
      </c>
      <c r="J64" s="292">
        <v>60.8556409999998</v>
      </c>
      <c r="K64" s="292">
        <v>91.872688999999994</v>
      </c>
      <c r="L64" s="292">
        <v>359.43843099999998</v>
      </c>
      <c r="M64" s="292">
        <v>351.56727100000001</v>
      </c>
      <c r="N64" s="292">
        <v>215.872163999999</v>
      </c>
      <c r="O64" s="292">
        <f t="shared" si="7"/>
        <v>1882.5079589999987</v>
      </c>
    </row>
    <row r="65" spans="1:15" hidden="1" x14ac:dyDescent="0.15">
      <c r="A65" s="291" t="s">
        <v>77</v>
      </c>
      <c r="B65" s="298"/>
      <c r="C65" s="292">
        <v>218.82375699999901</v>
      </c>
      <c r="D65" s="292"/>
      <c r="E65" s="292">
        <v>198.520029999999</v>
      </c>
      <c r="F65" s="292">
        <v>727.51738799999998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7"/>
        <v>1144.861174999998</v>
      </c>
    </row>
    <row r="66" spans="1:15" ht="24" hidden="1" x14ac:dyDescent="0.15">
      <c r="A66" s="291" t="s">
        <v>78</v>
      </c>
      <c r="B66" s="298"/>
      <c r="C66" s="292">
        <v>218.82375699999901</v>
      </c>
      <c r="D66" s="292">
        <v>487.193017</v>
      </c>
      <c r="E66" s="292">
        <v>198.520029999999</v>
      </c>
      <c r="F66" s="292">
        <v>727.51738799999998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7"/>
        <v>1632.054191999998</v>
      </c>
    </row>
    <row r="67" spans="1:15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7"/>
        <v>0</v>
      </c>
    </row>
    <row r="68" spans="1:15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7"/>
        <v>0</v>
      </c>
    </row>
    <row r="69" spans="1:15" hidden="1" x14ac:dyDescent="0.15">
      <c r="A69" s="291" t="s">
        <v>81</v>
      </c>
      <c r="B69" s="299"/>
    </row>
    <row r="70" spans="1:15" hidden="1" x14ac:dyDescent="0.15">
      <c r="A70" s="291" t="s">
        <v>82</v>
      </c>
      <c r="B70" s="299"/>
    </row>
    <row r="71" spans="1:15" x14ac:dyDescent="0.15">
      <c r="B71" s="299"/>
    </row>
    <row r="72" spans="1:15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5" x14ac:dyDescent="0.15">
      <c r="A73" s="303" t="s">
        <v>146</v>
      </c>
      <c r="B73" s="304">
        <f t="shared" ref="B73:O73" si="9">SUM(B74:B78)</f>
        <v>3326.7787599999997</v>
      </c>
      <c r="C73" s="304">
        <f t="shared" si="9"/>
        <v>283.06828900000005</v>
      </c>
      <c r="D73" s="304">
        <f t="shared" si="9"/>
        <v>239.774382</v>
      </c>
      <c r="E73" s="304">
        <f>SUM(E75:E78)</f>
        <v>239.60243</v>
      </c>
      <c r="F73" s="315">
        <f>SUM(F74:F78)</f>
        <v>288.83682600000003</v>
      </c>
      <c r="G73" s="304">
        <f t="shared" si="9"/>
        <v>0</v>
      </c>
      <c r="H73" s="304">
        <f t="shared" si="9"/>
        <v>0</v>
      </c>
      <c r="I73" s="331">
        <f t="shared" si="9"/>
        <v>0</v>
      </c>
      <c r="J73" s="331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1051.2819269999998</v>
      </c>
    </row>
    <row r="74" spans="1:15" x14ac:dyDescent="0.15">
      <c r="A74" s="305" t="s">
        <v>97</v>
      </c>
      <c r="B74" s="317">
        <v>28.14</v>
      </c>
      <c r="C74" s="85"/>
      <c r="D74" s="85"/>
      <c r="F74" s="85"/>
      <c r="G74" s="85"/>
      <c r="H74" s="85"/>
      <c r="I74" s="85"/>
      <c r="J74" s="85"/>
      <c r="K74" s="85"/>
      <c r="L74" s="85"/>
      <c r="M74" s="85"/>
      <c r="N74" s="132"/>
      <c r="O74" s="327">
        <f>SUM(C74:N74)</f>
        <v>0</v>
      </c>
    </row>
    <row r="75" spans="1:15" x14ac:dyDescent="0.15">
      <c r="A75" s="305" t="s">
        <v>98</v>
      </c>
      <c r="B75" s="317">
        <v>75.094999999999999</v>
      </c>
      <c r="C75" s="85"/>
      <c r="D75" s="85"/>
      <c r="E75" s="85">
        <v>2.6960190000000002</v>
      </c>
      <c r="F75" s="85"/>
      <c r="G75" s="85"/>
      <c r="H75" s="85"/>
      <c r="I75" s="85"/>
      <c r="J75" s="85"/>
      <c r="K75" s="85"/>
      <c r="L75" s="320"/>
      <c r="M75" s="85"/>
      <c r="N75" s="132"/>
      <c r="O75" s="327">
        <f t="shared" ref="O75:O82" si="10">SUM(C75:N75)</f>
        <v>2.6960190000000002</v>
      </c>
    </row>
    <row r="76" spans="1:15" x14ac:dyDescent="0.15">
      <c r="A76" s="305" t="s">
        <v>99</v>
      </c>
      <c r="B76" s="317">
        <v>2507.4119999999998</v>
      </c>
      <c r="C76" s="85">
        <v>216.80896200000001</v>
      </c>
      <c r="D76" s="85">
        <v>216.814876</v>
      </c>
      <c r="E76" s="85">
        <v>216.82103699999999</v>
      </c>
      <c r="F76" s="85">
        <v>221.92287400000001</v>
      </c>
      <c r="G76" s="85"/>
      <c r="H76" s="85"/>
      <c r="I76" s="85"/>
      <c r="J76" s="85"/>
      <c r="K76" s="85"/>
      <c r="L76" s="85"/>
      <c r="M76" s="85"/>
      <c r="N76" s="132"/>
      <c r="O76" s="327">
        <f t="shared" si="10"/>
        <v>872.36774899999989</v>
      </c>
    </row>
    <row r="77" spans="1:15" x14ac:dyDescent="0.15">
      <c r="A77" s="305" t="s">
        <v>100</v>
      </c>
      <c r="B77" s="317">
        <v>504.32175999999998</v>
      </c>
      <c r="C77" s="85">
        <v>54.574309</v>
      </c>
      <c r="D77" s="85">
        <v>22.723656999999999</v>
      </c>
      <c r="E77" s="85">
        <v>19.677866000000002</v>
      </c>
      <c r="F77" s="85">
        <v>66.814895000000007</v>
      </c>
      <c r="G77" s="85"/>
      <c r="H77" s="85"/>
      <c r="I77" s="85"/>
      <c r="J77" s="85"/>
      <c r="K77" s="85"/>
      <c r="L77" s="85"/>
      <c r="M77" s="85"/>
      <c r="N77" s="132"/>
      <c r="O77" s="327">
        <f t="shared" si="10"/>
        <v>163.790727</v>
      </c>
    </row>
    <row r="78" spans="1:15" x14ac:dyDescent="0.15">
      <c r="A78" s="307" t="s">
        <v>101</v>
      </c>
      <c r="B78" s="319">
        <v>211.81</v>
      </c>
      <c r="C78" s="85">
        <v>11.685017999999999</v>
      </c>
      <c r="D78" s="85">
        <v>0.235849</v>
      </c>
      <c r="E78" s="85">
        <v>0.40750799999999998</v>
      </c>
      <c r="F78" s="85">
        <v>9.9057000000000006E-2</v>
      </c>
      <c r="G78" s="85"/>
      <c r="H78" s="85"/>
      <c r="I78" s="85"/>
      <c r="J78" s="85"/>
      <c r="K78" s="85"/>
      <c r="L78" s="85"/>
      <c r="M78" s="85"/>
      <c r="N78" s="132"/>
      <c r="O78" s="327">
        <f t="shared" si="10"/>
        <v>12.427432</v>
      </c>
    </row>
    <row r="79" spans="1:15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27">
        <f t="shared" si="10"/>
        <v>0</v>
      </c>
    </row>
    <row r="80" spans="1:15" x14ac:dyDescent="0.15">
      <c r="A80" s="309" t="s">
        <v>103</v>
      </c>
      <c r="B80" s="310">
        <f t="shared" ref="B80:N80" si="12">B21</f>
        <v>33</v>
      </c>
      <c r="C80" s="310">
        <f t="shared" si="12"/>
        <v>2.5000000000000001E-3</v>
      </c>
      <c r="D80" s="310">
        <f t="shared" si="12"/>
        <v>0.82458999999999905</v>
      </c>
      <c r="E80" s="310">
        <f t="shared" si="12"/>
        <v>0</v>
      </c>
      <c r="F80" s="310">
        <f t="shared" si="12"/>
        <v>6.6308600000000002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27">
        <f t="shared" si="10"/>
        <v>7.4579499999999994</v>
      </c>
    </row>
    <row r="81" spans="1:15" x14ac:dyDescent="0.15">
      <c r="A81" s="309" t="s">
        <v>104</v>
      </c>
      <c r="B81" s="310">
        <f t="shared" ref="B81:N81" si="13">B23</f>
        <v>693.37728000000004</v>
      </c>
      <c r="C81" s="310">
        <f t="shared" si="13"/>
        <v>59.354859999999903</v>
      </c>
      <c r="D81" s="310">
        <f t="shared" si="13"/>
        <v>33.163030999999997</v>
      </c>
      <c r="E81" s="310">
        <f t="shared" si="13"/>
        <v>100.731709</v>
      </c>
      <c r="F81" s="310">
        <f t="shared" si="13"/>
        <v>73.834870999999893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27">
        <f t="shared" si="10"/>
        <v>267.08447099999978</v>
      </c>
    </row>
    <row r="82" spans="1:15" x14ac:dyDescent="0.15">
      <c r="A82" s="309" t="s">
        <v>105</v>
      </c>
      <c r="B82" s="310">
        <f t="shared" ref="B82:N82" si="14">B25</f>
        <v>1204.8230000000001</v>
      </c>
      <c r="C82" s="310">
        <f t="shared" si="14"/>
        <v>119.51023799999901</v>
      </c>
      <c r="D82" s="310">
        <f t="shared" si="14"/>
        <v>108.06306699999899</v>
      </c>
      <c r="E82" s="310">
        <f t="shared" si="14"/>
        <v>122.659012</v>
      </c>
      <c r="F82" s="310">
        <f t="shared" si="14"/>
        <v>119.80884399999999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27">
        <f t="shared" si="10"/>
        <v>470.04116099999806</v>
      </c>
    </row>
    <row r="83" spans="1:15" x14ac:dyDescent="0.15">
      <c r="A83" s="309" t="s">
        <v>106</v>
      </c>
      <c r="B83" s="310">
        <f t="shared" ref="B83:O84" si="15">B29</f>
        <v>23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27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  <row r="91" spans="1:15" x14ac:dyDescent="0.15">
      <c r="K91" s="324"/>
    </row>
    <row r="92" spans="1:15" x14ac:dyDescent="0.15">
      <c r="K92" s="324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O87"/>
  <sheetViews>
    <sheetView workbookViewId="0">
      <pane xSplit="1" ySplit="2" topLeftCell="B3" activePane="bottomRight" state="frozenSplit"/>
      <selection pane="topRight"/>
      <selection pane="bottomLeft"/>
      <selection pane="bottomRight" activeCell="F3" sqref="F3:F70"/>
    </sheetView>
  </sheetViews>
  <sheetFormatPr defaultColWidth="9" defaultRowHeight="13.5" x14ac:dyDescent="0.15"/>
  <cols>
    <col min="1" max="1" width="22.5" style="59" customWidth="1"/>
    <col min="2" max="2" width="11.75" customWidth="1"/>
    <col min="3" max="15" width="9.125" style="59" customWidth="1"/>
    <col min="16" max="16384" width="9" style="59"/>
  </cols>
  <sheetData>
    <row r="1" spans="1:15" ht="12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ht="12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5" ht="12" x14ac:dyDescent="0.15">
      <c r="A3" s="291" t="s">
        <v>14</v>
      </c>
      <c r="B3" s="110">
        <f>SUM(三塘湖!B3,淖毛湖!B3,景峡!B3,烟墩!B3)</f>
        <v>21754.090612957269</v>
      </c>
      <c r="C3" s="292">
        <v>2520.9866269999902</v>
      </c>
      <c r="D3" s="292">
        <v>1052.2324610000001</v>
      </c>
      <c r="E3" s="292">
        <v>2560.2786689999998</v>
      </c>
      <c r="F3" s="292">
        <v>2420.1347059999898</v>
      </c>
      <c r="G3" s="292">
        <f>SUM(三塘湖!G3,淖毛湖!G3,景峡!G3,烟墩!G3)</f>
        <v>0</v>
      </c>
      <c r="H3" s="292">
        <f>SUM(三塘湖!H3,淖毛湖!H3,景峡!H3,烟墩!H3)</f>
        <v>0</v>
      </c>
      <c r="I3" s="292">
        <f>SUM(三塘湖!I3,淖毛湖!I3,景峡!I3,烟墩!I3)</f>
        <v>0</v>
      </c>
      <c r="J3" s="292">
        <f>SUM(三塘湖!J3,淖毛湖!J3,景峡!J3,烟墩!J3)</f>
        <v>0</v>
      </c>
      <c r="K3" s="292">
        <f>SUM(三塘湖!K3,淖毛湖!K3,景峡!K3,烟墩!K3)</f>
        <v>0</v>
      </c>
      <c r="L3" s="292">
        <f>SUM(三塘湖!L3,淖毛湖!L3,景峡!L3,烟墩!L3)</f>
        <v>0</v>
      </c>
      <c r="M3" s="292">
        <f>SUM(三塘湖!M3,淖毛湖!M3,景峡!M3,烟墩!M3)</f>
        <v>0</v>
      </c>
      <c r="N3" s="292">
        <f>SUM(三塘湖!N3,淖毛湖!N3,景峡!N3,烟墩!N3)</f>
        <v>0</v>
      </c>
      <c r="O3" s="292">
        <f t="shared" ref="O3:O12" si="0">SUM(C3:N3)</f>
        <v>8553.6324629999799</v>
      </c>
    </row>
    <row r="4" spans="1:15" ht="12" x14ac:dyDescent="0.15">
      <c r="A4" s="291" t="s">
        <v>15</v>
      </c>
      <c r="B4" s="110">
        <f>SUM(三塘湖!B4,淖毛湖!B4,景峡!B4,烟墩!B4)</f>
        <v>21754.090612957269</v>
      </c>
      <c r="C4" s="292">
        <v>2520.9866269999902</v>
      </c>
      <c r="D4" s="292">
        <v>1052.2324610000001</v>
      </c>
      <c r="E4" s="292">
        <v>2560.2786689999998</v>
      </c>
      <c r="F4" s="292">
        <v>2420.1347059999898</v>
      </c>
      <c r="G4" s="292">
        <f>SUM(三塘湖!G4,淖毛湖!G4,景峡!G4,烟墩!G4)</f>
        <v>0</v>
      </c>
      <c r="H4" s="292">
        <f>SUM(三塘湖!H4,淖毛湖!H4,景峡!H4,烟墩!H4)</f>
        <v>0</v>
      </c>
      <c r="I4" s="292">
        <f>SUM(三塘湖!I4,淖毛湖!I4,景峡!I4,烟墩!I4)</f>
        <v>0</v>
      </c>
      <c r="J4" s="292">
        <f>SUM(三塘湖!J4,淖毛湖!J4,景峡!J4,烟墩!J4)</f>
        <v>0</v>
      </c>
      <c r="K4" s="292">
        <f>SUM(三塘湖!K4,淖毛湖!K4,景峡!K4,烟墩!K4)</f>
        <v>0</v>
      </c>
      <c r="L4" s="292">
        <f>SUM(三塘湖!L4,淖毛湖!L4,景峡!L4,烟墩!L4)</f>
        <v>0</v>
      </c>
      <c r="M4" s="292">
        <f>SUM(三塘湖!M4,淖毛湖!M4,景峡!M4,烟墩!M4)</f>
        <v>0</v>
      </c>
      <c r="N4" s="292">
        <f>SUM(三塘湖!N4,淖毛湖!N4,景峡!N4,烟墩!N4)</f>
        <v>0</v>
      </c>
      <c r="O4" s="292">
        <f t="shared" si="0"/>
        <v>8553.6324629999799</v>
      </c>
    </row>
    <row r="5" spans="1:15" ht="24" x14ac:dyDescent="0.15">
      <c r="A5" s="291" t="s">
        <v>17</v>
      </c>
      <c r="B5" s="110">
        <f>SUM(三塘湖!B5,淖毛湖!B5,景峡!B5,烟墩!B5)</f>
        <v>21250.74061295727</v>
      </c>
      <c r="C5" s="292">
        <v>2520.9866269999902</v>
      </c>
      <c r="D5" s="292">
        <v>1052.2324610000001</v>
      </c>
      <c r="E5" s="292">
        <v>2491.59843399999</v>
      </c>
      <c r="F5" s="292">
        <v>2420.1347059999898</v>
      </c>
      <c r="G5" s="292">
        <f>SUM(三塘湖!G5,淖毛湖!G5,景峡!G5,烟墩!G5)</f>
        <v>0</v>
      </c>
      <c r="H5" s="292">
        <f>SUM(三塘湖!H5,淖毛湖!H5,景峡!H5,烟墩!H5)</f>
        <v>0</v>
      </c>
      <c r="I5" s="292">
        <f>SUM(三塘湖!I5,淖毛湖!I5,景峡!I5,烟墩!I5)</f>
        <v>0</v>
      </c>
      <c r="J5" s="292">
        <f>SUM(三塘湖!J5,淖毛湖!J5,景峡!J5,烟墩!J5)</f>
        <v>0</v>
      </c>
      <c r="K5" s="292">
        <f>SUM(三塘湖!K5,淖毛湖!K5,景峡!K5,烟墩!K5)</f>
        <v>0</v>
      </c>
      <c r="L5" s="292">
        <f>SUM(三塘湖!L5,淖毛湖!L5,景峡!L5,烟墩!L5)</f>
        <v>0</v>
      </c>
      <c r="M5" s="292">
        <f>SUM(三塘湖!M5,淖毛湖!M5,景峡!M5,烟墩!M5)</f>
        <v>0</v>
      </c>
      <c r="N5" s="292">
        <f>SUM(三塘湖!N5,淖毛湖!N5,景峡!N5,烟墩!N5)</f>
        <v>0</v>
      </c>
      <c r="O5" s="292">
        <f t="shared" si="0"/>
        <v>8484.9522279999692</v>
      </c>
    </row>
    <row r="6" spans="1:15" ht="12" x14ac:dyDescent="0.15">
      <c r="A6" s="291" t="s">
        <v>18</v>
      </c>
      <c r="B6" s="110">
        <f>SUM(三塘湖!B6,淖毛湖!B6,景峡!B6,烟墩!B6)</f>
        <v>503.35</v>
      </c>
      <c r="C6" s="292"/>
      <c r="D6" s="292"/>
      <c r="E6" s="292">
        <v>68.680234999999996</v>
      </c>
      <c r="F6" s="292">
        <v>0</v>
      </c>
      <c r="G6" s="292">
        <f>SUM(三塘湖!G6,淖毛湖!G6,景峡!G6,烟墩!G6)</f>
        <v>0</v>
      </c>
      <c r="H6" s="292">
        <f>SUM(三塘湖!H6,淖毛湖!H6,景峡!H6,烟墩!H6)</f>
        <v>0</v>
      </c>
      <c r="I6" s="292">
        <f>SUM(三塘湖!I6,淖毛湖!I6,景峡!I6,烟墩!I6)</f>
        <v>0</v>
      </c>
      <c r="J6" s="292">
        <f>SUM(三塘湖!J6,淖毛湖!J6,景峡!J6,烟墩!J6)</f>
        <v>0</v>
      </c>
      <c r="K6" s="292">
        <f>SUM(三塘湖!K6,淖毛湖!K6,景峡!K6,烟墩!K6)</f>
        <v>0</v>
      </c>
      <c r="L6" s="292">
        <f>SUM(三塘湖!L6,淖毛湖!L6,景峡!L6,烟墩!L6)</f>
        <v>0</v>
      </c>
      <c r="M6" s="292">
        <f>SUM(三塘湖!M6,淖毛湖!M6,景峡!M6,烟墩!M6)</f>
        <v>0</v>
      </c>
      <c r="N6" s="292">
        <f>SUM(三塘湖!N6,淖毛湖!N6,景峡!N6,烟墩!N6)</f>
        <v>0</v>
      </c>
      <c r="O6" s="292">
        <f t="shared" si="0"/>
        <v>68.680234999999996</v>
      </c>
    </row>
    <row r="7" spans="1:15" ht="12" hidden="1" x14ac:dyDescent="0.15">
      <c r="A7" s="291" t="s">
        <v>19</v>
      </c>
      <c r="B7" s="110">
        <f>SUM(三塘湖!B7,淖毛湖!B7,景峡!B7,烟墩!B7)</f>
        <v>0</v>
      </c>
      <c r="C7" s="292"/>
      <c r="D7" s="292"/>
      <c r="E7" s="292"/>
      <c r="F7" s="292"/>
      <c r="G7" s="292">
        <f>SUM(三塘湖!G7,淖毛湖!G7,景峡!G7,烟墩!G7)</f>
        <v>0</v>
      </c>
      <c r="H7" s="292">
        <f>SUM(三塘湖!H7,淖毛湖!H7,景峡!H7,烟墩!H7)</f>
        <v>0</v>
      </c>
      <c r="I7" s="292">
        <f>SUM(三塘湖!I7,淖毛湖!I7,景峡!I7,烟墩!I7)</f>
        <v>0</v>
      </c>
      <c r="J7" s="292">
        <f>SUM(三塘湖!J7,淖毛湖!J7,景峡!J7,烟墩!J7)</f>
        <v>0</v>
      </c>
      <c r="K7" s="292">
        <f>SUM(三塘湖!K7,淖毛湖!K7,景峡!K7,烟墩!K7)</f>
        <v>0</v>
      </c>
      <c r="L7" s="292">
        <f>SUM(三塘湖!L7,淖毛湖!L7,景峡!L7,烟墩!L7)</f>
        <v>0</v>
      </c>
      <c r="M7" s="292">
        <f>SUM(三塘湖!M7,淖毛湖!M7,景峡!M7,烟墩!M7)</f>
        <v>0</v>
      </c>
      <c r="N7" s="292">
        <f>SUM(三塘湖!N7,淖毛湖!N7,景峡!N7,烟墩!N7)</f>
        <v>0</v>
      </c>
      <c r="O7" s="292">
        <f t="shared" si="0"/>
        <v>0</v>
      </c>
    </row>
    <row r="8" spans="1:15" ht="12" hidden="1" x14ac:dyDescent="0.15">
      <c r="A8" s="291" t="s">
        <v>20</v>
      </c>
      <c r="B8" s="110">
        <f>SUM(三塘湖!B8,淖毛湖!B8,景峡!B8,烟墩!B8)</f>
        <v>0</v>
      </c>
      <c r="C8" s="292"/>
      <c r="D8" s="292"/>
      <c r="E8" s="292"/>
      <c r="F8" s="292"/>
      <c r="G8" s="292">
        <f>SUM(三塘湖!G8,淖毛湖!G8,景峡!G8,烟墩!G8)</f>
        <v>0</v>
      </c>
      <c r="H8" s="292">
        <f>SUM(三塘湖!H8,淖毛湖!H8,景峡!H8,烟墩!H8)</f>
        <v>0</v>
      </c>
      <c r="I8" s="292">
        <f>SUM(三塘湖!I8,淖毛湖!I8,景峡!I8,烟墩!I8)</f>
        <v>0</v>
      </c>
      <c r="J8" s="292">
        <f>SUM(三塘湖!J8,淖毛湖!J8,景峡!J8,烟墩!J8)</f>
        <v>0</v>
      </c>
      <c r="K8" s="292">
        <f>SUM(三塘湖!K8,淖毛湖!K8,景峡!K8,烟墩!K8)</f>
        <v>0</v>
      </c>
      <c r="L8" s="292">
        <f>SUM(三塘湖!L8,淖毛湖!L8,景峡!L8,烟墩!L8)</f>
        <v>0</v>
      </c>
      <c r="M8" s="292">
        <f>SUM(三塘湖!M8,淖毛湖!M8,景峡!M8,烟墩!M8)</f>
        <v>0</v>
      </c>
      <c r="N8" s="292">
        <f>SUM(三塘湖!N8,淖毛湖!N8,景峡!N8,烟墩!N8)</f>
        <v>0</v>
      </c>
      <c r="O8" s="292">
        <f t="shared" si="0"/>
        <v>0</v>
      </c>
    </row>
    <row r="9" spans="1:15" ht="12" hidden="1" x14ac:dyDescent="0.15">
      <c r="A9" s="291" t="s">
        <v>21</v>
      </c>
      <c r="B9" s="110">
        <f>SUM(三塘湖!B9,淖毛湖!B9,景峡!B9,烟墩!B9)</f>
        <v>0</v>
      </c>
      <c r="C9" s="292"/>
      <c r="D9" s="292"/>
      <c r="E9" s="292"/>
      <c r="F9" s="292"/>
      <c r="G9" s="292">
        <f>SUM(三塘湖!G9,淖毛湖!G9,景峡!G9,烟墩!G9)</f>
        <v>0</v>
      </c>
      <c r="H9" s="292">
        <f>SUM(三塘湖!H9,淖毛湖!H9,景峡!H9,烟墩!H9)</f>
        <v>0</v>
      </c>
      <c r="I9" s="292">
        <f>SUM(三塘湖!I9,淖毛湖!I9,景峡!I9,烟墩!I9)</f>
        <v>0</v>
      </c>
      <c r="J9" s="292">
        <f>SUM(三塘湖!J9,淖毛湖!J9,景峡!J9,烟墩!J9)</f>
        <v>0</v>
      </c>
      <c r="K9" s="292">
        <f>SUM(三塘湖!K9,淖毛湖!K9,景峡!K9,烟墩!K9)</f>
        <v>0</v>
      </c>
      <c r="L9" s="292">
        <f>SUM(三塘湖!L9,淖毛湖!L9,景峡!L9,烟墩!L9)</f>
        <v>0</v>
      </c>
      <c r="M9" s="292">
        <f>SUM(三塘湖!M9,淖毛湖!M9,景峡!M9,烟墩!M9)</f>
        <v>0</v>
      </c>
      <c r="N9" s="292">
        <f>SUM(三塘湖!N9,淖毛湖!N9,景峡!N9,烟墩!N9)</f>
        <v>0</v>
      </c>
      <c r="O9" s="292">
        <f t="shared" si="0"/>
        <v>0</v>
      </c>
    </row>
    <row r="10" spans="1:15" ht="12" x14ac:dyDescent="0.15">
      <c r="A10" s="291" t="s">
        <v>22</v>
      </c>
      <c r="B10" s="110">
        <f>SUM(三塘湖!B10,淖毛湖!B10,景峡!B10,烟墩!B10)</f>
        <v>21474.161368000001</v>
      </c>
      <c r="C10" s="292">
        <v>1638.8564879999999</v>
      </c>
      <c r="D10" s="292">
        <v>1393.3748270000001</v>
      </c>
      <c r="E10" s="292">
        <v>1458.5120509999999</v>
      </c>
      <c r="F10" s="292">
        <v>1853.92682299999</v>
      </c>
      <c r="G10" s="292">
        <f>SUM(三塘湖!G10,淖毛湖!G10,景峡!G10,烟墩!G10)</f>
        <v>0</v>
      </c>
      <c r="H10" s="292">
        <f>SUM(三塘湖!H10,淖毛湖!H10,景峡!H10,烟墩!H10)</f>
        <v>0</v>
      </c>
      <c r="I10" s="292">
        <f>SUM(三塘湖!I10,淖毛湖!I10,景峡!I10,烟墩!I10)</f>
        <v>0</v>
      </c>
      <c r="J10" s="292">
        <f>SUM(三塘湖!J10,淖毛湖!J10,景峡!J10,烟墩!J10)</f>
        <v>0</v>
      </c>
      <c r="K10" s="292">
        <f>SUM(三塘湖!K10,淖毛湖!K10,景峡!K10,烟墩!K10)</f>
        <v>0</v>
      </c>
      <c r="L10" s="292">
        <f>SUM(三塘湖!L10,淖毛湖!L10,景峡!L10,烟墩!L10)</f>
        <v>0</v>
      </c>
      <c r="M10" s="292">
        <f>SUM(三塘湖!M10,淖毛湖!M10,景峡!M10,烟墩!M10)</f>
        <v>0</v>
      </c>
      <c r="N10" s="292">
        <f>SUM(三塘湖!N10,淖毛湖!N10,景峡!N10,烟墩!N10)</f>
        <v>0</v>
      </c>
      <c r="O10" s="292">
        <f t="shared" si="0"/>
        <v>6344.6701889999895</v>
      </c>
    </row>
    <row r="11" spans="1:15" ht="12" x14ac:dyDescent="0.15">
      <c r="A11" s="291" t="s">
        <v>23</v>
      </c>
      <c r="B11" s="110">
        <f>SUM(三塘湖!B11,淖毛湖!B11,景峡!B11,烟墩!B11)</f>
        <v>12644.283568000001</v>
      </c>
      <c r="C11" s="292">
        <v>1048.200826</v>
      </c>
      <c r="D11" s="292">
        <v>893.62823200000003</v>
      </c>
      <c r="E11" s="292">
        <v>919.20242499999995</v>
      </c>
      <c r="F11" s="292">
        <v>1154.79985699999</v>
      </c>
      <c r="G11" s="292">
        <f>SUM(三塘湖!G11,淖毛湖!G11,景峡!G11,烟墩!G11)</f>
        <v>0</v>
      </c>
      <c r="H11" s="292">
        <f>SUM(三塘湖!H11,淖毛湖!H11,景峡!H11,烟墩!H11)</f>
        <v>0</v>
      </c>
      <c r="I11" s="292">
        <f>SUM(三塘湖!I11,淖毛湖!I11,景峡!I11,烟墩!I11)</f>
        <v>0</v>
      </c>
      <c r="J11" s="292">
        <f>SUM(三塘湖!J11,淖毛湖!J11,景峡!J11,烟墩!J11)</f>
        <v>0</v>
      </c>
      <c r="K11" s="292">
        <f>SUM(三塘湖!K11,淖毛湖!K11,景峡!K11,烟墩!K11)</f>
        <v>0</v>
      </c>
      <c r="L11" s="292">
        <f>SUM(三塘湖!L11,淖毛湖!L11,景峡!L11,烟墩!L11)</f>
        <v>0</v>
      </c>
      <c r="M11" s="292">
        <f>SUM(三塘湖!M11,淖毛湖!M11,景峡!M11,烟墩!M11)</f>
        <v>0</v>
      </c>
      <c r="N11" s="292">
        <f>SUM(三塘湖!N11,淖毛湖!N11,景峡!N11,烟墩!N11)</f>
        <v>0</v>
      </c>
      <c r="O11" s="292">
        <f t="shared" si="0"/>
        <v>4015.8313399999897</v>
      </c>
    </row>
    <row r="12" spans="1:15" ht="24" x14ac:dyDescent="0.15">
      <c r="A12" s="291" t="s">
        <v>144</v>
      </c>
      <c r="B12" s="110">
        <f>SUM(三塘湖!B12,淖毛湖!B12,景峡!B12,烟墩!B12)</f>
        <v>12064.283568000001</v>
      </c>
      <c r="C12" s="293">
        <v>1048.200826</v>
      </c>
      <c r="D12" s="292">
        <v>893.62823200000003</v>
      </c>
      <c r="E12" s="292">
        <v>775.88036399999896</v>
      </c>
      <c r="F12" s="292">
        <v>1154.799857</v>
      </c>
      <c r="G12" s="292">
        <f>SUM(三塘湖!G12,淖毛湖!G12,景峡!G12,烟墩!G12)</f>
        <v>0</v>
      </c>
      <c r="H12" s="292">
        <f>SUM(三塘湖!H12,淖毛湖!H12,景峡!H12,烟墩!H12)</f>
        <v>0</v>
      </c>
      <c r="I12" s="292">
        <f>SUM(三塘湖!I12,淖毛湖!I12,景峡!I12,烟墩!I12)</f>
        <v>0</v>
      </c>
      <c r="J12" s="292">
        <f>SUM(三塘湖!J12,淖毛湖!J12,景峡!J12,烟墩!J12)</f>
        <v>0</v>
      </c>
      <c r="K12" s="292">
        <f>SUM(三塘湖!K12,淖毛湖!K12,景峡!K12,烟墩!K12)</f>
        <v>0</v>
      </c>
      <c r="L12" s="292">
        <f>SUM(三塘湖!L12,淖毛湖!L12,景峡!L12,烟墩!L12)</f>
        <v>0</v>
      </c>
      <c r="M12" s="292">
        <f>SUM(三塘湖!M12,淖毛湖!M12,景峡!M12,烟墩!M12)</f>
        <v>0</v>
      </c>
      <c r="N12" s="292">
        <f>SUM(三塘湖!N12,淖毛湖!N12,景峡!N12,烟墩!N12)</f>
        <v>0</v>
      </c>
      <c r="O12" s="296">
        <f t="shared" si="0"/>
        <v>3872.509278999999</v>
      </c>
    </row>
    <row r="13" spans="1:15" ht="12" x14ac:dyDescent="0.15">
      <c r="A13" s="291" t="s">
        <v>25</v>
      </c>
      <c r="B13" s="110">
        <f>SUM(三塘湖!B13,淖毛湖!B13,景峡!B13,烟墩!B13)</f>
        <v>580</v>
      </c>
      <c r="C13" s="292"/>
      <c r="D13" s="292"/>
      <c r="E13" s="292">
        <v>143.32206099999999</v>
      </c>
      <c r="F13" s="292">
        <v>0</v>
      </c>
      <c r="G13" s="292">
        <f>SUM(三塘湖!G13,淖毛湖!G13,景峡!G13,烟墩!G13)</f>
        <v>0</v>
      </c>
      <c r="H13" s="292">
        <f>SUM(三塘湖!H13,淖毛湖!H13,景峡!H13,烟墩!H13)</f>
        <v>0</v>
      </c>
      <c r="I13" s="292">
        <f>SUM(三塘湖!I13,淖毛湖!I13,景峡!I13,烟墩!I13)</f>
        <v>0</v>
      </c>
      <c r="J13" s="292">
        <f>SUM(三塘湖!J13,淖毛湖!J13,景峡!J13,烟墩!J13)</f>
        <v>0</v>
      </c>
      <c r="K13" s="292">
        <f>SUM(三塘湖!K13,淖毛湖!K13,景峡!K13,烟墩!K13)</f>
        <v>0</v>
      </c>
      <c r="L13" s="292">
        <f>SUM(三塘湖!L13,淖毛湖!L13,景峡!L13,烟墩!L13)</f>
        <v>0</v>
      </c>
      <c r="M13" s="292">
        <f>SUM(三塘湖!M13,淖毛湖!M13,景峡!M13,烟墩!M13)</f>
        <v>0</v>
      </c>
      <c r="N13" s="292">
        <f>SUM(三塘湖!N13,淖毛湖!N13,景峡!N13,烟墩!N13)</f>
        <v>0</v>
      </c>
      <c r="O13" s="292">
        <f t="shared" ref="O13:O40" si="1">SUM(C13:N13)</f>
        <v>143.32206099999999</v>
      </c>
    </row>
    <row r="14" spans="1:15" ht="12" hidden="1" x14ac:dyDescent="0.15">
      <c r="A14" s="291" t="s">
        <v>26</v>
      </c>
      <c r="B14" s="110">
        <f>SUM(三塘湖!B14,淖毛湖!B14,景峡!B14,烟墩!B14)</f>
        <v>0</v>
      </c>
      <c r="C14" s="292"/>
      <c r="D14" s="292"/>
      <c r="E14" s="292"/>
      <c r="F14" s="292"/>
      <c r="G14" s="292">
        <f>SUM(三塘湖!G14,淖毛湖!G14,景峡!G14,烟墩!G14)</f>
        <v>0</v>
      </c>
      <c r="H14" s="292">
        <f>SUM(三塘湖!H14,淖毛湖!H14,景峡!H14,烟墩!H14)</f>
        <v>0</v>
      </c>
      <c r="I14" s="292">
        <f>SUM(三塘湖!I14,淖毛湖!I14,景峡!I14,烟墩!I14)</f>
        <v>0</v>
      </c>
      <c r="J14" s="292">
        <f>SUM(三塘湖!J14,淖毛湖!J14,景峡!J14,烟墩!J14)</f>
        <v>0</v>
      </c>
      <c r="K14" s="292">
        <f>SUM(三塘湖!K14,淖毛湖!K14,景峡!K14,烟墩!K14)</f>
        <v>0</v>
      </c>
      <c r="L14" s="292">
        <f>SUM(三塘湖!L14,淖毛湖!L14,景峡!L14,烟墩!L14)</f>
        <v>0</v>
      </c>
      <c r="M14" s="292">
        <f>SUM(三塘湖!M14,淖毛湖!M14,景峡!M14,烟墩!M14)</f>
        <v>0</v>
      </c>
      <c r="N14" s="292">
        <f>SUM(三塘湖!N14,淖毛湖!N14,景峡!N14,烟墩!N14)</f>
        <v>0</v>
      </c>
      <c r="O14" s="292">
        <f t="shared" si="1"/>
        <v>0</v>
      </c>
    </row>
    <row r="15" spans="1:15" ht="12" hidden="1" x14ac:dyDescent="0.15">
      <c r="A15" s="291" t="s">
        <v>27</v>
      </c>
      <c r="B15" s="110">
        <f>SUM(三塘湖!B15,淖毛湖!B15,景峡!B15,烟墩!B15)</f>
        <v>0</v>
      </c>
      <c r="C15" s="292"/>
      <c r="D15" s="292"/>
      <c r="E15" s="292"/>
      <c r="F15" s="292"/>
      <c r="G15" s="292">
        <f>SUM(三塘湖!G15,淖毛湖!G15,景峡!G15,烟墩!G15)</f>
        <v>0</v>
      </c>
      <c r="H15" s="292">
        <f>SUM(三塘湖!H15,淖毛湖!H15,景峡!H15,烟墩!H15)</f>
        <v>0</v>
      </c>
      <c r="I15" s="292">
        <f>SUM(三塘湖!I15,淖毛湖!I15,景峡!I15,烟墩!I15)</f>
        <v>0</v>
      </c>
      <c r="J15" s="292">
        <f>SUM(三塘湖!J15,淖毛湖!J15,景峡!J15,烟墩!J15)</f>
        <v>0</v>
      </c>
      <c r="K15" s="292">
        <f>SUM(三塘湖!K15,淖毛湖!K15,景峡!K15,烟墩!K15)</f>
        <v>0</v>
      </c>
      <c r="L15" s="292">
        <f>SUM(三塘湖!L15,淖毛湖!L15,景峡!L15,烟墩!L15)</f>
        <v>0</v>
      </c>
      <c r="M15" s="292">
        <f>SUM(三塘湖!M15,淖毛湖!M15,景峡!M15,烟墩!M15)</f>
        <v>0</v>
      </c>
      <c r="N15" s="292">
        <f>SUM(三塘湖!N15,淖毛湖!N15,景峡!N15,烟墩!N15)</f>
        <v>0</v>
      </c>
      <c r="O15" s="292">
        <f t="shared" si="1"/>
        <v>0</v>
      </c>
    </row>
    <row r="16" spans="1:15" ht="12" hidden="1" x14ac:dyDescent="0.15">
      <c r="A16" s="291" t="s">
        <v>28</v>
      </c>
      <c r="B16" s="110">
        <f>SUM(三塘湖!B16,淖毛湖!B16,景峡!B16,烟墩!B16)</f>
        <v>0</v>
      </c>
      <c r="C16" s="292"/>
      <c r="D16" s="292"/>
      <c r="E16" s="292"/>
      <c r="F16" s="292"/>
      <c r="G16" s="292">
        <f>SUM(三塘湖!G16,淖毛湖!G16,景峡!G16,烟墩!G16)</f>
        <v>0</v>
      </c>
      <c r="H16" s="292">
        <f>SUM(三塘湖!H16,淖毛湖!H16,景峡!H16,烟墩!H16)</f>
        <v>0</v>
      </c>
      <c r="I16" s="292">
        <f>SUM(三塘湖!I16,淖毛湖!I16,景峡!I16,烟墩!I16)</f>
        <v>0</v>
      </c>
      <c r="J16" s="292">
        <f>SUM(三塘湖!J16,淖毛湖!J16,景峡!J16,烟墩!J16)</f>
        <v>0</v>
      </c>
      <c r="K16" s="292">
        <f>SUM(三塘湖!K16,淖毛湖!K16,景峡!K16,烟墩!K16)</f>
        <v>0</v>
      </c>
      <c r="L16" s="292">
        <f>SUM(三塘湖!L16,淖毛湖!L16,景峡!L16,烟墩!L16)</f>
        <v>0</v>
      </c>
      <c r="M16" s="292">
        <f>SUM(三塘湖!M16,淖毛湖!M16,景峡!M16,烟墩!M16)</f>
        <v>0</v>
      </c>
      <c r="N16" s="292">
        <f>SUM(三塘湖!N16,淖毛湖!N16,景峡!N16,烟墩!N16)</f>
        <v>0</v>
      </c>
      <c r="O16" s="292">
        <f t="shared" si="1"/>
        <v>0</v>
      </c>
    </row>
    <row r="17" spans="1:15" ht="12" hidden="1" x14ac:dyDescent="0.15">
      <c r="A17" s="291" t="s">
        <v>29</v>
      </c>
      <c r="B17" s="110">
        <f>SUM(三塘湖!B17,淖毛湖!B17,景峡!B17,烟墩!B17)</f>
        <v>0</v>
      </c>
      <c r="C17" s="292"/>
      <c r="D17" s="292"/>
      <c r="E17" s="292"/>
      <c r="F17" s="292"/>
      <c r="G17" s="292">
        <f>SUM(三塘湖!G17,淖毛湖!G17,景峡!G17,烟墩!G17)</f>
        <v>0</v>
      </c>
      <c r="H17" s="292">
        <f>SUM(三塘湖!H17,淖毛湖!H17,景峡!H17,烟墩!H17)</f>
        <v>0</v>
      </c>
      <c r="I17" s="292">
        <f>SUM(三塘湖!I17,淖毛湖!I17,景峡!I17,烟墩!I17)</f>
        <v>0</v>
      </c>
      <c r="J17" s="292">
        <f>SUM(三塘湖!J17,淖毛湖!J17,景峡!J17,烟墩!J17)</f>
        <v>0</v>
      </c>
      <c r="K17" s="292">
        <f>SUM(三塘湖!K17,淖毛湖!K17,景峡!K17,烟墩!K17)</f>
        <v>0</v>
      </c>
      <c r="L17" s="292">
        <f>SUM(三塘湖!L17,淖毛湖!L17,景峡!L17,烟墩!L17)</f>
        <v>0</v>
      </c>
      <c r="M17" s="292">
        <f>SUM(三塘湖!M17,淖毛湖!M17,景峡!M17,烟墩!M17)</f>
        <v>0</v>
      </c>
      <c r="N17" s="292">
        <f>SUM(三塘湖!N17,淖毛湖!N17,景峡!N17,烟墩!N17)</f>
        <v>0</v>
      </c>
      <c r="O17" s="292">
        <f t="shared" si="1"/>
        <v>0</v>
      </c>
    </row>
    <row r="18" spans="1:15" ht="24" hidden="1" x14ac:dyDescent="0.15">
      <c r="A18" s="291" t="s">
        <v>30</v>
      </c>
      <c r="B18" s="110">
        <f>SUM(三塘湖!B18,淖毛湖!B18,景峡!B18,烟墩!B18)</f>
        <v>0</v>
      </c>
      <c r="C18" s="292"/>
      <c r="D18" s="292"/>
      <c r="E18" s="292"/>
      <c r="F18" s="292"/>
      <c r="G18" s="292">
        <f>SUM(三塘湖!G18,淖毛湖!G18,景峡!G18,烟墩!G18)</f>
        <v>0</v>
      </c>
      <c r="H18" s="292">
        <f>SUM(三塘湖!H18,淖毛湖!H18,景峡!H18,烟墩!H18)</f>
        <v>0</v>
      </c>
      <c r="I18" s="292">
        <f>SUM(三塘湖!I18,淖毛湖!I18,景峡!I18,烟墩!I18)</f>
        <v>0</v>
      </c>
      <c r="J18" s="292">
        <f>SUM(三塘湖!J18,淖毛湖!J18,景峡!J18,烟墩!J18)</f>
        <v>0</v>
      </c>
      <c r="K18" s="292">
        <f>SUM(三塘湖!K18,淖毛湖!K18,景峡!K18,烟墩!K18)</f>
        <v>0</v>
      </c>
      <c r="L18" s="292">
        <f>SUM(三塘湖!L18,淖毛湖!L18,景峡!L18,烟墩!L18)</f>
        <v>0</v>
      </c>
      <c r="M18" s="292">
        <f>SUM(三塘湖!M18,淖毛湖!M18,景峡!M18,烟墩!M18)</f>
        <v>0</v>
      </c>
      <c r="N18" s="292">
        <f>SUM(三塘湖!N18,淖毛湖!N18,景峡!N18,烟墩!N18)</f>
        <v>0</v>
      </c>
      <c r="O18" s="292">
        <f t="shared" si="1"/>
        <v>0</v>
      </c>
    </row>
    <row r="19" spans="1:15" ht="12" hidden="1" x14ac:dyDescent="0.15">
      <c r="A19" s="291" t="s">
        <v>31</v>
      </c>
      <c r="B19" s="110">
        <f>SUM(三塘湖!B19,淖毛湖!B19,景峡!B19,烟墩!B19)</f>
        <v>0</v>
      </c>
      <c r="C19" s="292"/>
      <c r="D19" s="292"/>
      <c r="E19" s="292"/>
      <c r="F19" s="292"/>
      <c r="G19" s="292">
        <f>SUM(三塘湖!G19,淖毛湖!G19,景峡!G19,烟墩!G19)</f>
        <v>0</v>
      </c>
      <c r="H19" s="292">
        <f>SUM(三塘湖!H19,淖毛湖!H19,景峡!H19,烟墩!H19)</f>
        <v>0</v>
      </c>
      <c r="I19" s="292">
        <f>SUM(三塘湖!I19,淖毛湖!I19,景峡!I19,烟墩!I19)</f>
        <v>0</v>
      </c>
      <c r="J19" s="292">
        <f>SUM(三塘湖!J19,淖毛湖!J19,景峡!J19,烟墩!J19)</f>
        <v>0</v>
      </c>
      <c r="K19" s="292">
        <f>SUM(三塘湖!K19,淖毛湖!K19,景峡!K19,烟墩!K19)</f>
        <v>0</v>
      </c>
      <c r="L19" s="292">
        <f>SUM(三塘湖!L19,淖毛湖!L19,景峡!L19,烟墩!L19)</f>
        <v>0</v>
      </c>
      <c r="M19" s="292">
        <f>SUM(三塘湖!M19,淖毛湖!M19,景峡!M19,烟墩!M19)</f>
        <v>0</v>
      </c>
      <c r="N19" s="292">
        <f>SUM(三塘湖!N19,淖毛湖!N19,景峡!N19,烟墩!N19)</f>
        <v>0</v>
      </c>
      <c r="O19" s="292">
        <f t="shared" si="1"/>
        <v>0</v>
      </c>
    </row>
    <row r="20" spans="1:15" ht="12" hidden="1" x14ac:dyDescent="0.15">
      <c r="A20" s="291" t="s">
        <v>32</v>
      </c>
      <c r="B20" s="110">
        <f>SUM(三塘湖!B20,淖毛湖!B20,景峡!B20,烟墩!B20)</f>
        <v>0</v>
      </c>
      <c r="C20" s="292"/>
      <c r="D20" s="292"/>
      <c r="E20" s="292"/>
      <c r="F20" s="292"/>
      <c r="G20" s="292">
        <f>SUM(三塘湖!G20,淖毛湖!G20,景峡!G20,烟墩!G20)</f>
        <v>0</v>
      </c>
      <c r="H20" s="292">
        <f>SUM(三塘湖!H20,淖毛湖!H20,景峡!H20,烟墩!H20)</f>
        <v>0</v>
      </c>
      <c r="I20" s="292">
        <f>SUM(三塘湖!I20,淖毛湖!I20,景峡!I20,烟墩!I20)</f>
        <v>0</v>
      </c>
      <c r="J20" s="292">
        <f>SUM(三塘湖!J20,淖毛湖!J20,景峡!J20,烟墩!J20)</f>
        <v>0</v>
      </c>
      <c r="K20" s="292">
        <f>SUM(三塘湖!K20,淖毛湖!K20,景峡!K20,烟墩!K20)</f>
        <v>0</v>
      </c>
      <c r="L20" s="292">
        <f>SUM(三塘湖!L20,淖毛湖!L20,景峡!L20,烟墩!L20)</f>
        <v>0</v>
      </c>
      <c r="M20" s="292">
        <f>SUM(三塘湖!M20,淖毛湖!M20,景峡!M20,烟墩!M20)</f>
        <v>0</v>
      </c>
      <c r="N20" s="292">
        <f>SUM(三塘湖!N20,淖毛湖!N20,景峡!N20,烟墩!N20)</f>
        <v>0</v>
      </c>
      <c r="O20" s="292">
        <f t="shared" si="1"/>
        <v>0</v>
      </c>
    </row>
    <row r="21" spans="1:15" ht="12" x14ac:dyDescent="0.15">
      <c r="A21" s="291" t="s">
        <v>33</v>
      </c>
      <c r="B21" s="110">
        <f>SUM(三塘湖!B21,淖毛湖!B21,景峡!B21,烟墩!B21)</f>
        <v>185.8</v>
      </c>
      <c r="C21" s="292"/>
      <c r="D21" s="292"/>
      <c r="E21" s="292"/>
      <c r="F21" s="292">
        <v>74.873614000000003</v>
      </c>
      <c r="G21" s="292">
        <f>SUM(三塘湖!G21,淖毛湖!G21,景峡!G21,烟墩!G21)</f>
        <v>0</v>
      </c>
      <c r="H21" s="292">
        <f>SUM(三塘湖!H21,淖毛湖!H21,景峡!H21,烟墩!H21)</f>
        <v>0</v>
      </c>
      <c r="I21" s="292">
        <f>SUM(三塘湖!I21,淖毛湖!I21,景峡!I21,烟墩!I21)</f>
        <v>0</v>
      </c>
      <c r="J21" s="292">
        <f>SUM(三塘湖!J21,淖毛湖!J21,景峡!J21,烟墩!J21)</f>
        <v>0</v>
      </c>
      <c r="K21" s="292">
        <f>SUM(三塘湖!K21,淖毛湖!K21,景峡!K21,烟墩!K21)</f>
        <v>0</v>
      </c>
      <c r="L21" s="292">
        <f>SUM(三塘湖!L21,淖毛湖!L21,景峡!L21,烟墩!L21)</f>
        <v>0</v>
      </c>
      <c r="M21" s="292">
        <f>SUM(三塘湖!M21,淖毛湖!M21,景峡!M21,烟墩!M21)</f>
        <v>0</v>
      </c>
      <c r="N21" s="292">
        <f>SUM(三塘湖!N21,淖毛湖!N21,景峡!N21,烟墩!N21)</f>
        <v>0</v>
      </c>
      <c r="O21" s="292">
        <f t="shared" si="1"/>
        <v>74.873614000000003</v>
      </c>
    </row>
    <row r="22" spans="1:15" ht="12" hidden="1" x14ac:dyDescent="0.15">
      <c r="A22" s="291" t="s">
        <v>34</v>
      </c>
      <c r="B22" s="110">
        <f>SUM(三塘湖!B22,淖毛湖!B22,景峡!B22,烟墩!B22)</f>
        <v>0</v>
      </c>
      <c r="C22" s="292"/>
      <c r="D22" s="292"/>
      <c r="E22" s="292"/>
      <c r="F22" s="292"/>
      <c r="G22" s="292">
        <f>SUM(三塘湖!G22,淖毛湖!G22,景峡!G22,烟墩!G22)</f>
        <v>0</v>
      </c>
      <c r="H22" s="292">
        <f>SUM(三塘湖!H22,淖毛湖!H22,景峡!H22,烟墩!H22)</f>
        <v>0</v>
      </c>
      <c r="I22" s="292">
        <f>SUM(三塘湖!I22,淖毛湖!I22,景峡!I22,烟墩!I22)</f>
        <v>0</v>
      </c>
      <c r="J22" s="292">
        <f>SUM(三塘湖!J22,淖毛湖!J22,景峡!J22,烟墩!J22)</f>
        <v>0</v>
      </c>
      <c r="K22" s="292">
        <f>SUM(三塘湖!K22,淖毛湖!K22,景峡!K22,烟墩!K22)</f>
        <v>0</v>
      </c>
      <c r="L22" s="292">
        <f>SUM(三塘湖!L22,淖毛湖!L22,景峡!L22,烟墩!L22)</f>
        <v>0</v>
      </c>
      <c r="M22" s="292">
        <f>SUM(三塘湖!M22,淖毛湖!M22,景峡!M22,烟墩!M22)</f>
        <v>0</v>
      </c>
      <c r="N22" s="292">
        <f>SUM(三塘湖!N22,淖毛湖!N22,景峡!N22,烟墩!N22)</f>
        <v>0</v>
      </c>
      <c r="O22" s="292">
        <f t="shared" si="1"/>
        <v>0</v>
      </c>
    </row>
    <row r="23" spans="1:15" ht="12" x14ac:dyDescent="0.15">
      <c r="A23" s="291" t="s">
        <v>35</v>
      </c>
      <c r="B23" s="110">
        <f>SUM(三塘湖!B23,淖毛湖!B23,景峡!B23,烟墩!B23)</f>
        <v>1048.6078</v>
      </c>
      <c r="C23" s="292">
        <v>88.930318999999997</v>
      </c>
      <c r="D23" s="292">
        <v>45.868166000000002</v>
      </c>
      <c r="E23" s="292">
        <v>52.798149000000002</v>
      </c>
      <c r="F23" s="292">
        <v>120.78147</v>
      </c>
      <c r="G23" s="292">
        <f>SUM(三塘湖!G23,淖毛湖!G23,景峡!G23,烟墩!G23)</f>
        <v>0</v>
      </c>
      <c r="H23" s="292">
        <f>SUM(三塘湖!H23,淖毛湖!H23,景峡!H23,烟墩!H23)</f>
        <v>0</v>
      </c>
      <c r="I23" s="292">
        <f>SUM(三塘湖!I23,淖毛湖!I23,景峡!I23,烟墩!I23)</f>
        <v>0</v>
      </c>
      <c r="J23" s="292">
        <f>SUM(三塘湖!J23,淖毛湖!J23,景峡!J23,烟墩!J23)</f>
        <v>0</v>
      </c>
      <c r="K23" s="292">
        <f>SUM(三塘湖!K23,淖毛湖!K23,景峡!K23,烟墩!K23)</f>
        <v>0</v>
      </c>
      <c r="L23" s="292">
        <f>SUM(三塘湖!L23,淖毛湖!L23,景峡!L23,烟墩!L23)</f>
        <v>0</v>
      </c>
      <c r="M23" s="292">
        <f>SUM(三塘湖!M23,淖毛湖!M23,景峡!M23,烟墩!M23)</f>
        <v>0</v>
      </c>
      <c r="N23" s="292">
        <f>SUM(三塘湖!N23,淖毛湖!N23,景峡!N23,烟墩!N23)</f>
        <v>0</v>
      </c>
      <c r="O23" s="292">
        <f t="shared" si="1"/>
        <v>308.37810400000001</v>
      </c>
    </row>
    <row r="24" spans="1:15" ht="12" hidden="1" x14ac:dyDescent="0.15">
      <c r="A24" s="291" t="s">
        <v>36</v>
      </c>
      <c r="B24" s="110">
        <f>SUM(三塘湖!B24,淖毛湖!B24,景峡!B24,烟墩!B24)</f>
        <v>0</v>
      </c>
      <c r="C24" s="292"/>
      <c r="D24" s="292"/>
      <c r="E24" s="292"/>
      <c r="F24" s="292"/>
      <c r="G24" s="292">
        <f>SUM(三塘湖!G24,淖毛湖!G24,景峡!G24,烟墩!G24)</f>
        <v>0</v>
      </c>
      <c r="H24" s="292">
        <f>SUM(三塘湖!H24,淖毛湖!H24,景峡!H24,烟墩!H24)</f>
        <v>0</v>
      </c>
      <c r="I24" s="292">
        <f>SUM(三塘湖!I24,淖毛湖!I24,景峡!I24,烟墩!I24)</f>
        <v>0</v>
      </c>
      <c r="J24" s="292">
        <f>SUM(三塘湖!J24,淖毛湖!J24,景峡!J24,烟墩!J24)</f>
        <v>0</v>
      </c>
      <c r="K24" s="292">
        <f>SUM(三塘湖!K24,淖毛湖!K24,景峡!K24,烟墩!K24)</f>
        <v>0</v>
      </c>
      <c r="L24" s="292">
        <f>SUM(三塘湖!L24,淖毛湖!L24,景峡!L24,烟墩!L24)</f>
        <v>0</v>
      </c>
      <c r="M24" s="292">
        <f>SUM(三塘湖!M24,淖毛湖!M24,景峡!M24,烟墩!M24)</f>
        <v>0</v>
      </c>
      <c r="N24" s="292">
        <f>SUM(三塘湖!N24,淖毛湖!N24,景峡!N24,烟墩!N24)</f>
        <v>0</v>
      </c>
      <c r="O24" s="292">
        <f t="shared" si="1"/>
        <v>0</v>
      </c>
    </row>
    <row r="25" spans="1:15" ht="12" x14ac:dyDescent="0.15">
      <c r="A25" s="291" t="s">
        <v>37</v>
      </c>
      <c r="B25" s="110">
        <f>SUM(三塘湖!B25,淖毛湖!B25,景峡!B25,烟墩!B25)</f>
        <v>6366.4699999999993</v>
      </c>
      <c r="C25" s="292">
        <v>501.72534299999899</v>
      </c>
      <c r="D25" s="292">
        <v>453.87842899999998</v>
      </c>
      <c r="E25" s="292">
        <v>486.51147699999899</v>
      </c>
      <c r="F25" s="292">
        <v>503.47188199999903</v>
      </c>
      <c r="G25" s="292">
        <f>SUM(三塘湖!G25,淖毛湖!G25,景峡!G25,烟墩!G25)</f>
        <v>0</v>
      </c>
      <c r="H25" s="292">
        <f>SUM(三塘湖!H25,淖毛湖!H25,景峡!H25,烟墩!H25)</f>
        <v>0</v>
      </c>
      <c r="I25" s="292">
        <f>SUM(三塘湖!I25,淖毛湖!I25,景峡!I25,烟墩!I25)</f>
        <v>0</v>
      </c>
      <c r="J25" s="292">
        <f>SUM(三塘湖!J25,淖毛湖!J25,景峡!J25,烟墩!J25)</f>
        <v>0</v>
      </c>
      <c r="K25" s="292">
        <f>SUM(三塘湖!K25,淖毛湖!K25,景峡!K25,烟墩!K25)</f>
        <v>0</v>
      </c>
      <c r="L25" s="292">
        <f>SUM(三塘湖!L25,淖毛湖!L25,景峡!L25,烟墩!L25)</f>
        <v>0</v>
      </c>
      <c r="M25" s="292">
        <f>SUM(三塘湖!M25,淖毛湖!M25,景峡!M25,烟墩!M25)</f>
        <v>0</v>
      </c>
      <c r="N25" s="292">
        <f>SUM(三塘湖!N25,淖毛湖!N25,景峡!N25,烟墩!N25)</f>
        <v>0</v>
      </c>
      <c r="O25" s="292">
        <f t="shared" si="1"/>
        <v>1945.587130999997</v>
      </c>
    </row>
    <row r="26" spans="1:15" ht="12" hidden="1" x14ac:dyDescent="0.15">
      <c r="A26" s="291" t="s">
        <v>38</v>
      </c>
      <c r="B26" s="110">
        <f>SUM(三塘湖!B26,淖毛湖!B26,景峡!B26,烟墩!B26)</f>
        <v>0</v>
      </c>
      <c r="C26" s="292">
        <v>501.72284200000001</v>
      </c>
      <c r="D26" s="292">
        <v>453.82507500000003</v>
      </c>
      <c r="E26" s="292">
        <v>486.94858599999998</v>
      </c>
      <c r="F26" s="292">
        <v>503.61554899999999</v>
      </c>
      <c r="G26" s="292">
        <f>SUM(三塘湖!G26,淖毛湖!G26,景峡!G26,烟墩!G26)</f>
        <v>0</v>
      </c>
      <c r="H26" s="292">
        <f>SUM(三塘湖!H26,淖毛湖!H26,景峡!H26,烟墩!H26)</f>
        <v>0</v>
      </c>
      <c r="I26" s="292">
        <f>SUM(三塘湖!I26,淖毛湖!I26,景峡!I26,烟墩!I26)</f>
        <v>0</v>
      </c>
      <c r="J26" s="292">
        <f>SUM(三塘湖!J26,淖毛湖!J26,景峡!J26,烟墩!J26)</f>
        <v>0</v>
      </c>
      <c r="K26" s="292">
        <f>SUM(三塘湖!K26,淖毛湖!K26,景峡!K26,烟墩!K26)</f>
        <v>0</v>
      </c>
      <c r="L26" s="292">
        <f>SUM(三塘湖!L26,淖毛湖!L26,景峡!L26,烟墩!L26)</f>
        <v>0</v>
      </c>
      <c r="M26" s="292">
        <f>SUM(三塘湖!M26,淖毛湖!M26,景峡!M26,烟墩!M26)</f>
        <v>0</v>
      </c>
      <c r="N26" s="292">
        <f>SUM(三塘湖!N26,淖毛湖!N26,景峡!N26,烟墩!N26)</f>
        <v>0</v>
      </c>
      <c r="O26" s="292">
        <f t="shared" si="1"/>
        <v>1946.1120519999999</v>
      </c>
    </row>
    <row r="27" spans="1:15" ht="12" hidden="1" x14ac:dyDescent="0.15">
      <c r="A27" s="291" t="s">
        <v>39</v>
      </c>
      <c r="B27" s="110">
        <f>SUM(三塘湖!B27,淖毛湖!B27,景峡!B27,烟墩!B27)</f>
        <v>0</v>
      </c>
      <c r="C27" s="292">
        <v>0.18980900000000001</v>
      </c>
      <c r="D27" s="292">
        <v>0.15473599999999901</v>
      </c>
      <c r="E27" s="292">
        <v>0.66390199999999999</v>
      </c>
      <c r="F27" s="292">
        <v>0.21796699999999999</v>
      </c>
      <c r="G27" s="292">
        <f>SUM(三塘湖!G27,淖毛湖!G27,景峡!G27,烟墩!G27)</f>
        <v>0</v>
      </c>
      <c r="H27" s="292">
        <f>SUM(三塘湖!H27,淖毛湖!H27,景峡!H27,烟墩!H27)</f>
        <v>0</v>
      </c>
      <c r="I27" s="292">
        <f>SUM(三塘湖!I27,淖毛湖!I27,景峡!I27,烟墩!I27)</f>
        <v>0</v>
      </c>
      <c r="J27" s="292">
        <f>SUM(三塘湖!J27,淖毛湖!J27,景峡!J27,烟墩!J27)</f>
        <v>0</v>
      </c>
      <c r="K27" s="292">
        <f>SUM(三塘湖!K27,淖毛湖!K27,景峡!K27,烟墩!K27)</f>
        <v>0</v>
      </c>
      <c r="L27" s="292">
        <f>SUM(三塘湖!L27,淖毛湖!L27,景峡!L27,烟墩!L27)</f>
        <v>0</v>
      </c>
      <c r="M27" s="292">
        <f>SUM(三塘湖!M27,淖毛湖!M27,景峡!M27,烟墩!M27)</f>
        <v>0</v>
      </c>
      <c r="N27" s="292">
        <f>SUM(三塘湖!N27,淖毛湖!N27,景峡!N27,烟墩!N27)</f>
        <v>0</v>
      </c>
      <c r="O27" s="292">
        <f t="shared" si="1"/>
        <v>1.226413999999999</v>
      </c>
    </row>
    <row r="28" spans="1:15" ht="24" hidden="1" x14ac:dyDescent="0.15">
      <c r="A28" s="291" t="s">
        <v>40</v>
      </c>
      <c r="B28" s="110">
        <f>SUM(三塘湖!B28,淖毛湖!B28,景峡!B28,烟墩!B28)</f>
        <v>0</v>
      </c>
      <c r="C28" s="292"/>
      <c r="D28" s="292"/>
      <c r="E28" s="292"/>
      <c r="F28" s="292"/>
      <c r="G28" s="292">
        <f>SUM(三塘湖!G28,淖毛湖!G28,景峡!G28,烟墩!G28)</f>
        <v>0</v>
      </c>
      <c r="H28" s="292">
        <f>SUM(三塘湖!H28,淖毛湖!H28,景峡!H28,烟墩!H28)</f>
        <v>0</v>
      </c>
      <c r="I28" s="292">
        <f>SUM(三塘湖!I28,淖毛湖!I28,景峡!I28,烟墩!I28)</f>
        <v>0</v>
      </c>
      <c r="J28" s="292">
        <f>SUM(三塘湖!J28,淖毛湖!J28,景峡!J28,烟墩!J28)</f>
        <v>0</v>
      </c>
      <c r="K28" s="292">
        <f>SUM(三塘湖!K28,淖毛湖!K28,景峡!K28,烟墩!K28)</f>
        <v>0</v>
      </c>
      <c r="L28" s="292">
        <f>SUM(三塘湖!L28,淖毛湖!L28,景峡!L28,烟墩!L28)</f>
        <v>0</v>
      </c>
      <c r="M28" s="292">
        <f>SUM(三塘湖!M28,淖毛湖!M28,景峡!M28,烟墩!M28)</f>
        <v>0</v>
      </c>
      <c r="N28" s="292">
        <f>SUM(三塘湖!N28,淖毛湖!N28,景峡!N28,烟墩!N28)</f>
        <v>0</v>
      </c>
      <c r="O28" s="292">
        <f t="shared" si="1"/>
        <v>0</v>
      </c>
    </row>
    <row r="29" spans="1:15" ht="12" x14ac:dyDescent="0.15">
      <c r="A29" s="291" t="s">
        <v>41</v>
      </c>
      <c r="B29" s="110">
        <f>SUM(三塘湖!B29,淖毛湖!B29,景峡!B29,烟墩!B29)</f>
        <v>1229</v>
      </c>
      <c r="C29" s="292"/>
      <c r="D29" s="292"/>
      <c r="E29" s="292"/>
      <c r="F29" s="292"/>
      <c r="G29" s="292">
        <f>SUM(三塘湖!G29,淖毛湖!G29,景峡!G29,烟墩!G29)</f>
        <v>0</v>
      </c>
      <c r="H29" s="292">
        <f>SUM(三塘湖!H29,淖毛湖!H29,景峡!H29,烟墩!H29)</f>
        <v>0</v>
      </c>
      <c r="I29" s="292">
        <f>SUM(三塘湖!I29,淖毛湖!I29,景峡!I29,烟墩!I29)</f>
        <v>0</v>
      </c>
      <c r="J29" s="292">
        <f>SUM(三塘湖!J29,淖毛湖!J29,景峡!J29,烟墩!J29)</f>
        <v>0</v>
      </c>
      <c r="K29" s="292">
        <f>SUM(三塘湖!K29,淖毛湖!K29,景峡!K29,烟墩!K29)</f>
        <v>0</v>
      </c>
      <c r="L29" s="292">
        <f>SUM(三塘湖!L29,淖毛湖!L29,景峡!L29,烟墩!L29)</f>
        <v>0</v>
      </c>
      <c r="M29" s="292">
        <f>SUM(三塘湖!M29,淖毛湖!M29,景峡!M29,烟墩!M29)</f>
        <v>0</v>
      </c>
      <c r="N29" s="292">
        <f>SUM(三塘湖!N29,淖毛湖!N29,景峡!N29,烟墩!N29)</f>
        <v>0</v>
      </c>
      <c r="O29" s="292">
        <f t="shared" si="1"/>
        <v>0</v>
      </c>
    </row>
    <row r="30" spans="1:15" ht="12" hidden="1" x14ac:dyDescent="0.15">
      <c r="A30" s="291" t="s">
        <v>42</v>
      </c>
      <c r="B30" s="110">
        <f>SUM(三塘湖!B30,淖毛湖!B30,景峡!B30,烟墩!B30)</f>
        <v>0</v>
      </c>
      <c r="C30" s="292"/>
      <c r="D30" s="292"/>
      <c r="E30" s="292"/>
      <c r="F30" s="292"/>
      <c r="G30" s="292">
        <f>SUM(三塘湖!G30,淖毛湖!G30,景峡!G30,烟墩!G30)</f>
        <v>0</v>
      </c>
      <c r="H30" s="292">
        <f>SUM(三塘湖!H30,淖毛湖!H30,景峡!H30,烟墩!H30)</f>
        <v>0</v>
      </c>
      <c r="I30" s="292">
        <f>SUM(三塘湖!I30,淖毛湖!I30,景峡!I30,烟墩!I30)</f>
        <v>0</v>
      </c>
      <c r="J30" s="292">
        <f>SUM(三塘湖!J30,淖毛湖!J30,景峡!J30,烟墩!J30)</f>
        <v>0</v>
      </c>
      <c r="K30" s="292">
        <f>SUM(三塘湖!K30,淖毛湖!K30,景峡!K30,烟墩!K30)</f>
        <v>0</v>
      </c>
      <c r="L30" s="292">
        <f>SUM(三塘湖!L30,淖毛湖!L30,景峡!L30,烟墩!L30)</f>
        <v>0</v>
      </c>
      <c r="M30" s="292">
        <f>SUM(三塘湖!M30,淖毛湖!M30,景峡!M30,烟墩!M30)</f>
        <v>0</v>
      </c>
      <c r="N30" s="292">
        <f>SUM(三塘湖!N30,淖毛湖!N30,景峡!N30,烟墩!N30)</f>
        <v>0</v>
      </c>
      <c r="O30" s="292">
        <f t="shared" si="1"/>
        <v>0</v>
      </c>
    </row>
    <row r="31" spans="1:15" ht="24" hidden="1" x14ac:dyDescent="0.15">
      <c r="A31" s="291" t="s">
        <v>43</v>
      </c>
      <c r="B31" s="110">
        <f>SUM(三塘湖!B31,淖毛湖!B31,景峡!B31,烟墩!B31)</f>
        <v>0</v>
      </c>
      <c r="C31" s="292"/>
      <c r="D31" s="292"/>
      <c r="E31" s="292"/>
      <c r="F31" s="292"/>
      <c r="G31" s="292">
        <f>SUM(三塘湖!G31,淖毛湖!G31,景峡!G31,烟墩!G31)</f>
        <v>0</v>
      </c>
      <c r="H31" s="292">
        <f>SUM(三塘湖!H31,淖毛湖!H31,景峡!H31,烟墩!H31)</f>
        <v>0</v>
      </c>
      <c r="I31" s="292">
        <f>SUM(三塘湖!I31,淖毛湖!I31,景峡!I31,烟墩!I31)</f>
        <v>0</v>
      </c>
      <c r="J31" s="292">
        <f>SUM(三塘湖!J31,淖毛湖!J31,景峡!J31,烟墩!J31)</f>
        <v>0</v>
      </c>
      <c r="K31" s="292">
        <f>SUM(三塘湖!K31,淖毛湖!K31,景峡!K31,烟墩!K31)</f>
        <v>0</v>
      </c>
      <c r="L31" s="292">
        <f>SUM(三塘湖!L31,淖毛湖!L31,景峡!L31,烟墩!L31)</f>
        <v>0</v>
      </c>
      <c r="M31" s="292">
        <f>SUM(三塘湖!M31,淖毛湖!M31,景峡!M31,烟墩!M31)</f>
        <v>0</v>
      </c>
      <c r="N31" s="292">
        <f>SUM(三塘湖!N31,淖毛湖!N31,景峡!N31,烟墩!N31)</f>
        <v>0</v>
      </c>
      <c r="O31" s="292">
        <f t="shared" si="1"/>
        <v>0</v>
      </c>
    </row>
    <row r="32" spans="1:15" ht="24" hidden="1" x14ac:dyDescent="0.15">
      <c r="A32" s="291" t="s">
        <v>44</v>
      </c>
      <c r="B32" s="110">
        <f>SUM(三塘湖!B32,淖毛湖!B32,景峡!B32,烟墩!B32)</f>
        <v>0</v>
      </c>
      <c r="C32" s="292"/>
      <c r="D32" s="292"/>
      <c r="E32" s="292"/>
      <c r="F32" s="292"/>
      <c r="G32" s="292">
        <f>SUM(三塘湖!G32,淖毛湖!G32,景峡!G32,烟墩!G32)</f>
        <v>0</v>
      </c>
      <c r="H32" s="292">
        <f>SUM(三塘湖!H32,淖毛湖!H32,景峡!H32,烟墩!H32)</f>
        <v>0</v>
      </c>
      <c r="I32" s="292">
        <f>SUM(三塘湖!I32,淖毛湖!I32,景峡!I32,烟墩!I32)</f>
        <v>0</v>
      </c>
      <c r="J32" s="292">
        <f>SUM(三塘湖!J32,淖毛湖!J32,景峡!J32,烟墩!J32)</f>
        <v>0</v>
      </c>
      <c r="K32" s="292">
        <f>SUM(三塘湖!K32,淖毛湖!K32,景峡!K32,烟墩!K32)</f>
        <v>0</v>
      </c>
      <c r="L32" s="292">
        <f>SUM(三塘湖!L32,淖毛湖!L32,景峡!L32,烟墩!L32)</f>
        <v>0</v>
      </c>
      <c r="M32" s="292">
        <f>SUM(三塘湖!M32,淖毛湖!M32,景峡!M32,烟墩!M32)</f>
        <v>0</v>
      </c>
      <c r="N32" s="292">
        <f>SUM(三塘湖!N32,淖毛湖!N32,景峡!N32,烟墩!N32)</f>
        <v>0</v>
      </c>
      <c r="O32" s="292">
        <f t="shared" si="1"/>
        <v>0</v>
      </c>
    </row>
    <row r="33" spans="1:15" ht="24" hidden="1" x14ac:dyDescent="0.15">
      <c r="A33" s="291" t="s">
        <v>45</v>
      </c>
      <c r="B33" s="110">
        <f>SUM(三塘湖!B33,淖毛湖!B33,景峡!B33,烟墩!B33)</f>
        <v>0</v>
      </c>
      <c r="C33" s="292"/>
      <c r="D33" s="292"/>
      <c r="E33" s="292"/>
      <c r="F33" s="292"/>
      <c r="G33" s="292">
        <f>SUM(三塘湖!G33,淖毛湖!G33,景峡!G33,烟墩!G33)</f>
        <v>0</v>
      </c>
      <c r="H33" s="292">
        <f>SUM(三塘湖!H33,淖毛湖!H33,景峡!H33,烟墩!H33)</f>
        <v>0</v>
      </c>
      <c r="I33" s="292">
        <f>SUM(三塘湖!I33,淖毛湖!I33,景峡!I33,烟墩!I33)</f>
        <v>0</v>
      </c>
      <c r="J33" s="292">
        <f>SUM(三塘湖!J33,淖毛湖!J33,景峡!J33,烟墩!J33)</f>
        <v>0</v>
      </c>
      <c r="K33" s="292">
        <f>SUM(三塘湖!K33,淖毛湖!K33,景峡!K33,烟墩!K33)</f>
        <v>0</v>
      </c>
      <c r="L33" s="292">
        <f>SUM(三塘湖!L33,淖毛湖!L33,景峡!L33,烟墩!L33)</f>
        <v>0</v>
      </c>
      <c r="M33" s="292">
        <f>SUM(三塘湖!M33,淖毛湖!M33,景峡!M33,烟墩!M33)</f>
        <v>0</v>
      </c>
      <c r="N33" s="292">
        <f>SUM(三塘湖!N33,淖毛湖!N33,景峡!N33,烟墩!N33)</f>
        <v>0</v>
      </c>
      <c r="O33" s="292">
        <f t="shared" si="1"/>
        <v>0</v>
      </c>
    </row>
    <row r="34" spans="1:15" ht="24" hidden="1" x14ac:dyDescent="0.15">
      <c r="A34" s="291" t="s">
        <v>46</v>
      </c>
      <c r="B34" s="110">
        <f>SUM(三塘湖!B34,淖毛湖!B34,景峡!B34,烟墩!B34)</f>
        <v>0</v>
      </c>
      <c r="C34" s="292"/>
      <c r="D34" s="292"/>
      <c r="E34" s="292"/>
      <c r="F34" s="292"/>
      <c r="G34" s="292">
        <f>SUM(三塘湖!G34,淖毛湖!G34,景峡!G34,烟墩!G34)</f>
        <v>0</v>
      </c>
      <c r="H34" s="292">
        <f>SUM(三塘湖!H34,淖毛湖!H34,景峡!H34,烟墩!H34)</f>
        <v>0</v>
      </c>
      <c r="I34" s="292">
        <f>SUM(三塘湖!I34,淖毛湖!I34,景峡!I34,烟墩!I34)</f>
        <v>0</v>
      </c>
      <c r="J34" s="292">
        <f>SUM(三塘湖!J34,淖毛湖!J34,景峡!J34,烟墩!J34)</f>
        <v>0</v>
      </c>
      <c r="K34" s="292">
        <f>SUM(三塘湖!K34,淖毛湖!K34,景峡!K34,烟墩!K34)</f>
        <v>0</v>
      </c>
      <c r="L34" s="292">
        <f>SUM(三塘湖!L34,淖毛湖!L34,景峡!L34,烟墩!L34)</f>
        <v>0</v>
      </c>
      <c r="M34" s="292">
        <f>SUM(三塘湖!M34,淖毛湖!M34,景峡!M34,烟墩!M34)</f>
        <v>0</v>
      </c>
      <c r="N34" s="292">
        <f>SUM(三塘湖!N34,淖毛湖!N34,景峡!N34,烟墩!N34)</f>
        <v>0</v>
      </c>
      <c r="O34" s="292">
        <f t="shared" si="1"/>
        <v>0</v>
      </c>
    </row>
    <row r="35" spans="1:15" ht="12" x14ac:dyDescent="0.15">
      <c r="A35" s="291" t="s">
        <v>47</v>
      </c>
      <c r="B35" s="110">
        <f>SUM(三塘湖!B35,淖毛湖!B35,景峡!B35,烟墩!B35)</f>
        <v>0</v>
      </c>
      <c r="C35" s="292"/>
      <c r="D35" s="292"/>
      <c r="E35" s="292"/>
      <c r="F35" s="292"/>
      <c r="G35" s="292">
        <f>SUM(三塘湖!G35,淖毛湖!G35,景峡!G35,烟墩!G35)</f>
        <v>0</v>
      </c>
      <c r="H35" s="292">
        <f>SUM(三塘湖!H35,淖毛湖!H35,景峡!H35,烟墩!H35)</f>
        <v>0</v>
      </c>
      <c r="I35" s="292">
        <f>SUM(三塘湖!I35,淖毛湖!I35,景峡!I35,烟墩!I35)</f>
        <v>0</v>
      </c>
      <c r="J35" s="292">
        <f>SUM(三塘湖!J35,淖毛湖!J35,景峡!J35,烟墩!J35)</f>
        <v>0</v>
      </c>
      <c r="K35" s="292">
        <f>SUM(三塘湖!K35,淖毛湖!K35,景峡!K35,烟墩!K35)</f>
        <v>0</v>
      </c>
      <c r="L35" s="292">
        <f>SUM(三塘湖!L35,淖毛湖!L35,景峡!L35,烟墩!L35)</f>
        <v>0</v>
      </c>
      <c r="M35" s="292">
        <f>SUM(三塘湖!M35,淖毛湖!M35,景峡!M35,烟墩!M35)</f>
        <v>0</v>
      </c>
      <c r="N35" s="292">
        <f>SUM(三塘湖!N35,淖毛湖!N35,景峡!N35,烟墩!N35)</f>
        <v>0</v>
      </c>
      <c r="O35" s="292">
        <f t="shared" si="1"/>
        <v>0</v>
      </c>
    </row>
    <row r="36" spans="1:15" ht="12" x14ac:dyDescent="0.15">
      <c r="A36" s="291" t="s">
        <v>48</v>
      </c>
      <c r="B36" s="110">
        <f>SUM(三塘湖!B36,淖毛湖!B36,景峡!B36,烟墩!B36)</f>
        <v>279.92924495726947</v>
      </c>
      <c r="C36" s="292">
        <v>882.13013899999999</v>
      </c>
      <c r="D36" s="292">
        <v>-341.14236599999998</v>
      </c>
      <c r="E36" s="292">
        <v>1101.7666179999901</v>
      </c>
      <c r="F36" s="292">
        <v>566.20788300000004</v>
      </c>
      <c r="G36" s="292">
        <f>SUM(三塘湖!G36,淖毛湖!G36,景峡!G36,烟墩!G36)</f>
        <v>0</v>
      </c>
      <c r="H36" s="292">
        <f>SUM(三塘湖!H36,淖毛湖!H36,景峡!H36,烟墩!H36)</f>
        <v>0</v>
      </c>
      <c r="I36" s="292">
        <f>SUM(三塘湖!I36,淖毛湖!I36,景峡!I36,烟墩!I36)</f>
        <v>0</v>
      </c>
      <c r="J36" s="292">
        <f>SUM(三塘湖!J36,淖毛湖!J36,景峡!J36,烟墩!J36)</f>
        <v>0</v>
      </c>
      <c r="K36" s="292">
        <f>SUM(三塘湖!K36,淖毛湖!K36,景峡!K36,烟墩!K36)</f>
        <v>0</v>
      </c>
      <c r="L36" s="292">
        <f>SUM(三塘湖!L36,淖毛湖!L36,景峡!L36,烟墩!L36)</f>
        <v>0</v>
      </c>
      <c r="M36" s="292">
        <f>SUM(三塘湖!M36,淖毛湖!M36,景峡!M36,烟墩!M36)</f>
        <v>0</v>
      </c>
      <c r="N36" s="292">
        <f>SUM(三塘湖!N36,淖毛湖!N36,景峡!N36,烟墩!N36)</f>
        <v>0</v>
      </c>
      <c r="O36" s="292">
        <f t="shared" si="1"/>
        <v>2208.9622739999904</v>
      </c>
    </row>
    <row r="37" spans="1:15" ht="12" x14ac:dyDescent="0.15">
      <c r="A37" s="291" t="s">
        <v>49</v>
      </c>
      <c r="B37" s="110">
        <f>SUM(三塘湖!B37,淖毛湖!B37,景峡!B37,烟墩!B37)</f>
        <v>0</v>
      </c>
      <c r="C37" s="292"/>
      <c r="D37" s="292">
        <v>5.6410260000000001</v>
      </c>
      <c r="E37" s="292">
        <v>0</v>
      </c>
      <c r="F37" s="292">
        <v>0</v>
      </c>
      <c r="G37" s="292">
        <f>SUM(三塘湖!G37,淖毛湖!G37,景峡!G37,烟墩!G37)</f>
        <v>0</v>
      </c>
      <c r="H37" s="292">
        <f>SUM(三塘湖!H37,淖毛湖!H37,景峡!H37,烟墩!H37)</f>
        <v>0</v>
      </c>
      <c r="I37" s="292">
        <f>SUM(三塘湖!I37,淖毛湖!I37,景峡!I37,烟墩!I37)</f>
        <v>0</v>
      </c>
      <c r="J37" s="292">
        <f>SUM(三塘湖!J37,淖毛湖!J37,景峡!J37,烟墩!J37)</f>
        <v>0</v>
      </c>
      <c r="K37" s="292">
        <f>SUM(三塘湖!K37,淖毛湖!K37,景峡!K37,烟墩!K37)</f>
        <v>0</v>
      </c>
      <c r="L37" s="292">
        <f>SUM(三塘湖!L37,淖毛湖!L37,景峡!L37,烟墩!L37)</f>
        <v>0</v>
      </c>
      <c r="M37" s="292">
        <f>SUM(三塘湖!M37,淖毛湖!M37,景峡!M37,烟墩!M37)</f>
        <v>0</v>
      </c>
      <c r="N37" s="292">
        <f>SUM(三塘湖!N37,淖毛湖!N37,景峡!N37,烟墩!N37)</f>
        <v>0</v>
      </c>
      <c r="O37" s="292">
        <f t="shared" si="1"/>
        <v>5.6410260000000001</v>
      </c>
    </row>
    <row r="38" spans="1:15" ht="24" hidden="1" x14ac:dyDescent="0.15">
      <c r="A38" s="291" t="s">
        <v>50</v>
      </c>
      <c r="B38" s="110">
        <f>SUM(三塘湖!B38,淖毛湖!B38,景峡!B38,烟墩!B38)</f>
        <v>0</v>
      </c>
      <c r="C38" s="292"/>
      <c r="D38" s="292"/>
      <c r="E38" s="292"/>
      <c r="F38" s="292"/>
      <c r="G38" s="292">
        <f>SUM(三塘湖!G38,淖毛湖!G38,景峡!G38,烟墩!G38)</f>
        <v>0</v>
      </c>
      <c r="H38" s="292">
        <f>SUM(三塘湖!H38,淖毛湖!H38,景峡!H38,烟墩!H38)</f>
        <v>0</v>
      </c>
      <c r="I38" s="292">
        <f>SUM(三塘湖!I38,淖毛湖!I38,景峡!I38,烟墩!I38)</f>
        <v>0</v>
      </c>
      <c r="J38" s="292">
        <f>SUM(三塘湖!J38,淖毛湖!J38,景峡!J38,烟墩!J38)</f>
        <v>0</v>
      </c>
      <c r="K38" s="292">
        <f>SUM(三塘湖!K38,淖毛湖!K38,景峡!K38,烟墩!K38)</f>
        <v>0</v>
      </c>
      <c r="L38" s="292">
        <f>SUM(三塘湖!L38,淖毛湖!L38,景峡!L38,烟墩!L38)</f>
        <v>0</v>
      </c>
      <c r="M38" s="292">
        <f>SUM(三塘湖!M38,淖毛湖!M38,景峡!M38,烟墩!M38)</f>
        <v>0</v>
      </c>
      <c r="N38" s="292">
        <f>SUM(三塘湖!N38,淖毛湖!N38,景峡!N38,烟墩!N38)</f>
        <v>0</v>
      </c>
      <c r="O38" s="292">
        <f t="shared" si="1"/>
        <v>0</v>
      </c>
    </row>
    <row r="39" spans="1:15" ht="12" hidden="1" x14ac:dyDescent="0.15">
      <c r="A39" s="291" t="s">
        <v>51</v>
      </c>
      <c r="B39" s="110">
        <f>SUM(三塘湖!B39,淖毛湖!B39,景峡!B39,烟墩!B39)</f>
        <v>0</v>
      </c>
      <c r="C39" s="292"/>
      <c r="D39" s="292"/>
      <c r="E39" s="292"/>
      <c r="F39" s="292"/>
      <c r="G39" s="292">
        <f>SUM(三塘湖!G39,淖毛湖!G39,景峡!G39,烟墩!G39)</f>
        <v>0</v>
      </c>
      <c r="H39" s="292">
        <f>SUM(三塘湖!H39,淖毛湖!H39,景峡!H39,烟墩!H39)</f>
        <v>0</v>
      </c>
      <c r="I39" s="292">
        <f>SUM(三塘湖!I39,淖毛湖!I39,景峡!I39,烟墩!I39)</f>
        <v>0</v>
      </c>
      <c r="J39" s="292">
        <f>SUM(三塘湖!J39,淖毛湖!J39,景峡!J39,烟墩!J39)</f>
        <v>0</v>
      </c>
      <c r="K39" s="292">
        <f>SUM(三塘湖!K39,淖毛湖!K39,景峡!K39,烟墩!K39)</f>
        <v>0</v>
      </c>
      <c r="L39" s="292">
        <f>SUM(三塘湖!L39,淖毛湖!L39,景峡!L39,烟墩!L39)</f>
        <v>0</v>
      </c>
      <c r="M39" s="292">
        <f>SUM(三塘湖!M39,淖毛湖!M39,景峡!M39,烟墩!M39)</f>
        <v>0</v>
      </c>
      <c r="N39" s="292">
        <f>SUM(三塘湖!N39,淖毛湖!N39,景峡!N39,烟墩!N39)</f>
        <v>0</v>
      </c>
      <c r="O39" s="292">
        <f t="shared" si="1"/>
        <v>0</v>
      </c>
    </row>
    <row r="40" spans="1:15" ht="12" hidden="1" x14ac:dyDescent="0.15">
      <c r="A40" s="291" t="s">
        <v>52</v>
      </c>
      <c r="B40" s="110">
        <f>SUM(三塘湖!B40,淖毛湖!B40,景峡!B40,烟墩!B40)</f>
        <v>0</v>
      </c>
      <c r="C40" s="292"/>
      <c r="D40" s="292"/>
      <c r="E40" s="292"/>
      <c r="F40" s="292"/>
      <c r="G40" s="292">
        <f>SUM(三塘湖!G40,淖毛湖!G40,景峡!G40,烟墩!G40)</f>
        <v>0</v>
      </c>
      <c r="H40" s="292">
        <f>SUM(三塘湖!H40,淖毛湖!H40,景峡!H40,烟墩!H40)</f>
        <v>0</v>
      </c>
      <c r="I40" s="292">
        <f>SUM(三塘湖!I40,淖毛湖!I40,景峡!I40,烟墩!I40)</f>
        <v>0</v>
      </c>
      <c r="J40" s="292">
        <f>SUM(三塘湖!J40,淖毛湖!J40,景峡!J40,烟墩!J40)</f>
        <v>0</v>
      </c>
      <c r="K40" s="292">
        <f>SUM(三塘湖!K40,淖毛湖!K40,景峡!K40,烟墩!K40)</f>
        <v>0</v>
      </c>
      <c r="L40" s="292">
        <f>SUM(三塘湖!L40,淖毛湖!L40,景峡!L40,烟墩!L40)</f>
        <v>0</v>
      </c>
      <c r="M40" s="292">
        <f>SUM(三塘湖!M40,淖毛湖!M40,景峡!M40,烟墩!M40)</f>
        <v>0</v>
      </c>
      <c r="N40" s="292">
        <f>SUM(三塘湖!N40,淖毛湖!N40,景峡!N40,烟墩!N40)</f>
        <v>0</v>
      </c>
      <c r="O40" s="292">
        <f t="shared" si="1"/>
        <v>0</v>
      </c>
    </row>
    <row r="41" spans="1:15" ht="12" hidden="1" x14ac:dyDescent="0.15">
      <c r="A41" s="291" t="s">
        <v>53</v>
      </c>
      <c r="B41" s="110">
        <f>SUM(三塘湖!B41,淖毛湖!B41,景峡!B41,烟墩!B41)</f>
        <v>0</v>
      </c>
      <c r="C41" s="292"/>
      <c r="D41" s="292"/>
      <c r="E41" s="292"/>
      <c r="F41" s="292"/>
      <c r="G41" s="292">
        <f>SUM(三塘湖!G41,淖毛湖!G41,景峡!G41,烟墩!G41)</f>
        <v>0</v>
      </c>
      <c r="H41" s="292">
        <f>SUM(三塘湖!H41,淖毛湖!H41,景峡!H41,烟墩!H41)</f>
        <v>0</v>
      </c>
      <c r="I41" s="292">
        <f>SUM(三塘湖!I41,淖毛湖!I41,景峡!I41,烟墩!I41)</f>
        <v>0</v>
      </c>
      <c r="J41" s="292">
        <f>SUM(三塘湖!J41,淖毛湖!J41,景峡!J41,烟墩!J41)</f>
        <v>0</v>
      </c>
      <c r="K41" s="292">
        <f>SUM(三塘湖!K41,淖毛湖!K41,景峡!K41,烟墩!K41)</f>
        <v>0</v>
      </c>
      <c r="L41" s="292">
        <f>SUM(三塘湖!L41,淖毛湖!L41,景峡!L41,烟墩!L41)</f>
        <v>0</v>
      </c>
      <c r="M41" s="292">
        <f>SUM(三塘湖!M41,淖毛湖!M41,景峡!M41,烟墩!M41)</f>
        <v>0</v>
      </c>
      <c r="N41" s="292">
        <f>SUM(三塘湖!N41,淖毛湖!N41,景峡!N41,烟墩!N41)</f>
        <v>0</v>
      </c>
      <c r="O41" s="292">
        <f t="shared" ref="O41:O48" si="2">SUM(C41:N41)</f>
        <v>0</v>
      </c>
    </row>
    <row r="42" spans="1:15" ht="12" x14ac:dyDescent="0.15">
      <c r="A42" s="291" t="s">
        <v>54</v>
      </c>
      <c r="B42" s="110">
        <f>SUM(三塘湖!B42,淖毛湖!B42,景峡!B42,烟墩!B42)</f>
        <v>20</v>
      </c>
      <c r="C42" s="292"/>
      <c r="D42" s="292"/>
      <c r="E42" s="292"/>
      <c r="F42" s="292"/>
      <c r="G42" s="292">
        <f>SUM(三塘湖!G42,淖毛湖!G42,景峡!G42,烟墩!G42)</f>
        <v>0</v>
      </c>
      <c r="H42" s="292">
        <f>SUM(三塘湖!H42,淖毛湖!H42,景峡!H42,烟墩!H42)</f>
        <v>0</v>
      </c>
      <c r="I42" s="292">
        <f>SUM(三塘湖!I42,淖毛湖!I42,景峡!I42,烟墩!I42)</f>
        <v>0</v>
      </c>
      <c r="J42" s="292">
        <f>SUM(三塘湖!J42,淖毛湖!J42,景峡!J42,烟墩!J42)</f>
        <v>0</v>
      </c>
      <c r="K42" s="292">
        <f>SUM(三塘湖!K42,淖毛湖!K42,景峡!K42,烟墩!K42)</f>
        <v>0</v>
      </c>
      <c r="L42" s="292">
        <f>SUM(三塘湖!L42,淖毛湖!L42,景峡!L42,烟墩!L42)</f>
        <v>0</v>
      </c>
      <c r="M42" s="292">
        <f>SUM(三塘湖!M42,淖毛湖!M42,景峡!M42,烟墩!M42)</f>
        <v>0</v>
      </c>
      <c r="N42" s="292">
        <f>SUM(三塘湖!N42,淖毛湖!N42,景峡!N42,烟墩!N42)</f>
        <v>0</v>
      </c>
      <c r="O42" s="292">
        <f t="shared" si="2"/>
        <v>0</v>
      </c>
    </row>
    <row r="43" spans="1:15" ht="24" hidden="1" x14ac:dyDescent="0.15">
      <c r="A43" s="291" t="s">
        <v>55</v>
      </c>
      <c r="B43" s="110">
        <f>SUM(三塘湖!B43,淖毛湖!B43,景峡!B43,烟墩!B43)</f>
        <v>0</v>
      </c>
      <c r="C43" s="292"/>
      <c r="D43" s="292"/>
      <c r="E43" s="292"/>
      <c r="F43" s="292"/>
      <c r="G43" s="292">
        <f>SUM(三塘湖!G43,淖毛湖!G43,景峡!G43,烟墩!G43)</f>
        <v>0</v>
      </c>
      <c r="H43" s="292">
        <f>SUM(三塘湖!H43,淖毛湖!H43,景峡!H43,烟墩!H43)</f>
        <v>0</v>
      </c>
      <c r="I43" s="292">
        <f>SUM(三塘湖!I43,淖毛湖!I43,景峡!I43,烟墩!I43)</f>
        <v>0</v>
      </c>
      <c r="J43" s="292">
        <f>SUM(三塘湖!J43,淖毛湖!J43,景峡!J43,烟墩!J43)</f>
        <v>0</v>
      </c>
      <c r="K43" s="292">
        <f>SUM(三塘湖!K43,淖毛湖!K43,景峡!K43,烟墩!K43)</f>
        <v>0</v>
      </c>
      <c r="L43" s="292">
        <f>SUM(三塘湖!L43,淖毛湖!L43,景峡!L43,烟墩!L43)</f>
        <v>0</v>
      </c>
      <c r="M43" s="292">
        <f>SUM(三塘湖!M43,淖毛湖!M43,景峡!M43,烟墩!M43)</f>
        <v>0</v>
      </c>
      <c r="N43" s="292">
        <f>SUM(三塘湖!N43,淖毛湖!N43,景峡!N43,烟墩!N43)</f>
        <v>0</v>
      </c>
      <c r="O43" s="292">
        <f t="shared" si="2"/>
        <v>0</v>
      </c>
    </row>
    <row r="44" spans="1:15" ht="12" hidden="1" x14ac:dyDescent="0.15">
      <c r="A44" s="291" t="s">
        <v>56</v>
      </c>
      <c r="B44" s="110">
        <f>SUM(三塘湖!B44,淖毛湖!B44,景峡!B44,烟墩!B44)</f>
        <v>0</v>
      </c>
      <c r="C44" s="296"/>
      <c r="D44" s="292"/>
      <c r="E44" s="292"/>
      <c r="F44" s="292"/>
      <c r="G44" s="292">
        <f>SUM(三塘湖!G44,淖毛湖!G44,景峡!G44,烟墩!G44)</f>
        <v>0</v>
      </c>
      <c r="H44" s="292">
        <f>SUM(三塘湖!H44,淖毛湖!H44,景峡!H44,烟墩!H44)</f>
        <v>0</v>
      </c>
      <c r="I44" s="292">
        <f>SUM(三塘湖!I44,淖毛湖!I44,景峡!I44,烟墩!I44)</f>
        <v>0</v>
      </c>
      <c r="J44" s="292">
        <f>SUM(三塘湖!J44,淖毛湖!J44,景峡!J44,烟墩!J44)</f>
        <v>0</v>
      </c>
      <c r="K44" s="292">
        <f>SUM(三塘湖!K44,淖毛湖!K44,景峡!K44,烟墩!K44)</f>
        <v>0</v>
      </c>
      <c r="L44" s="292">
        <f>SUM(三塘湖!L44,淖毛湖!L44,景峡!L44,烟墩!L44)</f>
        <v>0</v>
      </c>
      <c r="M44" s="292">
        <f>SUM(三塘湖!M44,淖毛湖!M44,景峡!M44,烟墩!M44)</f>
        <v>0</v>
      </c>
      <c r="N44" s="292">
        <f>SUM(三塘湖!N44,淖毛湖!N44,景峡!N44,烟墩!N44)</f>
        <v>0</v>
      </c>
      <c r="O44" s="296">
        <f t="shared" si="2"/>
        <v>0</v>
      </c>
    </row>
    <row r="45" spans="1:15" ht="12" hidden="1" x14ac:dyDescent="0.15">
      <c r="A45" s="291" t="s">
        <v>57</v>
      </c>
      <c r="B45" s="110">
        <f>SUM(三塘湖!B45,淖毛湖!B45,景峡!B45,烟墩!B45)</f>
        <v>0</v>
      </c>
      <c r="C45" s="292"/>
      <c r="D45" s="292"/>
      <c r="E45" s="292"/>
      <c r="F45" s="292"/>
      <c r="G45" s="292">
        <f>SUM(三塘湖!G45,淖毛湖!G45,景峡!G45,烟墩!G45)</f>
        <v>0</v>
      </c>
      <c r="H45" s="292">
        <f>SUM(三塘湖!H45,淖毛湖!H45,景峡!H45,烟墩!H45)</f>
        <v>0</v>
      </c>
      <c r="I45" s="292">
        <f>SUM(三塘湖!I45,淖毛湖!I45,景峡!I45,烟墩!I45)</f>
        <v>0</v>
      </c>
      <c r="J45" s="292">
        <f>SUM(三塘湖!J45,淖毛湖!J45,景峡!J45,烟墩!J45)</f>
        <v>0</v>
      </c>
      <c r="K45" s="292">
        <f>SUM(三塘湖!K45,淖毛湖!K45,景峡!K45,烟墩!K45)</f>
        <v>0</v>
      </c>
      <c r="L45" s="292">
        <f>SUM(三塘湖!L45,淖毛湖!L45,景峡!L45,烟墩!L45)</f>
        <v>0</v>
      </c>
      <c r="M45" s="292">
        <f>SUM(三塘湖!M45,淖毛湖!M45,景峡!M45,烟墩!M45)</f>
        <v>0</v>
      </c>
      <c r="N45" s="292">
        <f>SUM(三塘湖!N45,淖毛湖!N45,景峡!N45,烟墩!N45)</f>
        <v>0</v>
      </c>
      <c r="O45" s="292">
        <f t="shared" si="2"/>
        <v>0</v>
      </c>
    </row>
    <row r="46" spans="1:15" ht="12" x14ac:dyDescent="0.15">
      <c r="A46" s="291" t="s">
        <v>58</v>
      </c>
      <c r="B46" s="110">
        <f>SUM(三塘湖!B46,淖毛湖!B46,景峡!B46,烟墩!B46)</f>
        <v>259.92924495726947</v>
      </c>
      <c r="C46" s="292">
        <v>882.13013899999999</v>
      </c>
      <c r="D46" s="292">
        <v>-335.50134000000003</v>
      </c>
      <c r="E46" s="292">
        <v>1101.7666180000001</v>
      </c>
      <c r="F46" s="292">
        <v>566.20788299999901</v>
      </c>
      <c r="G46" s="292">
        <f>SUM(三塘湖!G46,淖毛湖!G46,景峡!G46,烟墩!G46)</f>
        <v>0</v>
      </c>
      <c r="H46" s="292">
        <f>SUM(三塘湖!H46,淖毛湖!H46,景峡!H46,烟墩!H46)</f>
        <v>0</v>
      </c>
      <c r="I46" s="292">
        <f>SUM(三塘湖!I46,淖毛湖!I46,景峡!I46,烟墩!I46)</f>
        <v>0</v>
      </c>
      <c r="J46" s="292">
        <f>SUM(三塘湖!J46,淖毛湖!J46,景峡!J46,烟墩!J46)</f>
        <v>0</v>
      </c>
      <c r="K46" s="292">
        <f>SUM(三塘湖!K46,淖毛湖!K46,景峡!K46,烟墩!K46)</f>
        <v>0</v>
      </c>
      <c r="L46" s="292">
        <f>SUM(三塘湖!L46,淖毛湖!L46,景峡!L46,烟墩!L46)</f>
        <v>0</v>
      </c>
      <c r="M46" s="292">
        <f>SUM(三塘湖!M46,淖毛湖!M46,景峡!M46,烟墩!M46)</f>
        <v>0</v>
      </c>
      <c r="N46" s="292">
        <f>SUM(三塘湖!N46,淖毛湖!N46,景峡!N46,烟墩!N46)</f>
        <v>0</v>
      </c>
      <c r="O46" s="292">
        <f t="shared" si="2"/>
        <v>2214.6032999999993</v>
      </c>
    </row>
    <row r="47" spans="1:15" ht="12" x14ac:dyDescent="0.15">
      <c r="A47" s="291" t="s">
        <v>59</v>
      </c>
      <c r="B47" s="110">
        <f>SUM(三塘湖!B47,淖毛湖!B47,景峡!B47,烟墩!B47)</f>
        <v>0</v>
      </c>
      <c r="C47" s="292"/>
      <c r="D47" s="292"/>
      <c r="E47" s="292">
        <v>34.157862000000002</v>
      </c>
      <c r="F47" s="292">
        <v>0</v>
      </c>
      <c r="G47" s="292">
        <f>SUM(三塘湖!G47,淖毛湖!G47,景峡!G47,烟墩!G47)</f>
        <v>0</v>
      </c>
      <c r="H47" s="292">
        <f>SUM(三塘湖!H47,淖毛湖!H47,景峡!H47,烟墩!H47)</f>
        <v>0</v>
      </c>
      <c r="I47" s="292">
        <f>SUM(三塘湖!I47,淖毛湖!I47,景峡!I47,烟墩!I47)</f>
        <v>0</v>
      </c>
      <c r="J47" s="292">
        <f>SUM(三塘湖!J47,淖毛湖!J47,景峡!J47,烟墩!J47)</f>
        <v>0</v>
      </c>
      <c r="K47" s="292">
        <f>SUM(三塘湖!K47,淖毛湖!K47,景峡!K47,烟墩!K47)</f>
        <v>0</v>
      </c>
      <c r="L47" s="292">
        <f>SUM(三塘湖!L47,淖毛湖!L47,景峡!L47,烟墩!L47)</f>
        <v>0</v>
      </c>
      <c r="M47" s="292">
        <f>SUM(三塘湖!M47,淖毛湖!M47,景峡!M47,烟墩!M47)</f>
        <v>0</v>
      </c>
      <c r="N47" s="292">
        <f>SUM(三塘湖!N47,淖毛湖!N47,景峡!N47,烟墩!N47)</f>
        <v>0</v>
      </c>
      <c r="O47" s="292">
        <f t="shared" si="2"/>
        <v>34.157862000000002</v>
      </c>
    </row>
    <row r="48" spans="1:15" ht="12" x14ac:dyDescent="0.15">
      <c r="A48" s="291" t="s">
        <v>60</v>
      </c>
      <c r="B48" s="110">
        <f>SUM(三塘湖!B48,淖毛湖!B48,景峡!B48,烟墩!B48)</f>
        <v>0</v>
      </c>
      <c r="C48" s="292">
        <v>882.13013899999999</v>
      </c>
      <c r="D48" s="292">
        <v>-335.50134000000003</v>
      </c>
      <c r="E48" s="292">
        <v>1067.6087559999901</v>
      </c>
      <c r="F48" s="292">
        <v>566.20788300000004</v>
      </c>
      <c r="G48" s="292">
        <f>SUM(三塘湖!G48,淖毛湖!G48,景峡!G48,烟墩!G48)</f>
        <v>0</v>
      </c>
      <c r="H48" s="292">
        <f>SUM(三塘湖!H48,淖毛湖!H48,景峡!H48,烟墩!H48)</f>
        <v>0</v>
      </c>
      <c r="I48" s="292">
        <f>SUM(三塘湖!I48,淖毛湖!I48,景峡!I48,烟墩!I48)</f>
        <v>0</v>
      </c>
      <c r="J48" s="292">
        <f>SUM(三塘湖!J48,淖毛湖!J48,景峡!J48,烟墩!J48)</f>
        <v>0</v>
      </c>
      <c r="K48" s="292">
        <f>SUM(三塘湖!K48,淖毛湖!K48,景峡!K48,烟墩!K48)</f>
        <v>0</v>
      </c>
      <c r="L48" s="292">
        <f>SUM(三塘湖!L48,淖毛湖!L48,景峡!L48,烟墩!L48)</f>
        <v>0</v>
      </c>
      <c r="M48" s="292">
        <f>SUM(三塘湖!M48,淖毛湖!M48,景峡!M48,烟墩!M48)</f>
        <v>0</v>
      </c>
      <c r="N48" s="292">
        <f>SUM(三塘湖!N48,淖毛湖!N48,景峡!N48,烟墩!N48)</f>
        <v>0</v>
      </c>
      <c r="O48" s="292">
        <f t="shared" si="2"/>
        <v>2180.4454379999902</v>
      </c>
    </row>
    <row r="49" spans="1:15" ht="12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ref="O49:O68" si="3">SUM(C49:N49)</f>
        <v>0</v>
      </c>
    </row>
    <row r="50" spans="1:15" ht="24" hidden="1" x14ac:dyDescent="0.15">
      <c r="A50" s="291" t="s">
        <v>62</v>
      </c>
      <c r="B50" s="298"/>
      <c r="C50" s="292">
        <v>882.13013899999999</v>
      </c>
      <c r="D50" s="292">
        <v>-335.50134000000003</v>
      </c>
      <c r="E50" s="292">
        <v>1067.6087559999901</v>
      </c>
      <c r="F50" s="292">
        <v>566.20788300000004</v>
      </c>
      <c r="G50" s="292"/>
      <c r="H50" s="292"/>
      <c r="I50" s="292"/>
      <c r="J50" s="292"/>
      <c r="K50" s="292"/>
      <c r="L50" s="292"/>
      <c r="M50" s="292"/>
      <c r="N50" s="292"/>
      <c r="O50" s="292">
        <f t="shared" si="3"/>
        <v>2180.4454379999902</v>
      </c>
    </row>
    <row r="51" spans="1:15" ht="12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3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3"/>
        <v>0</v>
      </c>
    </row>
    <row r="53" spans="1:15" ht="12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3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3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3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3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3"/>
        <v>0</v>
      </c>
    </row>
    <row r="58" spans="1:15" ht="12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3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3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3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3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3"/>
        <v>0</v>
      </c>
    </row>
    <row r="63" spans="1:15" ht="24" hidden="1" x14ac:dyDescent="0.15">
      <c r="A63" s="291" t="s">
        <v>75</v>
      </c>
      <c r="B63" s="298"/>
      <c r="C63" s="292"/>
      <c r="D63" s="292"/>
      <c r="E63" s="292"/>
      <c r="F63" s="292"/>
      <c r="G63" s="292">
        <v>877.42836499999999</v>
      </c>
      <c r="H63" s="292">
        <v>488.47444700000102</v>
      </c>
      <c r="I63" s="292">
        <v>772.97659499999895</v>
      </c>
      <c r="J63" s="292">
        <v>788.67111599999896</v>
      </c>
      <c r="K63" s="292">
        <v>496.62156499999901</v>
      </c>
      <c r="L63" s="292">
        <v>434.54535099999998</v>
      </c>
      <c r="M63" s="292">
        <v>-60.224106999999599</v>
      </c>
      <c r="N63" s="292">
        <v>-727.41751099998999</v>
      </c>
      <c r="O63" s="292">
        <f t="shared" si="3"/>
        <v>3071.0758210000085</v>
      </c>
    </row>
    <row r="64" spans="1:15" ht="12" hidden="1" x14ac:dyDescent="0.15">
      <c r="A64" s="291" t="s">
        <v>76</v>
      </c>
      <c r="B64" s="298"/>
      <c r="C64" s="292"/>
      <c r="D64" s="292"/>
      <c r="E64" s="292"/>
      <c r="F64" s="292"/>
      <c r="G64" s="292">
        <v>877.42836499999999</v>
      </c>
      <c r="H64" s="292">
        <v>488.47444700000102</v>
      </c>
      <c r="I64" s="292">
        <v>772.976595000001</v>
      </c>
      <c r="J64" s="292">
        <v>788.67111599999896</v>
      </c>
      <c r="K64" s="292">
        <v>496.62156499999901</v>
      </c>
      <c r="L64" s="292">
        <v>434.54535099999998</v>
      </c>
      <c r="M64" s="292">
        <v>-60.224106999999599</v>
      </c>
      <c r="N64" s="292">
        <v>-727.41751099999999</v>
      </c>
      <c r="O64" s="292">
        <f t="shared" si="3"/>
        <v>3071.0758210000004</v>
      </c>
    </row>
    <row r="65" spans="1:15" ht="12" hidden="1" x14ac:dyDescent="0.15">
      <c r="A65" s="291" t="s">
        <v>77</v>
      </c>
      <c r="B65" s="298"/>
      <c r="C65" s="292">
        <v>882.13013899999999</v>
      </c>
      <c r="D65" s="292">
        <v>-335.50134000000003</v>
      </c>
      <c r="E65" s="292">
        <v>1067.6087559999901</v>
      </c>
      <c r="F65" s="292">
        <v>566.20788300000004</v>
      </c>
      <c r="G65" s="292"/>
      <c r="H65" s="292"/>
      <c r="I65" s="292"/>
      <c r="J65" s="292"/>
      <c r="K65" s="292"/>
      <c r="L65" s="292"/>
      <c r="M65" s="292"/>
      <c r="N65" s="292"/>
      <c r="O65" s="292">
        <f t="shared" si="3"/>
        <v>2180.4454379999902</v>
      </c>
    </row>
    <row r="66" spans="1:15" ht="24" hidden="1" x14ac:dyDescent="0.15">
      <c r="A66" s="291" t="s">
        <v>78</v>
      </c>
      <c r="B66" s="298"/>
      <c r="C66" s="292">
        <v>882.13013899999999</v>
      </c>
      <c r="D66" s="292">
        <v>-335.501339999999</v>
      </c>
      <c r="E66" s="292">
        <v>1067.6087559999901</v>
      </c>
      <c r="F66" s="292">
        <v>566.20788300000004</v>
      </c>
      <c r="G66" s="292"/>
      <c r="H66" s="292"/>
      <c r="I66" s="292"/>
      <c r="J66" s="292"/>
      <c r="K66" s="292"/>
      <c r="L66" s="292"/>
      <c r="M66" s="292"/>
      <c r="N66" s="292"/>
      <c r="O66" s="292">
        <f t="shared" si="3"/>
        <v>2180.4454379999911</v>
      </c>
    </row>
    <row r="67" spans="1:15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3"/>
        <v>0</v>
      </c>
    </row>
    <row r="68" spans="1:15" ht="12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3"/>
        <v>0</v>
      </c>
    </row>
    <row r="69" spans="1:15" hidden="1" x14ac:dyDescent="0.15">
      <c r="A69" s="291" t="s">
        <v>81</v>
      </c>
      <c r="B69" s="299"/>
    </row>
    <row r="70" spans="1:15" hidden="1" x14ac:dyDescent="0.15">
      <c r="A70" s="291" t="s">
        <v>82</v>
      </c>
      <c r="B70" s="299"/>
    </row>
    <row r="71" spans="1:15" x14ac:dyDescent="0.15">
      <c r="B71" s="299"/>
    </row>
    <row r="72" spans="1:15" x14ac:dyDescent="0.15">
      <c r="A72" s="336"/>
      <c r="B72" s="301"/>
      <c r="C72" s="337" t="s">
        <v>83</v>
      </c>
      <c r="D72" s="337" t="s">
        <v>84</v>
      </c>
      <c r="E72" s="337" t="s">
        <v>85</v>
      </c>
      <c r="F72" s="337" t="s">
        <v>86</v>
      </c>
      <c r="G72" s="337" t="s">
        <v>87</v>
      </c>
      <c r="H72" s="337" t="s">
        <v>88</v>
      </c>
      <c r="I72" s="337" t="s">
        <v>89</v>
      </c>
      <c r="J72" s="337" t="s">
        <v>90</v>
      </c>
      <c r="K72" s="337" t="s">
        <v>91</v>
      </c>
      <c r="L72" s="337" t="s">
        <v>92</v>
      </c>
      <c r="M72" s="337" t="s">
        <v>93</v>
      </c>
      <c r="N72" s="337" t="s">
        <v>94</v>
      </c>
      <c r="O72" s="337" t="s">
        <v>95</v>
      </c>
    </row>
    <row r="73" spans="1:15" ht="12" x14ac:dyDescent="0.15">
      <c r="A73" s="303" t="s">
        <v>146</v>
      </c>
      <c r="B73" s="338">
        <f t="shared" ref="B73:G73" si="4">SUM(B74:B78)</f>
        <v>12064.283567999999</v>
      </c>
      <c r="C73" s="338">
        <f t="shared" si="4"/>
        <v>1048.2008260000002</v>
      </c>
      <c r="D73" s="338">
        <f t="shared" si="4"/>
        <v>893.62823200000014</v>
      </c>
      <c r="E73" s="338">
        <f t="shared" si="4"/>
        <v>775.88036399999999</v>
      </c>
      <c r="F73" s="338">
        <f t="shared" si="4"/>
        <v>1154.799857</v>
      </c>
      <c r="G73" s="338">
        <f t="shared" si="4"/>
        <v>0</v>
      </c>
      <c r="H73" s="338">
        <f t="shared" ref="H73:O73" si="5">SUM(H74:H78)</f>
        <v>0</v>
      </c>
      <c r="I73" s="338">
        <f t="shared" si="5"/>
        <v>0</v>
      </c>
      <c r="J73" s="338">
        <f t="shared" si="5"/>
        <v>0</v>
      </c>
      <c r="K73" s="338">
        <f t="shared" si="5"/>
        <v>0</v>
      </c>
      <c r="L73" s="338">
        <f t="shared" si="5"/>
        <v>0</v>
      </c>
      <c r="M73" s="338">
        <f t="shared" si="5"/>
        <v>0</v>
      </c>
      <c r="N73" s="338">
        <f t="shared" si="5"/>
        <v>0</v>
      </c>
      <c r="O73" s="338">
        <f t="shared" si="5"/>
        <v>3872.5092790000003</v>
      </c>
    </row>
    <row r="74" spans="1:15" ht="12" x14ac:dyDescent="0.15">
      <c r="A74" s="305" t="s">
        <v>97</v>
      </c>
      <c r="B74" s="110">
        <f>SUM(三塘湖!B74,淖毛湖!B74,景峡!B74,烟墩!B74)</f>
        <v>551.46</v>
      </c>
      <c r="C74" s="110">
        <f>SUM(三塘湖!C74,淖毛湖!C74,景峡!C74,烟墩!C74)</f>
        <v>33.190185</v>
      </c>
      <c r="D74" s="110">
        <f>SUM(三塘湖!D74,淖毛湖!D74,景峡!D74,烟墩!D74)</f>
        <v>27.959251999999999</v>
      </c>
      <c r="E74" s="110">
        <f>SUM(三塘湖!E74,淖毛湖!E74,景峡!E74,烟墩!E74)</f>
        <v>48.189622999999997</v>
      </c>
      <c r="F74" s="110">
        <f>SUM(三塘湖!F74,淖毛湖!F74,景峡!F74,烟墩!F74)</f>
        <v>30.699876</v>
      </c>
      <c r="G74" s="110">
        <f>SUM(三塘湖!G74,淖毛湖!G74,景峡!G74,烟墩!G74)</f>
        <v>0</v>
      </c>
      <c r="H74" s="110">
        <f>SUM(三塘湖!H74,淖毛湖!H74,景峡!H74,烟墩!H74)</f>
        <v>0</v>
      </c>
      <c r="I74" s="110">
        <f>SUM(三塘湖!I74,淖毛湖!I74,景峡!I74,烟墩!I74)</f>
        <v>0</v>
      </c>
      <c r="J74" s="110">
        <f>SUM(三塘湖!J74,淖毛湖!J74,景峡!J74,烟墩!J74)</f>
        <v>0</v>
      </c>
      <c r="K74" s="110">
        <f>SUM(三塘湖!K74,淖毛湖!K74,景峡!K74,烟墩!K74)</f>
        <v>0</v>
      </c>
      <c r="L74" s="110">
        <f>SUM(三塘湖!L74,淖毛湖!L74,景峡!L74,烟墩!L74)</f>
        <v>0</v>
      </c>
      <c r="M74" s="110">
        <f>SUM(三塘湖!M74,淖毛湖!M74,景峡!M74,烟墩!M74)</f>
        <v>0</v>
      </c>
      <c r="N74" s="110">
        <f>SUM(三塘湖!N74,淖毛湖!N74,景峡!N74,烟墩!N74)</f>
        <v>0</v>
      </c>
      <c r="O74" s="340">
        <f>SUM(C74:N74)</f>
        <v>140.03893599999998</v>
      </c>
    </row>
    <row r="75" spans="1:15" ht="12" x14ac:dyDescent="0.15">
      <c r="A75" s="305" t="s">
        <v>98</v>
      </c>
      <c r="B75" s="110">
        <f>SUM(三塘湖!B75,淖毛湖!B75,景峡!B75,烟墩!B75)</f>
        <v>529.69000000000005</v>
      </c>
      <c r="C75" s="110">
        <f>SUM(三塘湖!C75,淖毛湖!C75,景峡!C75,烟墩!C75)</f>
        <v>0.59122999999999992</v>
      </c>
      <c r="D75" s="110">
        <f>SUM(三塘湖!D75,淖毛湖!D75,景峡!D75,烟墩!D75)</f>
        <v>0.69333500000000003</v>
      </c>
      <c r="E75" s="110">
        <f>SUM(三塘湖!E75,淖毛湖!E75,景峡!E75,烟墩!E75)</f>
        <v>0.37743200000000099</v>
      </c>
      <c r="F75" s="110">
        <f>SUM(三塘湖!F75,淖毛湖!F75,景峡!F75,烟墩!F75)</f>
        <v>30.640597</v>
      </c>
      <c r="G75" s="110">
        <f>SUM(三塘湖!G75,淖毛湖!G75,景峡!G75,烟墩!G75)</f>
        <v>0</v>
      </c>
      <c r="H75" s="110">
        <f>SUM(三塘湖!H75,淖毛湖!H75,景峡!H75,烟墩!H75)</f>
        <v>0</v>
      </c>
      <c r="I75" s="110">
        <f>SUM(三塘湖!I75,淖毛湖!I75,景峡!I75,烟墩!I75)</f>
        <v>0</v>
      </c>
      <c r="J75" s="110">
        <f>SUM(三塘湖!J75,淖毛湖!J75,景峡!J75,烟墩!J75)</f>
        <v>0</v>
      </c>
      <c r="K75" s="110">
        <f>SUM(三塘湖!K75,淖毛湖!K75,景峡!K75,烟墩!K75)</f>
        <v>0</v>
      </c>
      <c r="L75" s="110">
        <f>SUM(三塘湖!L75,淖毛湖!L75,景峡!L75,烟墩!L75)</f>
        <v>0</v>
      </c>
      <c r="M75" s="110">
        <f>SUM(三塘湖!M75,淖毛湖!M75,景峡!M75,烟墩!M75)</f>
        <v>0</v>
      </c>
      <c r="N75" s="110">
        <f>SUM(三塘湖!N75,淖毛湖!N75,景峡!N75,烟墩!N75)</f>
        <v>0</v>
      </c>
      <c r="O75" s="340">
        <f t="shared" ref="O75:O82" si="6">SUM(C75:N75)</f>
        <v>32.302593999999999</v>
      </c>
    </row>
    <row r="76" spans="1:15" ht="12" x14ac:dyDescent="0.15">
      <c r="A76" s="305" t="s">
        <v>99</v>
      </c>
      <c r="B76" s="110">
        <f>SUM(三塘湖!B76,淖毛湖!B76,景峡!B76,烟墩!B76)</f>
        <v>8776.0319999999992</v>
      </c>
      <c r="C76" s="110">
        <f>SUM(三塘湖!C76,淖毛湖!C76,景峡!C76,烟墩!C76)</f>
        <v>780.91166800000008</v>
      </c>
      <c r="D76" s="110">
        <f>SUM(三塘湖!D76,淖毛湖!D76,景峡!D76,烟墩!D76)</f>
        <v>784.89147900000012</v>
      </c>
      <c r="E76" s="110">
        <f>SUM(三塘湖!E76,淖毛湖!E76,景峡!E76,烟墩!E76)</f>
        <v>648.04621899999995</v>
      </c>
      <c r="F76" s="110">
        <f>SUM(三塘湖!F76,淖毛湖!F76,景峡!F76,烟墩!F76)</f>
        <v>795.23241299999995</v>
      </c>
      <c r="G76" s="110">
        <f>SUM(三塘湖!G76,淖毛湖!G76,景峡!G76,烟墩!G76)</f>
        <v>0</v>
      </c>
      <c r="H76" s="110">
        <f>SUM(三塘湖!H76,淖毛湖!H76,景峡!H76,烟墩!H76)</f>
        <v>0</v>
      </c>
      <c r="I76" s="110">
        <f>SUM(三塘湖!I76,淖毛湖!I76,景峡!I76,烟墩!I76)</f>
        <v>0</v>
      </c>
      <c r="J76" s="110">
        <f>SUM(三塘湖!J76,淖毛湖!J76,景峡!J76,烟墩!J76)</f>
        <v>0</v>
      </c>
      <c r="K76" s="110">
        <f>SUM(三塘湖!K76,淖毛湖!K76,景峡!K76,烟墩!K76)</f>
        <v>0</v>
      </c>
      <c r="L76" s="110">
        <f>SUM(三塘湖!L76,淖毛湖!L76,景峡!L76,烟墩!L76)</f>
        <v>0</v>
      </c>
      <c r="M76" s="110">
        <f>SUM(三塘湖!M76,淖毛湖!M76,景峡!M76,烟墩!M76)</f>
        <v>0</v>
      </c>
      <c r="N76" s="110">
        <f>SUM(三塘湖!N76,淖毛湖!N76,景峡!N76,烟墩!N76)</f>
        <v>0</v>
      </c>
      <c r="O76" s="340">
        <f t="shared" si="6"/>
        <v>3009.0817790000001</v>
      </c>
    </row>
    <row r="77" spans="1:15" ht="12" x14ac:dyDescent="0.15">
      <c r="A77" s="305" t="s">
        <v>100</v>
      </c>
      <c r="B77" s="110">
        <f>SUM(三塘湖!B77,淖毛湖!B77,景峡!B77,烟墩!B77)</f>
        <v>1587.631568</v>
      </c>
      <c r="C77" s="110">
        <f>SUM(三塘湖!C77,淖毛湖!C77,景峡!C77,烟墩!C77)</f>
        <v>184.26483000000002</v>
      </c>
      <c r="D77" s="110">
        <f>SUM(三塘湖!D77,淖毛湖!D77,景峡!D77,烟墩!D77)</f>
        <v>79.130129000000011</v>
      </c>
      <c r="E77" s="110">
        <f>SUM(三塘湖!E77,淖毛湖!E77,景峡!E77,烟墩!E77)</f>
        <v>69.905344999999997</v>
      </c>
      <c r="F77" s="110">
        <f>SUM(三塘湖!F77,淖毛湖!F77,景峡!F77,烟墩!F77)</f>
        <v>224.67275699999999</v>
      </c>
      <c r="G77" s="110">
        <f>SUM(三塘湖!G77,淖毛湖!G77,景峡!G77,烟墩!G77)</f>
        <v>0</v>
      </c>
      <c r="H77" s="110">
        <f>SUM(三塘湖!H77,淖毛湖!H77,景峡!H77,烟墩!H77)</f>
        <v>0</v>
      </c>
      <c r="I77" s="110">
        <f>SUM(三塘湖!I77,淖毛湖!I77,景峡!I77,烟墩!I77)</f>
        <v>0</v>
      </c>
      <c r="J77" s="110">
        <f>SUM(三塘湖!J77,淖毛湖!J77,景峡!J77,烟墩!J77)</f>
        <v>0</v>
      </c>
      <c r="K77" s="110">
        <f>SUM(三塘湖!K77,淖毛湖!K77,景峡!K77,烟墩!K77)</f>
        <v>0</v>
      </c>
      <c r="L77" s="110">
        <f>SUM(三塘湖!L77,淖毛湖!L77,景峡!L77,烟墩!L77)</f>
        <v>0</v>
      </c>
      <c r="M77" s="110">
        <f>SUM(三塘湖!M77,淖毛湖!M77,景峡!M77,烟墩!M77)</f>
        <v>0</v>
      </c>
      <c r="N77" s="110">
        <f>SUM(三塘湖!N77,淖毛湖!N77,景峡!N77,烟墩!N77)</f>
        <v>0</v>
      </c>
      <c r="O77" s="340">
        <f t="shared" si="6"/>
        <v>557.97306100000003</v>
      </c>
    </row>
    <row r="78" spans="1:15" ht="12" x14ac:dyDescent="0.15">
      <c r="A78" s="339" t="s">
        <v>101</v>
      </c>
      <c r="B78" s="110">
        <f>SUM(三塘湖!B78,淖毛湖!B78,景峡!B78,烟墩!B78)</f>
        <v>619.47</v>
      </c>
      <c r="C78" s="110">
        <f>SUM(三塘湖!C78,淖毛湖!C78,景峡!C78,烟墩!C78)</f>
        <v>49.242913000000001</v>
      </c>
      <c r="D78" s="110">
        <f>SUM(三塘湖!D78,淖毛湖!D78,景峡!D78,烟墩!D78)</f>
        <v>0.95403700000000002</v>
      </c>
      <c r="E78" s="110">
        <f>SUM(三塘湖!E78,淖毛湖!E78,景峡!E78,烟墩!E78)</f>
        <v>9.3617449999999991</v>
      </c>
      <c r="F78" s="110">
        <f>SUM(三塘湖!F78,淖毛湖!F78,景峡!F78,烟墩!F78)</f>
        <v>73.554214000000002</v>
      </c>
      <c r="G78" s="110">
        <f>SUM(三塘湖!G78,淖毛湖!G78,景峡!G78,烟墩!G78)</f>
        <v>0</v>
      </c>
      <c r="H78" s="110">
        <f>SUM(三塘湖!H78,淖毛湖!H78,景峡!H78,烟墩!H78)</f>
        <v>0</v>
      </c>
      <c r="I78" s="110">
        <f>SUM(三塘湖!I78,淖毛湖!I78,景峡!I78,烟墩!I78)</f>
        <v>0</v>
      </c>
      <c r="J78" s="110">
        <f>SUM(三塘湖!J78,淖毛湖!J78,景峡!J78,烟墩!J78)</f>
        <v>0</v>
      </c>
      <c r="K78" s="110">
        <f>SUM(三塘湖!K78,淖毛湖!K78,景峡!K78,烟墩!K78)</f>
        <v>0</v>
      </c>
      <c r="L78" s="110">
        <f>SUM(三塘湖!L78,淖毛湖!L78,景峡!L78,烟墩!L78)</f>
        <v>0</v>
      </c>
      <c r="M78" s="110">
        <f>SUM(三塘湖!M78,淖毛湖!M78,景峡!M78,烟墩!M78)</f>
        <v>0</v>
      </c>
      <c r="N78" s="110">
        <f>SUM(三塘湖!N78,淖毛湖!N78,景峡!N78,烟墩!N78)</f>
        <v>0</v>
      </c>
      <c r="O78" s="340">
        <f t="shared" si="6"/>
        <v>133.112909</v>
      </c>
    </row>
    <row r="79" spans="1:15" ht="12" x14ac:dyDescent="0.15">
      <c r="A79" s="309" t="s">
        <v>102</v>
      </c>
      <c r="B79" s="340">
        <f t="shared" ref="B79:N79" si="7">B13</f>
        <v>580</v>
      </c>
      <c r="C79" s="340">
        <f t="shared" si="7"/>
        <v>0</v>
      </c>
      <c r="D79" s="340">
        <f t="shared" si="7"/>
        <v>0</v>
      </c>
      <c r="E79" s="340">
        <f t="shared" si="7"/>
        <v>143.32206099999999</v>
      </c>
      <c r="F79" s="340">
        <f t="shared" si="7"/>
        <v>0</v>
      </c>
      <c r="G79" s="340">
        <f t="shared" si="7"/>
        <v>0</v>
      </c>
      <c r="H79" s="340">
        <f t="shared" si="7"/>
        <v>0</v>
      </c>
      <c r="I79" s="340">
        <f t="shared" si="7"/>
        <v>0</v>
      </c>
      <c r="J79" s="340">
        <f t="shared" si="7"/>
        <v>0</v>
      </c>
      <c r="K79" s="340">
        <f t="shared" si="7"/>
        <v>0</v>
      </c>
      <c r="L79" s="340">
        <f t="shared" si="7"/>
        <v>0</v>
      </c>
      <c r="M79" s="340">
        <f t="shared" si="7"/>
        <v>0</v>
      </c>
      <c r="N79" s="340">
        <f t="shared" si="7"/>
        <v>0</v>
      </c>
      <c r="O79" s="340">
        <f t="shared" si="6"/>
        <v>143.32206099999999</v>
      </c>
    </row>
    <row r="80" spans="1:15" ht="12" x14ac:dyDescent="0.15">
      <c r="A80" s="309" t="s">
        <v>103</v>
      </c>
      <c r="B80" s="340">
        <f t="shared" ref="B80:N80" si="8">B21</f>
        <v>185.8</v>
      </c>
      <c r="C80" s="340">
        <f t="shared" si="8"/>
        <v>0</v>
      </c>
      <c r="D80" s="340">
        <f t="shared" si="8"/>
        <v>0</v>
      </c>
      <c r="E80" s="340">
        <f t="shared" si="8"/>
        <v>0</v>
      </c>
      <c r="F80" s="340">
        <f t="shared" si="8"/>
        <v>74.873614000000003</v>
      </c>
      <c r="G80" s="340">
        <f t="shared" si="8"/>
        <v>0</v>
      </c>
      <c r="H80" s="340">
        <f t="shared" si="8"/>
        <v>0</v>
      </c>
      <c r="I80" s="340">
        <f t="shared" si="8"/>
        <v>0</v>
      </c>
      <c r="J80" s="340">
        <f t="shared" si="8"/>
        <v>0</v>
      </c>
      <c r="K80" s="340">
        <f t="shared" si="8"/>
        <v>0</v>
      </c>
      <c r="L80" s="340">
        <f t="shared" si="8"/>
        <v>0</v>
      </c>
      <c r="M80" s="340">
        <f t="shared" si="8"/>
        <v>0</v>
      </c>
      <c r="N80" s="340">
        <f t="shared" si="8"/>
        <v>0</v>
      </c>
      <c r="O80" s="340">
        <f t="shared" si="6"/>
        <v>74.873614000000003</v>
      </c>
    </row>
    <row r="81" spans="1:15" ht="12" x14ac:dyDescent="0.15">
      <c r="A81" s="309" t="s">
        <v>104</v>
      </c>
      <c r="B81" s="340">
        <f t="shared" ref="B81:N81" si="9">B23</f>
        <v>1048.6078</v>
      </c>
      <c r="C81" s="340">
        <f t="shared" si="9"/>
        <v>88.930318999999997</v>
      </c>
      <c r="D81" s="340">
        <f t="shared" si="9"/>
        <v>45.868166000000002</v>
      </c>
      <c r="E81" s="340">
        <f t="shared" si="9"/>
        <v>52.798149000000002</v>
      </c>
      <c r="F81" s="340">
        <f t="shared" si="9"/>
        <v>120.78147</v>
      </c>
      <c r="G81" s="340">
        <f t="shared" si="9"/>
        <v>0</v>
      </c>
      <c r="H81" s="340">
        <f t="shared" si="9"/>
        <v>0</v>
      </c>
      <c r="I81" s="340">
        <f t="shared" si="9"/>
        <v>0</v>
      </c>
      <c r="J81" s="340">
        <f t="shared" si="9"/>
        <v>0</v>
      </c>
      <c r="K81" s="340">
        <f t="shared" si="9"/>
        <v>0</v>
      </c>
      <c r="L81" s="340">
        <f t="shared" si="9"/>
        <v>0</v>
      </c>
      <c r="M81" s="340">
        <f t="shared" si="9"/>
        <v>0</v>
      </c>
      <c r="N81" s="340">
        <f t="shared" si="9"/>
        <v>0</v>
      </c>
      <c r="O81" s="340">
        <f t="shared" si="6"/>
        <v>308.37810400000001</v>
      </c>
    </row>
    <row r="82" spans="1:15" ht="12" x14ac:dyDescent="0.15">
      <c r="A82" s="309" t="s">
        <v>105</v>
      </c>
      <c r="B82" s="340">
        <f t="shared" ref="B82:N82" si="10">B25</f>
        <v>6366.4699999999993</v>
      </c>
      <c r="C82" s="340">
        <f t="shared" si="10"/>
        <v>501.72534299999899</v>
      </c>
      <c r="D82" s="340">
        <f t="shared" si="10"/>
        <v>453.87842899999998</v>
      </c>
      <c r="E82" s="340">
        <f t="shared" si="10"/>
        <v>486.51147699999899</v>
      </c>
      <c r="F82" s="340">
        <f t="shared" si="10"/>
        <v>503.47188199999903</v>
      </c>
      <c r="G82" s="340">
        <f t="shared" si="10"/>
        <v>0</v>
      </c>
      <c r="H82" s="340">
        <f t="shared" si="10"/>
        <v>0</v>
      </c>
      <c r="I82" s="340">
        <f t="shared" si="10"/>
        <v>0</v>
      </c>
      <c r="J82" s="340">
        <f t="shared" si="10"/>
        <v>0</v>
      </c>
      <c r="K82" s="340">
        <f t="shared" si="10"/>
        <v>0</v>
      </c>
      <c r="L82" s="340">
        <f t="shared" si="10"/>
        <v>0</v>
      </c>
      <c r="M82" s="340">
        <f t="shared" si="10"/>
        <v>0</v>
      </c>
      <c r="N82" s="340">
        <f t="shared" si="10"/>
        <v>0</v>
      </c>
      <c r="O82" s="340">
        <f t="shared" si="6"/>
        <v>1945.587130999997</v>
      </c>
    </row>
    <row r="83" spans="1:15" customFormat="1" x14ac:dyDescent="0.15">
      <c r="A83" s="309" t="s">
        <v>106</v>
      </c>
      <c r="B83" s="310">
        <f t="shared" ref="B83:O84" si="11">B29</f>
        <v>1229</v>
      </c>
      <c r="C83" s="310">
        <f t="shared" si="11"/>
        <v>0</v>
      </c>
      <c r="D83" s="310">
        <f t="shared" si="11"/>
        <v>0</v>
      </c>
      <c r="E83" s="310">
        <f t="shared" si="11"/>
        <v>0</v>
      </c>
      <c r="F83" s="310">
        <f t="shared" si="11"/>
        <v>0</v>
      </c>
      <c r="G83" s="310">
        <f t="shared" si="11"/>
        <v>0</v>
      </c>
      <c r="H83" s="310">
        <f t="shared" si="11"/>
        <v>0</v>
      </c>
      <c r="I83" s="310">
        <f t="shared" si="11"/>
        <v>0</v>
      </c>
      <c r="J83" s="310">
        <f t="shared" si="11"/>
        <v>0</v>
      </c>
      <c r="K83" s="310">
        <f t="shared" si="11"/>
        <v>0</v>
      </c>
      <c r="L83" s="310">
        <f t="shared" si="11"/>
        <v>0</v>
      </c>
      <c r="M83" s="310">
        <f t="shared" si="11"/>
        <v>0</v>
      </c>
      <c r="N83" s="310">
        <f t="shared" si="11"/>
        <v>0</v>
      </c>
      <c r="O83" s="310">
        <f t="shared" si="11"/>
        <v>0</v>
      </c>
    </row>
    <row r="84" spans="1:15" customFormat="1" x14ac:dyDescent="0.15">
      <c r="A84" s="309" t="s">
        <v>47</v>
      </c>
      <c r="B84" s="310">
        <f>B35</f>
        <v>0</v>
      </c>
      <c r="C84" s="310">
        <f t="shared" ref="C84:N84" si="12">C35</f>
        <v>0</v>
      </c>
      <c r="D84" s="310">
        <f t="shared" si="12"/>
        <v>0</v>
      </c>
      <c r="E84" s="310">
        <f t="shared" si="12"/>
        <v>0</v>
      </c>
      <c r="F84" s="310">
        <f t="shared" si="12"/>
        <v>0</v>
      </c>
      <c r="G84" s="310">
        <f t="shared" si="12"/>
        <v>0</v>
      </c>
      <c r="H84" s="310">
        <f t="shared" si="12"/>
        <v>0</v>
      </c>
      <c r="I84" s="310">
        <f t="shared" si="12"/>
        <v>0</v>
      </c>
      <c r="J84" s="310">
        <f t="shared" si="12"/>
        <v>0</v>
      </c>
      <c r="K84" s="310">
        <f t="shared" si="12"/>
        <v>0</v>
      </c>
      <c r="L84" s="310">
        <f t="shared" si="12"/>
        <v>0</v>
      </c>
      <c r="M84" s="310">
        <f t="shared" si="12"/>
        <v>0</v>
      </c>
      <c r="N84" s="310">
        <f t="shared" si="12"/>
        <v>0</v>
      </c>
      <c r="O84" s="310">
        <f t="shared" si="11"/>
        <v>0</v>
      </c>
    </row>
    <row r="85" spans="1:15" customFormat="1" x14ac:dyDescent="0.15">
      <c r="A85" s="309" t="s">
        <v>107</v>
      </c>
      <c r="B85" s="310">
        <f t="shared" ref="B85:N85" si="13">B37</f>
        <v>0</v>
      </c>
      <c r="C85" s="310">
        <f t="shared" si="13"/>
        <v>0</v>
      </c>
      <c r="D85" s="310">
        <f t="shared" si="13"/>
        <v>5.6410260000000001</v>
      </c>
      <c r="E85" s="310">
        <f t="shared" si="13"/>
        <v>0</v>
      </c>
      <c r="F85" s="310">
        <f t="shared" si="13"/>
        <v>0</v>
      </c>
      <c r="G85" s="310">
        <f t="shared" si="13"/>
        <v>0</v>
      </c>
      <c r="H85" s="310">
        <f t="shared" si="13"/>
        <v>0</v>
      </c>
      <c r="I85" s="310">
        <f t="shared" si="13"/>
        <v>0</v>
      </c>
      <c r="J85" s="310">
        <f t="shared" si="13"/>
        <v>0</v>
      </c>
      <c r="K85" s="310">
        <f t="shared" si="13"/>
        <v>0</v>
      </c>
      <c r="L85" s="310">
        <f t="shared" si="13"/>
        <v>0</v>
      </c>
      <c r="M85" s="310">
        <f t="shared" si="13"/>
        <v>0</v>
      </c>
      <c r="N85" s="310">
        <f t="shared" si="13"/>
        <v>0</v>
      </c>
      <c r="O85" s="310">
        <f>O30</f>
        <v>0</v>
      </c>
    </row>
    <row r="86" spans="1:15" customFormat="1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4">D40</f>
        <v>0</v>
      </c>
      <c r="E86" s="310">
        <f t="shared" si="14"/>
        <v>0</v>
      </c>
      <c r="F86" s="310">
        <f t="shared" si="14"/>
        <v>0</v>
      </c>
      <c r="G86" s="310">
        <f t="shared" si="14"/>
        <v>0</v>
      </c>
      <c r="H86" s="310">
        <f t="shared" si="14"/>
        <v>0</v>
      </c>
      <c r="I86" s="310">
        <f t="shared" si="14"/>
        <v>0</v>
      </c>
      <c r="J86" s="310">
        <f t="shared" si="14"/>
        <v>0</v>
      </c>
      <c r="K86" s="310">
        <f t="shared" si="14"/>
        <v>0</v>
      </c>
      <c r="L86" s="310">
        <f t="shared" si="14"/>
        <v>0</v>
      </c>
      <c r="M86" s="310">
        <f t="shared" si="14"/>
        <v>0</v>
      </c>
      <c r="N86" s="310">
        <f t="shared" si="14"/>
        <v>0</v>
      </c>
      <c r="O86" s="310">
        <f>O31</f>
        <v>0</v>
      </c>
    </row>
    <row r="87" spans="1:15" x14ac:dyDescent="0.15">
      <c r="N87" s="59">
        <f>SUM(三塘湖!O44,淖毛湖!O44,景峡!O44,烟墩!O44)</f>
        <v>1687.1381200000001</v>
      </c>
    </row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1"/>
  <sheetViews>
    <sheetView workbookViewId="0">
      <pane xSplit="1" ySplit="2" topLeftCell="B3" activePane="bottomRight" state="frozenSplit"/>
      <selection pane="topRight"/>
      <selection pane="bottomLeft"/>
      <selection pane="bottomRight" activeCell="F25" sqref="F25"/>
    </sheetView>
  </sheetViews>
  <sheetFormatPr defaultColWidth="9" defaultRowHeight="13.5" x14ac:dyDescent="0.15"/>
  <cols>
    <col min="1" max="1" width="36" customWidth="1"/>
    <col min="2" max="2" width="9.625" customWidth="1"/>
    <col min="3" max="15" width="8.25" customWidth="1"/>
    <col min="16" max="16" width="12.625"/>
  </cols>
  <sheetData>
    <row r="1" spans="1:16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6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6" x14ac:dyDescent="0.15">
      <c r="A3" s="291" t="s">
        <v>14</v>
      </c>
      <c r="B3" s="292">
        <f t="shared" ref="B3:N3" si="0">B4</f>
        <v>3808.0471667179499</v>
      </c>
      <c r="C3" s="292">
        <f t="shared" si="0"/>
        <v>434.34949699999999</v>
      </c>
      <c r="D3" s="292">
        <f t="shared" si="0"/>
        <v>305.79898400000002</v>
      </c>
      <c r="E3" s="292">
        <f t="shared" si="0"/>
        <v>424.972872</v>
      </c>
      <c r="F3" s="292">
        <f t="shared" si="0"/>
        <v>359.03402</v>
      </c>
      <c r="G3" s="292">
        <f t="shared" si="0"/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>SUM(C3:N3)</f>
        <v>1524.1553730000001</v>
      </c>
    </row>
    <row r="4" spans="1:16" x14ac:dyDescent="0.15">
      <c r="A4" s="291" t="s">
        <v>15</v>
      </c>
      <c r="B4" s="292">
        <f>B5+B6</f>
        <v>3808.0471667179499</v>
      </c>
      <c r="C4" s="292">
        <f t="shared" ref="C4:N4" si="1">C5+C6</f>
        <v>434.34949699999999</v>
      </c>
      <c r="D4" s="292">
        <f t="shared" si="1"/>
        <v>305.79898400000002</v>
      </c>
      <c r="E4" s="292">
        <f t="shared" si="1"/>
        <v>424.972872</v>
      </c>
      <c r="F4" s="292">
        <f t="shared" si="1"/>
        <v>359.03402</v>
      </c>
      <c r="G4" s="292">
        <f t="shared" si="1"/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292">
        <f>SUM(C4:N4)</f>
        <v>1524.1553730000001</v>
      </c>
    </row>
    <row r="5" spans="1:16" x14ac:dyDescent="0.15">
      <c r="A5" s="291" t="s">
        <v>17</v>
      </c>
      <c r="B5" s="292">
        <v>3808.0471667179499</v>
      </c>
      <c r="C5" s="292">
        <v>434.34949699999999</v>
      </c>
      <c r="D5" s="292">
        <v>305.79898400000002</v>
      </c>
      <c r="E5" s="292">
        <v>424.972872</v>
      </c>
      <c r="F5" s="292">
        <v>359.03402</v>
      </c>
      <c r="G5" s="292"/>
      <c r="H5" s="292"/>
      <c r="I5" s="292"/>
      <c r="J5" s="292"/>
      <c r="K5" s="292"/>
      <c r="L5" s="292"/>
      <c r="M5" s="292"/>
      <c r="N5" s="292"/>
      <c r="O5" s="314">
        <f>SUM(C5:N5)</f>
        <v>1524.1553730000001</v>
      </c>
    </row>
    <row r="6" spans="1:16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>SUM(C6:N6)</f>
        <v>0</v>
      </c>
    </row>
    <row r="7" spans="1:16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ref="O7:O44" si="2">SUM(C7:N7)</f>
        <v>0</v>
      </c>
    </row>
    <row r="8" spans="1:16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2"/>
        <v>0</v>
      </c>
    </row>
    <row r="9" spans="1:16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2"/>
        <v>0</v>
      </c>
    </row>
    <row r="10" spans="1:16" x14ac:dyDescent="0.15">
      <c r="A10" s="291" t="s">
        <v>22</v>
      </c>
      <c r="B10" s="292">
        <f>B11+B21+B23+B25+B29</f>
        <v>3544.5720000000001</v>
      </c>
      <c r="C10" s="292">
        <f>C11+C21+C23+C25+C29</f>
        <v>270.47117900000001</v>
      </c>
      <c r="D10" s="292">
        <f>D11+D21+D23+D25+D29</f>
        <v>208.04623599999999</v>
      </c>
      <c r="E10" s="292">
        <f>E11+E21+E23+E25+E29</f>
        <v>232.02047999999996</v>
      </c>
      <c r="F10" s="292">
        <f t="shared" ref="F10:N10" si="3">F11+F21+F23+F25+F29</f>
        <v>291.79332399999998</v>
      </c>
      <c r="G10" s="292">
        <f t="shared" si="3"/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314">
        <f t="shared" si="2"/>
        <v>1002.3312189999999</v>
      </c>
      <c r="P10">
        <f>B10-O10</f>
        <v>2542.2407810000004</v>
      </c>
    </row>
    <row r="11" spans="1:16" x14ac:dyDescent="0.15">
      <c r="A11" s="291" t="s">
        <v>23</v>
      </c>
      <c r="B11" s="292">
        <f>B12+B13</f>
        <v>2036.0346000000002</v>
      </c>
      <c r="C11" s="292">
        <f>C12+C13</f>
        <v>162.952898</v>
      </c>
      <c r="D11" s="292">
        <f t="shared" ref="D11:N11" si="4">D12+D13</f>
        <v>124.80538799999999</v>
      </c>
      <c r="E11" s="292">
        <f t="shared" si="4"/>
        <v>141.93207099999998</v>
      </c>
      <c r="F11" s="292">
        <f t="shared" si="4"/>
        <v>170.49389199999999</v>
      </c>
      <c r="G11" s="292">
        <f t="shared" si="4"/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314">
        <f t="shared" si="2"/>
        <v>600.18424899999991</v>
      </c>
    </row>
    <row r="12" spans="1:16" x14ac:dyDescent="0.15">
      <c r="A12" s="291" t="s">
        <v>144</v>
      </c>
      <c r="B12" s="292">
        <f>B73</f>
        <v>2036.0346000000002</v>
      </c>
      <c r="C12" s="293">
        <f>C73</f>
        <v>162.952898</v>
      </c>
      <c r="D12" s="293">
        <f t="shared" ref="D12:N12" si="5">D73</f>
        <v>124.80538799999999</v>
      </c>
      <c r="E12" s="293">
        <f t="shared" si="5"/>
        <v>141.93207099999998</v>
      </c>
      <c r="F12" s="293">
        <f t="shared" si="5"/>
        <v>170.49389199999999</v>
      </c>
      <c r="G12" s="293">
        <f t="shared" si="5"/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3">
        <f t="shared" si="2"/>
        <v>600.18424899999991</v>
      </c>
    </row>
    <row r="13" spans="1:16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2"/>
        <v>0</v>
      </c>
    </row>
    <row r="14" spans="1:16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2"/>
        <v>0</v>
      </c>
    </row>
    <row r="15" spans="1:16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2"/>
        <v>0</v>
      </c>
    </row>
    <row r="16" spans="1:16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2"/>
        <v>0</v>
      </c>
    </row>
    <row r="18" spans="1:15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2"/>
        <v>0</v>
      </c>
    </row>
    <row r="21" spans="1:15" x14ac:dyDescent="0.15">
      <c r="A21" s="291" t="s">
        <v>33</v>
      </c>
      <c r="B21" s="292">
        <v>39.299999999999997</v>
      </c>
      <c r="C21" s="292"/>
      <c r="D21" s="292"/>
      <c r="E21" s="292"/>
      <c r="F21" s="292">
        <v>9.4623290000000004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2"/>
        <v>9.4623290000000004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2"/>
        <v>0</v>
      </c>
    </row>
    <row r="23" spans="1:15" x14ac:dyDescent="0.15">
      <c r="A23" s="291" t="s">
        <v>35</v>
      </c>
      <c r="B23" s="292">
        <v>402.33640000000003</v>
      </c>
      <c r="C23" s="292">
        <v>31.818764000000002</v>
      </c>
      <c r="D23" s="292">
        <v>14.676691999999999</v>
      </c>
      <c r="E23" s="292">
        <v>14.694608000000001</v>
      </c>
      <c r="F23" s="292">
        <v>38.638136000000003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2"/>
        <v>99.82820000000001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si="2"/>
        <v>0</v>
      </c>
    </row>
    <row r="25" spans="1:15" x14ac:dyDescent="0.15">
      <c r="A25" s="291" t="s">
        <v>37</v>
      </c>
      <c r="B25" s="292">
        <v>817.69100000000003</v>
      </c>
      <c r="C25" s="292">
        <v>75.699517</v>
      </c>
      <c r="D25" s="292">
        <v>68.564155999999997</v>
      </c>
      <c r="E25" s="292">
        <v>75.393800999999996</v>
      </c>
      <c r="F25" s="292">
        <v>73.198966999999996</v>
      </c>
      <c r="G25" s="292"/>
      <c r="H25" s="292"/>
      <c r="I25" s="292"/>
      <c r="J25" s="292"/>
      <c r="K25" s="292"/>
      <c r="L25" s="292"/>
      <c r="M25" s="292"/>
      <c r="N25" s="292"/>
      <c r="O25" s="292">
        <f t="shared" si="2"/>
        <v>292.85644099999996</v>
      </c>
    </row>
    <row r="26" spans="1:15" hidden="1" x14ac:dyDescent="0.15">
      <c r="A26" s="291" t="s">
        <v>38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>
        <f t="shared" si="2"/>
        <v>0</v>
      </c>
    </row>
    <row r="27" spans="1:15" hidden="1" x14ac:dyDescent="0.15">
      <c r="A27" s="291" t="s">
        <v>39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>
        <f t="shared" si="2"/>
        <v>0</v>
      </c>
    </row>
    <row r="28" spans="1:15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2"/>
        <v>0</v>
      </c>
    </row>
    <row r="29" spans="1:15" x14ac:dyDescent="0.15">
      <c r="A29" s="291" t="s">
        <v>41</v>
      </c>
      <c r="B29" s="292">
        <v>249.21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2"/>
        <v>0</v>
      </c>
    </row>
    <row r="30" spans="1:15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2"/>
        <v>0</v>
      </c>
    </row>
    <row r="31" spans="1:15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2"/>
        <v>0</v>
      </c>
    </row>
    <row r="32" spans="1:15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2"/>
        <v>0</v>
      </c>
    </row>
    <row r="33" spans="1:15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2"/>
        <v>0</v>
      </c>
    </row>
    <row r="34" spans="1:15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2"/>
        <v>0</v>
      </c>
    </row>
    <row r="35" spans="1:15" x14ac:dyDescent="0.15">
      <c r="A35" s="291" t="s">
        <v>47</v>
      </c>
      <c r="B35" s="292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2"/>
        <v>0</v>
      </c>
    </row>
    <row r="36" spans="1:15" x14ac:dyDescent="0.15">
      <c r="A36" s="291" t="s">
        <v>48</v>
      </c>
      <c r="B36" s="292">
        <f>B3-B10+B35</f>
        <v>263.47516671794983</v>
      </c>
      <c r="C36" s="295">
        <f>C3-C10</f>
        <v>163.87831799999998</v>
      </c>
      <c r="D36" s="295">
        <f>D3-D10</f>
        <v>97.752748000000025</v>
      </c>
      <c r="E36" s="295">
        <f>E3-E10</f>
        <v>192.95239200000003</v>
      </c>
      <c r="F36" s="295">
        <f t="shared" ref="F36:N36" si="6">F3-F10+F35</f>
        <v>67.240696000000014</v>
      </c>
      <c r="G36" s="295">
        <f t="shared" si="6"/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 t="shared" si="6"/>
        <v>0</v>
      </c>
      <c r="O36" s="292">
        <f t="shared" si="2"/>
        <v>521.82415400000014</v>
      </c>
    </row>
    <row r="37" spans="1:15" x14ac:dyDescent="0.15">
      <c r="A37" s="291" t="s">
        <v>49</v>
      </c>
      <c r="B37" s="292"/>
      <c r="C37" s="292"/>
      <c r="D37" s="292">
        <v>0.85470100000000004</v>
      </c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2"/>
        <v>0.85470100000000004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2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2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2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2"/>
        <v>0</v>
      </c>
    </row>
    <row r="42" spans="1:15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2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2"/>
        <v>0</v>
      </c>
    </row>
    <row r="44" spans="1:15" hidden="1" x14ac:dyDescent="0.15">
      <c r="A44" s="291" t="s">
        <v>56</v>
      </c>
      <c r="B44" s="292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14">
        <f t="shared" si="2"/>
        <v>0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ref="O45:O68" si="7">SUM(C45:N45)</f>
        <v>0</v>
      </c>
    </row>
    <row r="46" spans="1:15" x14ac:dyDescent="0.15">
      <c r="A46" s="291" t="s">
        <v>58</v>
      </c>
      <c r="B46" s="292">
        <f>B36+B37-B42</f>
        <v>263.47516671794983</v>
      </c>
      <c r="C46" s="296">
        <f t="shared" ref="C46:N46" si="8">C36+C37-C42</f>
        <v>163.87831799999998</v>
      </c>
      <c r="D46" s="325">
        <f t="shared" si="8"/>
        <v>98.607449000000031</v>
      </c>
      <c r="E46" s="296">
        <f t="shared" si="8"/>
        <v>192.95239200000003</v>
      </c>
      <c r="F46" s="296">
        <f t="shared" si="8"/>
        <v>67.240696000000014</v>
      </c>
      <c r="G46" s="296">
        <f t="shared" si="8"/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314">
        <f t="shared" si="7"/>
        <v>522.67885500000011</v>
      </c>
    </row>
    <row r="47" spans="1:15" x14ac:dyDescent="0.15">
      <c r="A47" s="291" t="s">
        <v>59</v>
      </c>
      <c r="B47" s="292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7"/>
        <v>0</v>
      </c>
    </row>
    <row r="48" spans="1:15" x14ac:dyDescent="0.15">
      <c r="A48" s="291" t="s">
        <v>60</v>
      </c>
      <c r="B48" s="292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>
        <f t="shared" si="7"/>
        <v>0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7"/>
        <v>0</v>
      </c>
    </row>
    <row r="50" spans="1:15" hidden="1" x14ac:dyDescent="0.15">
      <c r="A50" s="291" t="s">
        <v>62</v>
      </c>
      <c r="B50" s="298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>
        <f t="shared" si="7"/>
        <v>0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7"/>
        <v>0</v>
      </c>
    </row>
    <row r="52" spans="1:15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7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7"/>
        <v>0</v>
      </c>
    </row>
    <row r="54" spans="1:15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7"/>
        <v>0</v>
      </c>
    </row>
    <row r="55" spans="1:15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7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7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7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7"/>
        <v>0</v>
      </c>
    </row>
    <row r="59" spans="1:15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7"/>
        <v>0</v>
      </c>
    </row>
    <row r="60" spans="1:15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7"/>
        <v>0</v>
      </c>
    </row>
    <row r="61" spans="1:15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7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7"/>
        <v>0</v>
      </c>
    </row>
    <row r="63" spans="1:15" hidden="1" x14ac:dyDescent="0.15">
      <c r="A63" s="291" t="s">
        <v>75</v>
      </c>
      <c r="B63" s="298"/>
      <c r="C63" s="292">
        <v>-285.74242600000002</v>
      </c>
      <c r="D63" s="292">
        <v>-281.29071299999998</v>
      </c>
      <c r="E63" s="292">
        <v>-51.562356999999999</v>
      </c>
      <c r="F63" s="292">
        <v>71.380866999999995</v>
      </c>
      <c r="G63" s="292"/>
      <c r="H63" s="292"/>
      <c r="I63" s="292"/>
      <c r="J63" s="292"/>
      <c r="K63" s="292"/>
      <c r="L63" s="292"/>
      <c r="M63" s="292"/>
      <c r="N63" s="292"/>
      <c r="O63" s="292">
        <f t="shared" si="7"/>
        <v>-547.21462900000006</v>
      </c>
    </row>
    <row r="64" spans="1:15" hidden="1" x14ac:dyDescent="0.15">
      <c r="A64" s="291" t="s">
        <v>76</v>
      </c>
      <c r="B64" s="298"/>
      <c r="C64" s="292">
        <v>-285.74242600000002</v>
      </c>
      <c r="D64" s="292">
        <v>-281.29071299999998</v>
      </c>
      <c r="E64" s="292">
        <v>-51.562356999999999</v>
      </c>
      <c r="F64" s="292">
        <v>71.380866999999995</v>
      </c>
      <c r="G64" s="292"/>
      <c r="H64" s="292"/>
      <c r="I64" s="292"/>
      <c r="J64" s="292"/>
      <c r="K64" s="292"/>
      <c r="L64" s="292"/>
      <c r="M64" s="292"/>
      <c r="N64" s="292"/>
      <c r="O64" s="292">
        <f t="shared" si="7"/>
        <v>-547.21462900000006</v>
      </c>
    </row>
    <row r="65" spans="1:17" hidden="1" x14ac:dyDescent="0.15">
      <c r="A65" s="291" t="s">
        <v>77</v>
      </c>
      <c r="B65" s="298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>
        <f t="shared" si="7"/>
        <v>0</v>
      </c>
    </row>
    <row r="66" spans="1:17" hidden="1" x14ac:dyDescent="0.15">
      <c r="A66" s="291" t="s">
        <v>78</v>
      </c>
      <c r="B66" s="298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>
        <f t="shared" si="7"/>
        <v>0</v>
      </c>
    </row>
    <row r="67" spans="1:17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7"/>
        <v>0</v>
      </c>
    </row>
    <row r="68" spans="1:17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7"/>
        <v>0</v>
      </c>
    </row>
    <row r="69" spans="1:17" hidden="1" x14ac:dyDescent="0.15">
      <c r="A69" s="291" t="s">
        <v>81</v>
      </c>
      <c r="B69" s="299"/>
    </row>
    <row r="70" spans="1:17" hidden="1" x14ac:dyDescent="0.15">
      <c r="A70" s="291" t="s">
        <v>82</v>
      </c>
      <c r="B70" s="299"/>
    </row>
    <row r="71" spans="1:17" x14ac:dyDescent="0.15">
      <c r="B71" s="299"/>
    </row>
    <row r="72" spans="1:1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7" x14ac:dyDescent="0.15">
      <c r="A73" s="303" t="s">
        <v>146</v>
      </c>
      <c r="B73" s="304">
        <f>SUM(B74:B78)</f>
        <v>2036.0346000000002</v>
      </c>
      <c r="C73" s="304">
        <f>SUM(C74:C78)</f>
        <v>162.952898</v>
      </c>
      <c r="D73" s="304">
        <f t="shared" ref="D73:O73" si="9">SUM(D74:D78)</f>
        <v>124.80538799999999</v>
      </c>
      <c r="E73" s="304">
        <f t="shared" si="9"/>
        <v>141.93207099999998</v>
      </c>
      <c r="F73" s="315">
        <f t="shared" si="9"/>
        <v>170.49389199999999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600.18424900000002</v>
      </c>
    </row>
    <row r="74" spans="1:17" x14ac:dyDescent="0.15">
      <c r="A74" s="305" t="s">
        <v>97</v>
      </c>
      <c r="B74" s="335">
        <v>32.22</v>
      </c>
      <c r="C74" s="85">
        <v>4.0106859999999998</v>
      </c>
      <c r="D74" s="85"/>
      <c r="E74" s="85">
        <v>8.4274699999999996</v>
      </c>
      <c r="F74" s="85"/>
      <c r="G74" s="85"/>
      <c r="H74" s="85"/>
      <c r="I74" s="85"/>
      <c r="J74" s="85"/>
      <c r="K74" s="85"/>
      <c r="L74" s="85"/>
      <c r="M74" s="85"/>
      <c r="N74" s="139"/>
      <c r="O74" s="310">
        <f>SUM(C74:N74)</f>
        <v>12.438155999999999</v>
      </c>
    </row>
    <row r="75" spans="1:17" x14ac:dyDescent="0.15">
      <c r="A75" s="305" t="s">
        <v>98</v>
      </c>
      <c r="B75" s="335">
        <v>115.18</v>
      </c>
      <c r="C75" s="85">
        <v>0.159076</v>
      </c>
      <c r="D75" s="85">
        <v>1.0632000000000001E-2</v>
      </c>
      <c r="E75" s="85">
        <v>0.15534000000000101</v>
      </c>
      <c r="F75" s="85">
        <v>2.0970870000000001</v>
      </c>
      <c r="G75" s="85"/>
      <c r="H75" s="85"/>
      <c r="I75" s="85"/>
      <c r="J75" s="85"/>
      <c r="K75" s="85"/>
      <c r="L75" s="85"/>
      <c r="M75" s="85"/>
      <c r="N75" s="139"/>
      <c r="O75" s="310">
        <f t="shared" ref="O75:O86" si="10">SUM(C75:N75)</f>
        <v>2.4221350000000013</v>
      </c>
      <c r="Q75">
        <v>10000</v>
      </c>
    </row>
    <row r="76" spans="1:17" x14ac:dyDescent="0.15">
      <c r="A76" s="305" t="s">
        <v>99</v>
      </c>
      <c r="B76" s="335">
        <v>1372.44</v>
      </c>
      <c r="C76" s="85">
        <v>114.186666</v>
      </c>
      <c r="D76" s="85">
        <v>114.186493</v>
      </c>
      <c r="E76" s="85">
        <v>114.186578</v>
      </c>
      <c r="F76" s="85">
        <v>114.186673</v>
      </c>
      <c r="G76" s="85"/>
      <c r="H76" s="85"/>
      <c r="I76" s="85"/>
      <c r="J76" s="85"/>
      <c r="K76" s="85"/>
      <c r="L76" s="85"/>
      <c r="M76" s="85"/>
      <c r="N76" s="139"/>
      <c r="O76" s="310">
        <f t="shared" si="10"/>
        <v>456.74640999999997</v>
      </c>
    </row>
    <row r="77" spans="1:17" x14ac:dyDescent="0.15">
      <c r="A77" s="305" t="s">
        <v>100</v>
      </c>
      <c r="B77" s="335">
        <v>393.62459999999999</v>
      </c>
      <c r="C77" s="85">
        <v>34.707925000000003</v>
      </c>
      <c r="D77" s="85">
        <v>10.521176000000001</v>
      </c>
      <c r="E77" s="85">
        <v>10.106078999999999</v>
      </c>
      <c r="F77" s="85">
        <v>41.671765000000001</v>
      </c>
      <c r="G77" s="85"/>
      <c r="H77" s="85"/>
      <c r="I77" s="85"/>
      <c r="J77" s="85"/>
      <c r="K77" s="85"/>
      <c r="L77" s="85"/>
      <c r="M77" s="85"/>
      <c r="N77" s="139"/>
      <c r="O77" s="310">
        <f t="shared" si="10"/>
        <v>97.006945000000002</v>
      </c>
    </row>
    <row r="78" spans="1:17" x14ac:dyDescent="0.15">
      <c r="A78" s="307" t="s">
        <v>101</v>
      </c>
      <c r="B78" s="306">
        <v>122.57</v>
      </c>
      <c r="C78" s="85">
        <v>9.8885450000000006</v>
      </c>
      <c r="D78" s="85">
        <v>8.7086999999999998E-2</v>
      </c>
      <c r="E78" s="85">
        <v>9.0566040000000001</v>
      </c>
      <c r="F78" s="85">
        <v>12.538366999999999</v>
      </c>
      <c r="G78" s="85"/>
      <c r="H78" s="85"/>
      <c r="I78" s="85"/>
      <c r="J78" s="85"/>
      <c r="K78" s="85"/>
      <c r="L78" s="85"/>
      <c r="M78" s="85"/>
      <c r="N78" s="139"/>
      <c r="O78" s="310">
        <f t="shared" si="10"/>
        <v>31.570602999999998</v>
      </c>
    </row>
    <row r="79" spans="1:17" x14ac:dyDescent="0.15">
      <c r="A79" s="309" t="s">
        <v>102</v>
      </c>
      <c r="B79" s="310">
        <f>B13</f>
        <v>0</v>
      </c>
      <c r="C79" s="310">
        <f>C13</f>
        <v>0</v>
      </c>
      <c r="D79" s="310">
        <f>D13</f>
        <v>0</v>
      </c>
      <c r="E79" s="310"/>
      <c r="F79" s="310">
        <f t="shared" ref="F79:N79" si="11">F13</f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0</v>
      </c>
    </row>
    <row r="80" spans="1:17" x14ac:dyDescent="0.15">
      <c r="A80" s="309" t="s">
        <v>103</v>
      </c>
      <c r="B80" s="310">
        <f>B21</f>
        <v>39.299999999999997</v>
      </c>
      <c r="C80" s="310">
        <f>C21</f>
        <v>0</v>
      </c>
      <c r="D80" s="310">
        <f>D21</f>
        <v>0</v>
      </c>
      <c r="E80" s="310"/>
      <c r="F80" s="310">
        <f t="shared" ref="F80:N80" si="12">F21</f>
        <v>9.4623290000000004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9.4623290000000004</v>
      </c>
    </row>
    <row r="81" spans="1:15" x14ac:dyDescent="0.15">
      <c r="A81" s="309" t="s">
        <v>104</v>
      </c>
      <c r="B81" s="310">
        <f t="shared" ref="B81:N81" si="13">B23</f>
        <v>402.33640000000003</v>
      </c>
      <c r="C81" s="310">
        <f t="shared" si="13"/>
        <v>31.818764000000002</v>
      </c>
      <c r="D81" s="310">
        <f t="shared" si="13"/>
        <v>14.676691999999999</v>
      </c>
      <c r="E81" s="310">
        <f t="shared" si="13"/>
        <v>14.694608000000001</v>
      </c>
      <c r="F81" s="310">
        <f t="shared" si="13"/>
        <v>38.638136000000003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99.82820000000001</v>
      </c>
    </row>
    <row r="82" spans="1:15" x14ac:dyDescent="0.15">
      <c r="A82" s="309" t="s">
        <v>105</v>
      </c>
      <c r="B82" s="310">
        <f t="shared" ref="B82:N82" si="14">B25</f>
        <v>817.69100000000003</v>
      </c>
      <c r="C82" s="310">
        <f t="shared" si="14"/>
        <v>75.699517</v>
      </c>
      <c r="D82" s="310">
        <f t="shared" si="14"/>
        <v>68.564155999999997</v>
      </c>
      <c r="E82" s="310">
        <f t="shared" si="14"/>
        <v>75.393800999999996</v>
      </c>
      <c r="F82" s="310">
        <f t="shared" si="14"/>
        <v>73.198966999999996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292.85644099999996</v>
      </c>
    </row>
    <row r="83" spans="1:15" x14ac:dyDescent="0.15">
      <c r="A83" s="309" t="s">
        <v>106</v>
      </c>
      <c r="B83" s="310">
        <f t="shared" ref="B83:N83" si="15">B29</f>
        <v>249.21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0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0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0.85470100000000004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 t="shared" si="10"/>
        <v>0.85470100000000004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 t="shared" si="10"/>
        <v>0</v>
      </c>
    </row>
    <row r="88" spans="1:15" x14ac:dyDescent="0.15">
      <c r="L88">
        <v>1900</v>
      </c>
    </row>
    <row r="89" spans="1:15" x14ac:dyDescent="0.15">
      <c r="L89">
        <v>878892.29</v>
      </c>
    </row>
    <row r="90" spans="1:15" x14ac:dyDescent="0.15">
      <c r="L90">
        <v>89473.69</v>
      </c>
    </row>
    <row r="91" spans="1:15" x14ac:dyDescent="0.15">
      <c r="L91">
        <f>L88+L89-L90</f>
        <v>791318.60000000009</v>
      </c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2"/>
  <sheetViews>
    <sheetView workbookViewId="0">
      <pane xSplit="1" ySplit="2" topLeftCell="B3" activePane="bottomRight" state="frozenSplit"/>
      <selection pane="topRight"/>
      <selection pane="bottomLeft"/>
      <selection pane="bottomRight" activeCell="F23" sqref="F23"/>
    </sheetView>
  </sheetViews>
  <sheetFormatPr defaultColWidth="9" defaultRowHeight="13.5" x14ac:dyDescent="0.15"/>
  <cols>
    <col min="1" max="1" width="24.125" customWidth="1"/>
    <col min="2" max="2" width="9.25" customWidth="1"/>
    <col min="3" max="15" width="9.125" customWidth="1"/>
  </cols>
  <sheetData>
    <row r="1" spans="1:16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6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6" x14ac:dyDescent="0.15">
      <c r="A3" s="291" t="s">
        <v>14</v>
      </c>
      <c r="B3" s="292">
        <f t="shared" ref="B3:N3" si="0">B4</f>
        <v>2718.2228616239299</v>
      </c>
      <c r="C3" s="292">
        <f t="shared" si="0"/>
        <v>60.150641</v>
      </c>
      <c r="D3" s="292">
        <f t="shared" si="0"/>
        <v>66.165705000000003</v>
      </c>
      <c r="E3" s="292">
        <f t="shared" si="0"/>
        <v>218.81623500000001</v>
      </c>
      <c r="F3" s="292">
        <f t="shared" si="0"/>
        <v>240.12135799999999</v>
      </c>
      <c r="G3" s="292">
        <f t="shared" si="0"/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>SUM(C3:N3)</f>
        <v>585.25393899999995</v>
      </c>
    </row>
    <row r="4" spans="1:16" x14ac:dyDescent="0.15">
      <c r="A4" s="291" t="s">
        <v>15</v>
      </c>
      <c r="B4" s="292">
        <f>B5+B6</f>
        <v>2718.2228616239299</v>
      </c>
      <c r="C4" s="292">
        <f t="shared" ref="C4:N4" si="1">C5+C6</f>
        <v>60.150641</v>
      </c>
      <c r="D4" s="292">
        <f t="shared" si="1"/>
        <v>66.165705000000003</v>
      </c>
      <c r="E4" s="292">
        <f t="shared" si="1"/>
        <v>218.81623500000001</v>
      </c>
      <c r="F4" s="292">
        <f t="shared" si="1"/>
        <v>240.12135799999999</v>
      </c>
      <c r="G4" s="292">
        <f t="shared" si="1"/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314">
        <f>SUM(C4:N4)</f>
        <v>585.25393899999995</v>
      </c>
    </row>
    <row r="5" spans="1:16" x14ac:dyDescent="0.15">
      <c r="A5" s="291" t="s">
        <v>17</v>
      </c>
      <c r="B5" s="292">
        <v>2214.87286162393</v>
      </c>
      <c r="C5" s="292">
        <v>60.150641</v>
      </c>
      <c r="D5" s="292">
        <v>66.165705000000003</v>
      </c>
      <c r="E5" s="292">
        <v>150.136</v>
      </c>
      <c r="F5" s="292">
        <v>240.12135799999999</v>
      </c>
      <c r="G5" s="292"/>
      <c r="H5" s="292"/>
      <c r="I5" s="292"/>
      <c r="J5" s="292"/>
      <c r="K5" s="292"/>
      <c r="L5" s="292"/>
      <c r="M5" s="292"/>
      <c r="N5" s="292"/>
      <c r="O5" s="314">
        <f>SUM(C5:N5)</f>
        <v>516.57370400000002</v>
      </c>
    </row>
    <row r="6" spans="1:16" x14ac:dyDescent="0.15">
      <c r="A6" s="291" t="s">
        <v>18</v>
      </c>
      <c r="B6" s="292">
        <v>503.35</v>
      </c>
      <c r="C6" s="292"/>
      <c r="D6" s="292"/>
      <c r="E6" s="292">
        <v>68.680234999999996</v>
      </c>
      <c r="F6" s="292"/>
      <c r="G6" s="292"/>
      <c r="H6" s="292"/>
      <c r="I6" s="292"/>
      <c r="J6" s="292"/>
      <c r="K6" s="292"/>
      <c r="L6" s="292"/>
      <c r="M6" s="292"/>
      <c r="N6" s="292"/>
      <c r="O6" s="314">
        <f>SUM(C6:N6)</f>
        <v>68.680234999999996</v>
      </c>
    </row>
    <row r="7" spans="1:16" hidden="1" x14ac:dyDescent="0.15">
      <c r="A7" s="291" t="s">
        <v>19</v>
      </c>
      <c r="B7" s="333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ref="O7:O43" si="2">SUM(C7:N7)</f>
        <v>0</v>
      </c>
    </row>
    <row r="8" spans="1:16" hidden="1" x14ac:dyDescent="0.15">
      <c r="A8" s="291" t="s">
        <v>20</v>
      </c>
      <c r="B8" s="333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2"/>
        <v>0</v>
      </c>
    </row>
    <row r="9" spans="1:16" hidden="1" x14ac:dyDescent="0.15">
      <c r="A9" s="291" t="s">
        <v>21</v>
      </c>
      <c r="B9" s="333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2"/>
        <v>0</v>
      </c>
    </row>
    <row r="10" spans="1:16" x14ac:dyDescent="0.15">
      <c r="A10" s="291" t="s">
        <v>22</v>
      </c>
      <c r="B10" s="292">
        <f>B11+B21+B23+B25+B29</f>
        <v>3981.6799999999994</v>
      </c>
      <c r="C10" s="292">
        <f>C11+C21+C23+C25+C29</f>
        <v>308.88749799999999</v>
      </c>
      <c r="D10" s="292">
        <f>D11+D21+D23+D25+D29</f>
        <v>264.05832300000003</v>
      </c>
      <c r="E10" s="292">
        <f>E11+E21+E23+E25+E29</f>
        <v>271.60010999999997</v>
      </c>
      <c r="F10" s="292">
        <f t="shared" ref="F10:N10" si="3">F11+F21+F23+F25+F29</f>
        <v>384.48452399999996</v>
      </c>
      <c r="G10" s="292">
        <f t="shared" si="3"/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314">
        <f t="shared" si="2"/>
        <v>1229.0304550000001</v>
      </c>
      <c r="P10">
        <f>B10-O10</f>
        <v>2752.6495449999993</v>
      </c>
    </row>
    <row r="11" spans="1:16" x14ac:dyDescent="0.15">
      <c r="A11" s="291" t="s">
        <v>23</v>
      </c>
      <c r="B11" s="292">
        <f>B12+B13</f>
        <v>2720.4469999999997</v>
      </c>
      <c r="C11" s="292">
        <f t="shared" ref="C11:N11" si="4">C12+C13</f>
        <v>214.78093200000001</v>
      </c>
      <c r="D11" s="292">
        <f t="shared" si="4"/>
        <v>187.81029900000001</v>
      </c>
      <c r="E11" s="292">
        <f t="shared" si="4"/>
        <v>192.31481499999998</v>
      </c>
      <c r="F11" s="292">
        <f t="shared" si="4"/>
        <v>264.86470099999997</v>
      </c>
      <c r="G11" s="292">
        <f t="shared" si="4"/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314">
        <f t="shared" si="2"/>
        <v>859.77074699999991</v>
      </c>
    </row>
    <row r="12" spans="1:16" x14ac:dyDescent="0.15">
      <c r="A12" s="291" t="s">
        <v>144</v>
      </c>
      <c r="B12" s="293">
        <f>B73</f>
        <v>2140.4469999999997</v>
      </c>
      <c r="C12" s="293">
        <f>C73</f>
        <v>214.78093200000001</v>
      </c>
      <c r="D12" s="293">
        <f t="shared" ref="D12:N12" si="5">D73</f>
        <v>187.81029900000001</v>
      </c>
      <c r="E12" s="293">
        <f t="shared" si="5"/>
        <v>48.992753999999998</v>
      </c>
      <c r="F12" s="293">
        <f t="shared" si="5"/>
        <v>264.86470099999997</v>
      </c>
      <c r="G12" s="293">
        <f t="shared" si="5"/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328">
        <f t="shared" si="2"/>
        <v>716.44868599999995</v>
      </c>
    </row>
    <row r="13" spans="1:16" x14ac:dyDescent="0.15">
      <c r="A13" s="291" t="s">
        <v>25</v>
      </c>
      <c r="B13" s="292">
        <v>580</v>
      </c>
      <c r="C13" s="292"/>
      <c r="D13" s="292"/>
      <c r="E13" s="292">
        <v>143.32206099999999</v>
      </c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2"/>
        <v>143.32206099999999</v>
      </c>
    </row>
    <row r="14" spans="1:16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2"/>
        <v>0</v>
      </c>
    </row>
    <row r="15" spans="1:16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2"/>
        <v>0</v>
      </c>
    </row>
    <row r="16" spans="1:16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2"/>
        <v>0</v>
      </c>
    </row>
    <row r="18" spans="1:15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2"/>
        <v>0</v>
      </c>
    </row>
    <row r="21" spans="1:15" x14ac:dyDescent="0.15">
      <c r="A21" s="291" t="s">
        <v>33</v>
      </c>
      <c r="B21" s="292">
        <v>38.5</v>
      </c>
      <c r="C21" s="292"/>
      <c r="D21" s="292"/>
      <c r="E21" s="292"/>
      <c r="F21" s="292">
        <v>16.023849999999999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2"/>
        <v>16.023849999999999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2"/>
        <v>0</v>
      </c>
    </row>
    <row r="23" spans="1:15" x14ac:dyDescent="0.15">
      <c r="A23" s="291" t="s">
        <v>35</v>
      </c>
      <c r="B23" s="292">
        <v>308.62200000000001</v>
      </c>
      <c r="C23" s="292">
        <v>32.923662</v>
      </c>
      <c r="D23" s="292">
        <v>21.017817000000001</v>
      </c>
      <c r="E23" s="292">
        <v>20.148879000000001</v>
      </c>
      <c r="F23" s="292">
        <v>44.358953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2"/>
        <v>118.44931100000001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si="2"/>
        <v>0</v>
      </c>
    </row>
    <row r="25" spans="1:15" x14ac:dyDescent="0.15">
      <c r="A25" s="291" t="s">
        <v>37</v>
      </c>
      <c r="B25" s="292">
        <v>753.66099999999994</v>
      </c>
      <c r="C25" s="292">
        <v>61.182904000000001</v>
      </c>
      <c r="D25" s="292">
        <v>55.230207</v>
      </c>
      <c r="E25" s="292">
        <v>59.136415999999997</v>
      </c>
      <c r="F25" s="292">
        <v>59.237020000000001</v>
      </c>
      <c r="G25" s="292"/>
      <c r="H25" s="292"/>
      <c r="I25" s="292"/>
      <c r="J25" s="292"/>
      <c r="K25" s="292"/>
      <c r="L25" s="292"/>
      <c r="M25" s="292"/>
      <c r="N25" s="292"/>
      <c r="O25" s="292">
        <f t="shared" si="2"/>
        <v>234.78654700000001</v>
      </c>
    </row>
    <row r="26" spans="1:15" hidden="1" x14ac:dyDescent="0.15">
      <c r="A26" s="291" t="s">
        <v>38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>
        <f t="shared" si="2"/>
        <v>0</v>
      </c>
    </row>
    <row r="27" spans="1:15" hidden="1" x14ac:dyDescent="0.15">
      <c r="A27" s="291" t="s">
        <v>39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>
        <f t="shared" si="2"/>
        <v>0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2"/>
        <v>0</v>
      </c>
    </row>
    <row r="29" spans="1:15" x14ac:dyDescent="0.15">
      <c r="A29" s="291" t="s">
        <v>41</v>
      </c>
      <c r="B29" s="292">
        <v>160.44999999999999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2"/>
        <v>0</v>
      </c>
    </row>
    <row r="30" spans="1:15" hidden="1" x14ac:dyDescent="0.15">
      <c r="A30" s="291" t="s">
        <v>42</v>
      </c>
      <c r="B30" s="297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2"/>
        <v>0</v>
      </c>
    </row>
    <row r="31" spans="1:15" ht="24" hidden="1" x14ac:dyDescent="0.15">
      <c r="A31" s="291" t="s">
        <v>43</v>
      </c>
      <c r="B31" s="297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2"/>
        <v>0</v>
      </c>
    </row>
    <row r="32" spans="1:15" ht="24" hidden="1" x14ac:dyDescent="0.15">
      <c r="A32" s="291" t="s">
        <v>44</v>
      </c>
      <c r="B32" s="297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2"/>
        <v>0</v>
      </c>
    </row>
    <row r="33" spans="1:15" ht="24" hidden="1" x14ac:dyDescent="0.15">
      <c r="A33" s="291" t="s">
        <v>45</v>
      </c>
      <c r="B33" s="297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2"/>
        <v>0</v>
      </c>
    </row>
    <row r="34" spans="1:15" ht="24" hidden="1" x14ac:dyDescent="0.15">
      <c r="A34" s="291" t="s">
        <v>46</v>
      </c>
      <c r="B34" s="297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2"/>
        <v>0</v>
      </c>
    </row>
    <row r="35" spans="1:15" x14ac:dyDescent="0.15">
      <c r="A35" s="291" t="s">
        <v>47</v>
      </c>
      <c r="B35" s="297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2"/>
        <v>0</v>
      </c>
    </row>
    <row r="36" spans="1:15" x14ac:dyDescent="0.15">
      <c r="A36" s="291" t="s">
        <v>48</v>
      </c>
      <c r="B36" s="295">
        <f>B3-B10+B35</f>
        <v>-1263.4571383760695</v>
      </c>
      <c r="C36" s="295">
        <f>C3-C10</f>
        <v>-248.73685699999999</v>
      </c>
      <c r="D36" s="295">
        <f>D3-D10</f>
        <v>-197.89261800000003</v>
      </c>
      <c r="E36" s="295">
        <f>E3-E10</f>
        <v>-52.783874999999966</v>
      </c>
      <c r="F36" s="295">
        <f t="shared" ref="F36:N36" si="6">F3-F10+F35</f>
        <v>-144.36316599999998</v>
      </c>
      <c r="G36" s="295">
        <f t="shared" si="6"/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 t="shared" si="6"/>
        <v>0</v>
      </c>
      <c r="O36" s="292">
        <f t="shared" si="2"/>
        <v>-643.7765159999999</v>
      </c>
    </row>
    <row r="37" spans="1:15" x14ac:dyDescent="0.15">
      <c r="A37" s="291" t="s">
        <v>49</v>
      </c>
      <c r="B37" s="292"/>
      <c r="C37" s="292"/>
      <c r="D37" s="292">
        <v>4.7863249999999997</v>
      </c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314">
        <f t="shared" si="2"/>
        <v>4.7863249999999997</v>
      </c>
    </row>
    <row r="38" spans="1:15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314">
        <f t="shared" si="2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314">
        <f t="shared" si="2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314">
        <f t="shared" si="2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2"/>
        <v>0</v>
      </c>
    </row>
    <row r="42" spans="1:15" x14ac:dyDescent="0.15">
      <c r="A42" s="291" t="s">
        <v>54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2"/>
        <v>0</v>
      </c>
    </row>
    <row r="43" spans="1:15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2"/>
        <v>0</v>
      </c>
    </row>
    <row r="44" spans="1:15" hidden="1" x14ac:dyDescent="0.15">
      <c r="A44" s="291" t="s">
        <v>56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25">
        <f>O3-O10</f>
        <v>-643.77651600000013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ref="O45:O68" si="7">SUM(C45:N45)</f>
        <v>0</v>
      </c>
    </row>
    <row r="46" spans="1:15" x14ac:dyDescent="0.15">
      <c r="A46" s="291" t="s">
        <v>58</v>
      </c>
      <c r="B46" s="296">
        <f>B36+B37-B42</f>
        <v>-1263.4571383760695</v>
      </c>
      <c r="C46" s="296">
        <f t="shared" ref="C46:N46" si="8">C36+C37-C42</f>
        <v>-248.73685699999999</v>
      </c>
      <c r="D46" s="325">
        <f t="shared" si="8"/>
        <v>-193.10629300000002</v>
      </c>
      <c r="E46" s="296">
        <f t="shared" si="8"/>
        <v>-52.783874999999966</v>
      </c>
      <c r="F46" s="296">
        <f t="shared" si="8"/>
        <v>-144.36316599999998</v>
      </c>
      <c r="G46" s="296">
        <f t="shared" si="8"/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7"/>
        <v>-638.99019099999998</v>
      </c>
    </row>
    <row r="47" spans="1:15" x14ac:dyDescent="0.15">
      <c r="A47" s="291" t="s">
        <v>59</v>
      </c>
      <c r="B47" s="297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7"/>
        <v>0</v>
      </c>
    </row>
    <row r="48" spans="1:15" x14ac:dyDescent="0.15">
      <c r="A48" s="291" t="s">
        <v>60</v>
      </c>
      <c r="B48" s="297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>
        <f t="shared" si="7"/>
        <v>0</v>
      </c>
    </row>
    <row r="49" spans="1:15" hidden="1" x14ac:dyDescent="0.15">
      <c r="A49" s="291" t="s">
        <v>61</v>
      </c>
      <c r="B49" s="298"/>
      <c r="C49" s="292"/>
      <c r="D49" s="292"/>
      <c r="E49" s="292">
        <f>哈密!E49-三塘湖!E49</f>
        <v>0</v>
      </c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7"/>
        <v>0</v>
      </c>
    </row>
    <row r="50" spans="1:15" ht="24" hidden="1" x14ac:dyDescent="0.15">
      <c r="A50" s="291" t="s">
        <v>62</v>
      </c>
      <c r="B50" s="298"/>
      <c r="C50" s="292"/>
      <c r="D50" s="292"/>
      <c r="E50" s="292">
        <f>哈密!E50-三塘湖!E50</f>
        <v>1067.6087559999901</v>
      </c>
      <c r="F50" s="292"/>
      <c r="G50" s="292"/>
      <c r="H50" s="292"/>
      <c r="I50" s="292"/>
      <c r="J50" s="292"/>
      <c r="K50" s="292"/>
      <c r="L50" s="292"/>
      <c r="M50" s="292"/>
      <c r="N50" s="292"/>
      <c r="O50" s="292">
        <f t="shared" si="7"/>
        <v>1067.6087559999901</v>
      </c>
    </row>
    <row r="51" spans="1:15" hidden="1" x14ac:dyDescent="0.15">
      <c r="A51" s="291" t="s">
        <v>63</v>
      </c>
      <c r="B51" s="298"/>
      <c r="C51" s="292"/>
      <c r="D51" s="292"/>
      <c r="E51" s="292">
        <f>哈密!E51-三塘湖!E51</f>
        <v>0</v>
      </c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7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>
        <f>哈密!E52-三塘湖!E52</f>
        <v>0</v>
      </c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7"/>
        <v>0</v>
      </c>
    </row>
    <row r="53" spans="1:15" hidden="1" x14ac:dyDescent="0.15">
      <c r="A53" s="291" t="s">
        <v>65</v>
      </c>
      <c r="B53" s="298"/>
      <c r="C53" s="292"/>
      <c r="D53" s="292"/>
      <c r="E53" s="292">
        <f>哈密!E53-三塘湖!E53</f>
        <v>0</v>
      </c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7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>
        <f>哈密!E54-三塘湖!E54</f>
        <v>0</v>
      </c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7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>
        <f>哈密!E55-三塘湖!E55</f>
        <v>0</v>
      </c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7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>
        <f>哈密!E56-三塘湖!E56</f>
        <v>0</v>
      </c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7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>
        <f>哈密!E57-三塘湖!E57</f>
        <v>0</v>
      </c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7"/>
        <v>0</v>
      </c>
    </row>
    <row r="58" spans="1:15" hidden="1" x14ac:dyDescent="0.15">
      <c r="A58" s="291" t="s">
        <v>70</v>
      </c>
      <c r="B58" s="298"/>
      <c r="C58" s="292"/>
      <c r="D58" s="292"/>
      <c r="E58" s="292">
        <f>哈密!E58-三塘湖!E58</f>
        <v>0</v>
      </c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7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>
        <f>哈密!E59-三塘湖!E59</f>
        <v>0</v>
      </c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7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>
        <f>哈密!E60-三塘湖!E60</f>
        <v>0</v>
      </c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7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>
        <f>哈密!E61-三塘湖!E61</f>
        <v>0</v>
      </c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7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>
        <f>哈密!E62-三塘湖!E62</f>
        <v>0</v>
      </c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7"/>
        <v>0</v>
      </c>
    </row>
    <row r="63" spans="1:15" ht="24" hidden="1" x14ac:dyDescent="0.15">
      <c r="A63" s="291" t="s">
        <v>75</v>
      </c>
      <c r="B63" s="298"/>
      <c r="C63" s="292">
        <v>-285.74242600000002</v>
      </c>
      <c r="D63" s="292">
        <v>-281.29071299999998</v>
      </c>
      <c r="E63" s="292">
        <f>哈密!E63-三塘湖!E63</f>
        <v>51.562356999999999</v>
      </c>
      <c r="F63" s="292">
        <v>71.380866999999995</v>
      </c>
      <c r="G63" s="292"/>
      <c r="H63" s="292"/>
      <c r="I63" s="292"/>
      <c r="J63" s="292"/>
      <c r="K63" s="292"/>
      <c r="L63" s="292"/>
      <c r="M63" s="292"/>
      <c r="N63" s="292"/>
      <c r="O63" s="292">
        <f t="shared" si="7"/>
        <v>-444.08991500000002</v>
      </c>
    </row>
    <row r="64" spans="1:15" hidden="1" x14ac:dyDescent="0.15">
      <c r="A64" s="291" t="s">
        <v>76</v>
      </c>
      <c r="B64" s="298"/>
      <c r="C64" s="292">
        <v>-285.74242600000002</v>
      </c>
      <c r="D64" s="292">
        <v>-281.29071299999998</v>
      </c>
      <c r="E64" s="292">
        <f>哈密!E64-三塘湖!E64</f>
        <v>51.562356999999999</v>
      </c>
      <c r="F64" s="292">
        <v>71.380866999999995</v>
      </c>
      <c r="G64" s="292"/>
      <c r="H64" s="292"/>
      <c r="I64" s="292"/>
      <c r="J64" s="292"/>
      <c r="K64" s="292"/>
      <c r="L64" s="292"/>
      <c r="M64" s="292"/>
      <c r="N64" s="292"/>
      <c r="O64" s="292">
        <f t="shared" si="7"/>
        <v>-444.08991500000002</v>
      </c>
    </row>
    <row r="65" spans="1:17" hidden="1" x14ac:dyDescent="0.15">
      <c r="A65" s="291" t="s">
        <v>77</v>
      </c>
      <c r="B65" s="298"/>
      <c r="C65" s="292"/>
      <c r="D65" s="292"/>
      <c r="E65" s="292">
        <f>哈密!E65-三塘湖!E65</f>
        <v>1067.6087559999901</v>
      </c>
      <c r="F65" s="292"/>
      <c r="G65" s="292"/>
      <c r="H65" s="292"/>
      <c r="I65" s="292"/>
      <c r="J65" s="292"/>
      <c r="K65" s="292"/>
      <c r="L65" s="292"/>
      <c r="M65" s="292"/>
      <c r="N65" s="292"/>
      <c r="O65" s="292">
        <f t="shared" si="7"/>
        <v>1067.6087559999901</v>
      </c>
    </row>
    <row r="66" spans="1:17" ht="24" hidden="1" x14ac:dyDescent="0.15">
      <c r="A66" s="291" t="s">
        <v>78</v>
      </c>
      <c r="B66" s="298"/>
      <c r="C66" s="292"/>
      <c r="D66" s="292"/>
      <c r="E66" s="292">
        <f>哈密!E66-三塘湖!E66</f>
        <v>1067.6087559999901</v>
      </c>
      <c r="F66" s="292"/>
      <c r="G66" s="292"/>
      <c r="H66" s="292"/>
      <c r="I66" s="292"/>
      <c r="J66" s="292"/>
      <c r="K66" s="292"/>
      <c r="L66" s="292"/>
      <c r="M66" s="292"/>
      <c r="N66" s="292"/>
      <c r="O66" s="292">
        <f t="shared" si="7"/>
        <v>1067.6087559999901</v>
      </c>
    </row>
    <row r="67" spans="1:17" ht="24" hidden="1" x14ac:dyDescent="0.15">
      <c r="A67" s="291" t="s">
        <v>79</v>
      </c>
      <c r="B67" s="298"/>
      <c r="C67" s="292"/>
      <c r="D67" s="292"/>
      <c r="E67" s="292">
        <f>哈密!E67-三塘湖!E67</f>
        <v>0</v>
      </c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7"/>
        <v>0</v>
      </c>
    </row>
    <row r="68" spans="1:17" hidden="1" x14ac:dyDescent="0.15">
      <c r="A68" s="291" t="s">
        <v>80</v>
      </c>
      <c r="B68" s="298"/>
      <c r="C68" s="292"/>
      <c r="D68" s="292"/>
      <c r="E68" s="292">
        <f>哈密!E68-三塘湖!E68</f>
        <v>0</v>
      </c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7"/>
        <v>0</v>
      </c>
    </row>
    <row r="69" spans="1:17" hidden="1" x14ac:dyDescent="0.15">
      <c r="A69" s="291" t="s">
        <v>81</v>
      </c>
      <c r="B69" s="299"/>
    </row>
    <row r="70" spans="1:17" hidden="1" x14ac:dyDescent="0.15">
      <c r="A70" s="291" t="s">
        <v>82</v>
      </c>
      <c r="B70" s="299"/>
    </row>
    <row r="71" spans="1:17" x14ac:dyDescent="0.15">
      <c r="B71" s="299"/>
    </row>
    <row r="72" spans="1:1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7" x14ac:dyDescent="0.15">
      <c r="A73" s="303" t="s">
        <v>146</v>
      </c>
      <c r="B73" s="304">
        <f>SUM(B74:B78)</f>
        <v>2140.4469999999997</v>
      </c>
      <c r="C73" s="304">
        <f>SUM(C74:C78)</f>
        <v>214.78093200000001</v>
      </c>
      <c r="D73" s="304">
        <f t="shared" ref="D73:O73" si="9">SUM(D74:D78)</f>
        <v>187.81029900000001</v>
      </c>
      <c r="E73" s="304">
        <f t="shared" si="9"/>
        <v>48.992753999999998</v>
      </c>
      <c r="F73" s="316">
        <f t="shared" si="9"/>
        <v>264.86470099999997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31">
        <f t="shared" si="9"/>
        <v>716.44868600000007</v>
      </c>
    </row>
    <row r="74" spans="1:17" x14ac:dyDescent="0.15">
      <c r="A74" s="305" t="s">
        <v>97</v>
      </c>
      <c r="B74" s="317">
        <v>153.24</v>
      </c>
      <c r="C74" s="320">
        <v>3.7726929999999999</v>
      </c>
      <c r="D74" s="320"/>
      <c r="E74" s="320">
        <v>9.0668030000000002</v>
      </c>
      <c r="F74" s="85">
        <v>3.955263</v>
      </c>
      <c r="G74" s="85"/>
      <c r="H74" s="85"/>
      <c r="I74" s="85"/>
      <c r="J74" s="85"/>
      <c r="K74" s="85"/>
      <c r="L74" s="85"/>
      <c r="M74" s="85"/>
      <c r="N74" s="151"/>
      <c r="O74" s="310">
        <f>SUM(C74:N74)</f>
        <v>16.794758999999999</v>
      </c>
      <c r="Q74">
        <v>10000</v>
      </c>
    </row>
    <row r="75" spans="1:17" x14ac:dyDescent="0.15">
      <c r="A75" s="305" t="s">
        <v>98</v>
      </c>
      <c r="B75" s="317">
        <v>197.86</v>
      </c>
      <c r="C75" s="320">
        <v>0.43215399999999998</v>
      </c>
      <c r="D75" s="320">
        <v>0.46194800000000003</v>
      </c>
      <c r="E75" s="320">
        <v>5.8189999999999999E-2</v>
      </c>
      <c r="F75" s="85">
        <v>27.543793999999998</v>
      </c>
      <c r="G75" s="334"/>
      <c r="H75" s="85"/>
      <c r="I75" s="320"/>
      <c r="J75" s="85"/>
      <c r="K75" s="85"/>
      <c r="L75" s="85"/>
      <c r="M75" s="85"/>
      <c r="N75" s="151"/>
      <c r="O75" s="310">
        <f t="shared" ref="O75:O86" si="10">SUM(C75:N75)</f>
        <v>28.496085999999998</v>
      </c>
    </row>
    <row r="76" spans="1:17" x14ac:dyDescent="0.15">
      <c r="A76" s="305" t="s">
        <v>99</v>
      </c>
      <c r="B76" s="317">
        <v>1346.4839999999999</v>
      </c>
      <c r="C76" s="320">
        <v>156.805316</v>
      </c>
      <c r="D76" s="320">
        <v>157.24239900000001</v>
      </c>
      <c r="E76" s="320">
        <v>13.920647000000001</v>
      </c>
      <c r="F76" s="85">
        <v>157.24243999999999</v>
      </c>
      <c r="G76" s="85"/>
      <c r="H76" s="85"/>
      <c r="I76" s="85"/>
      <c r="J76" s="85"/>
      <c r="K76" s="85"/>
      <c r="L76" s="85"/>
      <c r="M76" s="85"/>
      <c r="N76" s="151"/>
      <c r="O76" s="310">
        <f t="shared" si="10"/>
        <v>485.210802</v>
      </c>
    </row>
    <row r="77" spans="1:17" x14ac:dyDescent="0.15">
      <c r="A77" s="305" t="s">
        <v>100</v>
      </c>
      <c r="B77" s="317">
        <v>321.66300000000001</v>
      </c>
      <c r="C77" s="320">
        <v>44.407223999999999</v>
      </c>
      <c r="D77" s="320">
        <v>29.612456999999999</v>
      </c>
      <c r="E77" s="320">
        <v>25.947113000000002</v>
      </c>
      <c r="F77" s="85">
        <v>60.838281000000002</v>
      </c>
      <c r="G77" s="85"/>
      <c r="H77" s="85"/>
      <c r="I77" s="85"/>
      <c r="J77" s="85"/>
      <c r="K77" s="85"/>
      <c r="L77" s="85"/>
      <c r="M77" s="85"/>
      <c r="N77" s="151"/>
      <c r="O77" s="310">
        <f t="shared" si="10"/>
        <v>160.80507499999999</v>
      </c>
    </row>
    <row r="78" spans="1:17" x14ac:dyDescent="0.15">
      <c r="A78" s="307" t="s">
        <v>101</v>
      </c>
      <c r="B78" s="319">
        <v>121.2</v>
      </c>
      <c r="C78" s="320">
        <v>9.3635450000000002</v>
      </c>
      <c r="D78" s="320">
        <v>0.49349500000000002</v>
      </c>
      <c r="E78" s="320">
        <v>9.9999999999999995E-7</v>
      </c>
      <c r="F78" s="85">
        <v>15.284922999999999</v>
      </c>
      <c r="G78" s="85"/>
      <c r="H78" s="85"/>
      <c r="I78" s="320"/>
      <c r="J78" s="85"/>
      <c r="K78" s="85"/>
      <c r="L78" s="85"/>
      <c r="M78" s="85"/>
      <c r="N78" s="151"/>
      <c r="O78" s="310">
        <f t="shared" si="10"/>
        <v>25.141963999999998</v>
      </c>
    </row>
    <row r="79" spans="1:17" x14ac:dyDescent="0.15">
      <c r="A79" s="309" t="s">
        <v>102</v>
      </c>
      <c r="B79" s="310">
        <f t="shared" ref="B79:N79" si="11">B13</f>
        <v>580</v>
      </c>
      <c r="C79" s="310">
        <f t="shared" si="11"/>
        <v>0</v>
      </c>
      <c r="D79" s="310">
        <f t="shared" si="11"/>
        <v>0</v>
      </c>
      <c r="E79" s="310">
        <f t="shared" si="11"/>
        <v>143.32206099999999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143.32206099999999</v>
      </c>
    </row>
    <row r="80" spans="1:17" x14ac:dyDescent="0.15">
      <c r="A80" s="309" t="s">
        <v>103</v>
      </c>
      <c r="B80" s="310">
        <f t="shared" ref="B80:N80" si="12">B21</f>
        <v>38.5</v>
      </c>
      <c r="C80" s="310">
        <f t="shared" si="12"/>
        <v>0</v>
      </c>
      <c r="D80" s="310">
        <f t="shared" si="12"/>
        <v>0</v>
      </c>
      <c r="E80" s="310">
        <f t="shared" si="12"/>
        <v>0</v>
      </c>
      <c r="F80" s="310">
        <f t="shared" si="12"/>
        <v>16.023849999999999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16.023849999999999</v>
      </c>
    </row>
    <row r="81" spans="1:15" x14ac:dyDescent="0.15">
      <c r="A81" s="309" t="s">
        <v>104</v>
      </c>
      <c r="B81" s="310">
        <f t="shared" ref="B81:N81" si="13">B23</f>
        <v>308.62200000000001</v>
      </c>
      <c r="C81" s="310">
        <f t="shared" si="13"/>
        <v>32.923662</v>
      </c>
      <c r="D81" s="310">
        <f t="shared" si="13"/>
        <v>21.017817000000001</v>
      </c>
      <c r="E81" s="310">
        <f t="shared" si="13"/>
        <v>20.148879000000001</v>
      </c>
      <c r="F81" s="310">
        <f t="shared" si="13"/>
        <v>44.358953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118.44931100000001</v>
      </c>
    </row>
    <row r="82" spans="1:15" x14ac:dyDescent="0.15">
      <c r="A82" s="309" t="s">
        <v>105</v>
      </c>
      <c r="B82" s="310">
        <f t="shared" ref="B82:N82" si="14">B25</f>
        <v>753.66099999999994</v>
      </c>
      <c r="C82" s="310">
        <f t="shared" si="14"/>
        <v>61.182904000000001</v>
      </c>
      <c r="D82" s="310">
        <f t="shared" si="14"/>
        <v>55.230207</v>
      </c>
      <c r="E82" s="310">
        <f t="shared" si="14"/>
        <v>59.136415999999997</v>
      </c>
      <c r="F82" s="310">
        <f t="shared" si="14"/>
        <v>59.237020000000001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234.78654700000001</v>
      </c>
    </row>
    <row r="83" spans="1:15" x14ac:dyDescent="0.15">
      <c r="A83" s="309" t="s">
        <v>106</v>
      </c>
      <c r="B83" s="310">
        <f t="shared" ref="B83:N83" si="15">B29</f>
        <v>160.44999999999999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0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0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4.7863249999999997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 t="shared" si="10"/>
        <v>4.7863249999999997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 t="shared" si="10"/>
        <v>0</v>
      </c>
    </row>
    <row r="87" spans="1:15" x14ac:dyDescent="0.15">
      <c r="D87">
        <v>10000</v>
      </c>
      <c r="H87" s="46"/>
      <c r="O87" s="310"/>
    </row>
    <row r="88" spans="1:15" x14ac:dyDescent="0.15">
      <c r="K88">
        <v>16216.22</v>
      </c>
    </row>
    <row r="89" spans="1:15" x14ac:dyDescent="0.15">
      <c r="K89">
        <v>16216.22</v>
      </c>
    </row>
    <row r="90" spans="1:15" x14ac:dyDescent="0.15">
      <c r="K90">
        <v>4824</v>
      </c>
    </row>
    <row r="91" spans="1:15" x14ac:dyDescent="0.15">
      <c r="K91" s="324">
        <f>K87+K88-K89</f>
        <v>0</v>
      </c>
    </row>
    <row r="92" spans="1:15" x14ac:dyDescent="0.15">
      <c r="K92" s="324">
        <f>K89+K90</f>
        <v>21040.22</v>
      </c>
    </row>
  </sheetData>
  <phoneticPr fontId="3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92"/>
  <sheetViews>
    <sheetView workbookViewId="0">
      <pane xSplit="1" ySplit="2" topLeftCell="B3" activePane="bottomRight" state="frozenSplit"/>
      <selection pane="topRight"/>
      <selection pane="bottomLeft"/>
      <selection pane="bottomRight" activeCell="F79" sqref="F79"/>
    </sheetView>
  </sheetViews>
  <sheetFormatPr defaultColWidth="9" defaultRowHeight="13.5" x14ac:dyDescent="0.15"/>
  <cols>
    <col min="1" max="1" width="22.125" customWidth="1"/>
    <col min="2" max="2" width="9.625" customWidth="1"/>
    <col min="3" max="15" width="9.125" customWidth="1"/>
  </cols>
  <sheetData>
    <row r="1" spans="1:16" x14ac:dyDescent="0.15">
      <c r="A1" s="289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6" x14ac:dyDescent="0.15">
      <c r="A2" s="289"/>
      <c r="B2" s="290" t="s">
        <v>0</v>
      </c>
      <c r="C2" s="290" t="s">
        <v>1</v>
      </c>
      <c r="D2" s="290" t="s">
        <v>2</v>
      </c>
      <c r="E2" s="290" t="s">
        <v>3</v>
      </c>
      <c r="F2" s="290" t="s">
        <v>4</v>
      </c>
      <c r="G2" s="290" t="s">
        <v>5</v>
      </c>
      <c r="H2" s="290" t="s">
        <v>6</v>
      </c>
      <c r="I2" s="290" t="s">
        <v>7</v>
      </c>
      <c r="J2" s="290" t="s">
        <v>8</v>
      </c>
      <c r="K2" s="290" t="s">
        <v>9</v>
      </c>
      <c r="L2" s="290" t="s">
        <v>10</v>
      </c>
      <c r="M2" s="290" t="s">
        <v>11</v>
      </c>
      <c r="N2" s="290" t="s">
        <v>12</v>
      </c>
      <c r="O2" s="290" t="s">
        <v>13</v>
      </c>
    </row>
    <row r="3" spans="1:16" x14ac:dyDescent="0.15">
      <c r="A3" s="291" t="s">
        <v>14</v>
      </c>
      <c r="B3" s="292">
        <f t="shared" ref="B3:N3" si="0">B4</f>
        <v>7600.05230769231</v>
      </c>
      <c r="C3" s="292">
        <f t="shared" si="0"/>
        <v>1050.709658</v>
      </c>
      <c r="D3" s="292">
        <f t="shared" si="0"/>
        <v>317.15416199999999</v>
      </c>
      <c r="E3" s="292">
        <f t="shared" si="0"/>
        <v>1037.970106</v>
      </c>
      <c r="F3" s="292">
        <f t="shared" si="0"/>
        <v>934.59774800000002</v>
      </c>
      <c r="G3" s="292">
        <f t="shared" si="0"/>
        <v>0</v>
      </c>
      <c r="H3" s="292">
        <f t="shared" si="0"/>
        <v>0</v>
      </c>
      <c r="I3" s="292">
        <f t="shared" si="0"/>
        <v>0</v>
      </c>
      <c r="J3" s="292">
        <f t="shared" si="0"/>
        <v>0</v>
      </c>
      <c r="K3" s="292">
        <f t="shared" si="0"/>
        <v>0</v>
      </c>
      <c r="L3" s="292">
        <f t="shared" si="0"/>
        <v>0</v>
      </c>
      <c r="M3" s="292">
        <f t="shared" si="0"/>
        <v>0</v>
      </c>
      <c r="N3" s="292">
        <f t="shared" si="0"/>
        <v>0</v>
      </c>
      <c r="O3" s="292">
        <f>SUM(C3:N3)</f>
        <v>3340.4316740000004</v>
      </c>
    </row>
    <row r="4" spans="1:16" x14ac:dyDescent="0.15">
      <c r="A4" s="291" t="s">
        <v>15</v>
      </c>
      <c r="B4" s="292">
        <f>B5+B6</f>
        <v>7600.05230769231</v>
      </c>
      <c r="C4" s="292">
        <f t="shared" ref="C4:N4" si="1">C5+C6</f>
        <v>1050.709658</v>
      </c>
      <c r="D4" s="292">
        <f t="shared" si="1"/>
        <v>317.15416199999999</v>
      </c>
      <c r="E4" s="292">
        <f t="shared" si="1"/>
        <v>1037.970106</v>
      </c>
      <c r="F4" s="292">
        <f t="shared" si="1"/>
        <v>934.59774800000002</v>
      </c>
      <c r="G4" s="292">
        <f t="shared" si="1"/>
        <v>0</v>
      </c>
      <c r="H4" s="292">
        <f t="shared" si="1"/>
        <v>0</v>
      </c>
      <c r="I4" s="292">
        <f t="shared" si="1"/>
        <v>0</v>
      </c>
      <c r="J4" s="292">
        <f t="shared" si="1"/>
        <v>0</v>
      </c>
      <c r="K4" s="292">
        <f t="shared" si="1"/>
        <v>0</v>
      </c>
      <c r="L4" s="292">
        <f t="shared" si="1"/>
        <v>0</v>
      </c>
      <c r="M4" s="292">
        <f t="shared" si="1"/>
        <v>0</v>
      </c>
      <c r="N4" s="292">
        <f t="shared" si="1"/>
        <v>0</v>
      </c>
      <c r="O4" s="292">
        <f>SUM(C4:N4)</f>
        <v>3340.4316740000004</v>
      </c>
    </row>
    <row r="5" spans="1:16" ht="24" x14ac:dyDescent="0.15">
      <c r="A5" s="291" t="s">
        <v>17</v>
      </c>
      <c r="B5" s="292">
        <v>7600.05230769231</v>
      </c>
      <c r="C5" s="292">
        <v>1050.709658</v>
      </c>
      <c r="D5" s="292">
        <v>317.15416199999999</v>
      </c>
      <c r="E5" s="292">
        <v>1037.970106</v>
      </c>
      <c r="F5" s="292">
        <v>934.59774800000002</v>
      </c>
      <c r="G5" s="292"/>
      <c r="H5" s="292"/>
      <c r="I5" s="292"/>
      <c r="J5" s="292"/>
      <c r="K5" s="292"/>
      <c r="L5" s="292"/>
      <c r="M5" s="292"/>
      <c r="N5" s="292"/>
      <c r="O5" s="292">
        <f>SUM(C5:N5)</f>
        <v>3340.4316740000004</v>
      </c>
    </row>
    <row r="6" spans="1:16" x14ac:dyDescent="0.15">
      <c r="A6" s="291" t="s">
        <v>18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>
        <f>SUM(C6:N6)</f>
        <v>0</v>
      </c>
    </row>
    <row r="7" spans="1:16" hidden="1" x14ac:dyDescent="0.15">
      <c r="A7" s="291" t="s">
        <v>19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>
        <f t="shared" ref="O7:O43" si="2">SUM(C7:N7)</f>
        <v>0</v>
      </c>
    </row>
    <row r="8" spans="1:16" hidden="1" x14ac:dyDescent="0.15">
      <c r="A8" s="291" t="s">
        <v>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>
        <f t="shared" si="2"/>
        <v>0</v>
      </c>
    </row>
    <row r="9" spans="1:16" hidden="1" x14ac:dyDescent="0.15">
      <c r="A9" s="291" t="s">
        <v>21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>
        <f t="shared" si="2"/>
        <v>0</v>
      </c>
    </row>
    <row r="10" spans="1:16" x14ac:dyDescent="0.15">
      <c r="A10" s="291" t="s">
        <v>22</v>
      </c>
      <c r="B10" s="292">
        <f>B11+B21+B23+B25+B29</f>
        <v>7130.0324000000001</v>
      </c>
      <c r="C10" s="292">
        <f>C11+C21+C23+C25+C29</f>
        <v>537.96197700000005</v>
      </c>
      <c r="D10" s="292">
        <f>D11+D21+D23+D25+D29</f>
        <v>473.40736400000003</v>
      </c>
      <c r="E10" s="292">
        <f>E11+E21+E23+E25+E29</f>
        <v>486.80850199999998</v>
      </c>
      <c r="F10" s="292">
        <f t="shared" ref="F10:N10" si="3">F11+F21+F23+F25+F29</f>
        <v>617.09151099999997</v>
      </c>
      <c r="G10" s="292">
        <f t="shared" si="3"/>
        <v>0</v>
      </c>
      <c r="H10" s="292">
        <f t="shared" si="3"/>
        <v>0</v>
      </c>
      <c r="I10" s="292">
        <f t="shared" si="3"/>
        <v>0</v>
      </c>
      <c r="J10" s="292">
        <f t="shared" si="3"/>
        <v>0</v>
      </c>
      <c r="K10" s="292">
        <f t="shared" si="3"/>
        <v>0</v>
      </c>
      <c r="L10" s="292">
        <f t="shared" si="3"/>
        <v>0</v>
      </c>
      <c r="M10" s="292">
        <f t="shared" si="3"/>
        <v>0</v>
      </c>
      <c r="N10" s="292">
        <f t="shared" si="3"/>
        <v>0</v>
      </c>
      <c r="O10" s="292">
        <f t="shared" si="2"/>
        <v>2115.269354</v>
      </c>
      <c r="P10">
        <f>B10-O10</f>
        <v>5014.763046</v>
      </c>
    </row>
    <row r="11" spans="1:16" x14ac:dyDescent="0.15">
      <c r="A11" s="291" t="s">
        <v>23</v>
      </c>
      <c r="B11" s="292">
        <f>B12+B13</f>
        <v>4190.9219199999998</v>
      </c>
      <c r="C11" s="292">
        <f t="shared" ref="C11:N11" si="4">C12+C13</f>
        <v>356.08985200000001</v>
      </c>
      <c r="D11" s="292">
        <f t="shared" si="4"/>
        <v>314.39262200000002</v>
      </c>
      <c r="E11" s="292">
        <f t="shared" si="4"/>
        <v>319.11189099999996</v>
      </c>
      <c r="F11" s="292">
        <f t="shared" si="4"/>
        <v>384.20907199999994</v>
      </c>
      <c r="G11" s="292">
        <f t="shared" si="4"/>
        <v>0</v>
      </c>
      <c r="H11" s="292">
        <f t="shared" si="4"/>
        <v>0</v>
      </c>
      <c r="I11" s="292">
        <f t="shared" si="4"/>
        <v>0</v>
      </c>
      <c r="J11" s="292">
        <f t="shared" si="4"/>
        <v>0</v>
      </c>
      <c r="K11" s="292">
        <f t="shared" si="4"/>
        <v>0</v>
      </c>
      <c r="L11" s="292">
        <f t="shared" si="4"/>
        <v>0</v>
      </c>
      <c r="M11" s="292">
        <f t="shared" si="4"/>
        <v>0</v>
      </c>
      <c r="N11" s="292">
        <f t="shared" si="4"/>
        <v>0</v>
      </c>
      <c r="O11" s="292">
        <f t="shared" si="2"/>
        <v>1373.8034369999998</v>
      </c>
    </row>
    <row r="12" spans="1:16" ht="24" x14ac:dyDescent="0.15">
      <c r="A12" s="291" t="s">
        <v>144</v>
      </c>
      <c r="B12" s="292">
        <f>B73</f>
        <v>4190.9219199999998</v>
      </c>
      <c r="C12" s="293">
        <f>C73</f>
        <v>356.08985200000001</v>
      </c>
      <c r="D12" s="293">
        <f t="shared" ref="D12:N12" si="5">D73</f>
        <v>314.39262200000002</v>
      </c>
      <c r="E12" s="293">
        <f t="shared" si="5"/>
        <v>319.11189099999996</v>
      </c>
      <c r="F12" s="293">
        <f t="shared" si="5"/>
        <v>384.20907199999994</v>
      </c>
      <c r="G12" s="293">
        <f t="shared" si="5"/>
        <v>0</v>
      </c>
      <c r="H12" s="293">
        <f t="shared" si="5"/>
        <v>0</v>
      </c>
      <c r="I12" s="293">
        <f t="shared" si="5"/>
        <v>0</v>
      </c>
      <c r="J12" s="293">
        <f t="shared" si="5"/>
        <v>0</v>
      </c>
      <c r="K12" s="293">
        <f t="shared" si="5"/>
        <v>0</v>
      </c>
      <c r="L12" s="293">
        <f t="shared" si="5"/>
        <v>0</v>
      </c>
      <c r="M12" s="293">
        <f t="shared" si="5"/>
        <v>0</v>
      </c>
      <c r="N12" s="293">
        <f t="shared" si="5"/>
        <v>0</v>
      </c>
      <c r="O12" s="293">
        <f t="shared" si="2"/>
        <v>1373.8034369999998</v>
      </c>
    </row>
    <row r="13" spans="1:16" x14ac:dyDescent="0.15">
      <c r="A13" s="291" t="s">
        <v>25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>
        <f t="shared" si="2"/>
        <v>0</v>
      </c>
    </row>
    <row r="14" spans="1:16" hidden="1" x14ac:dyDescent="0.15">
      <c r="A14" s="291" t="s">
        <v>26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>
        <f t="shared" si="2"/>
        <v>0</v>
      </c>
    </row>
    <row r="15" spans="1:16" hidden="1" x14ac:dyDescent="0.15">
      <c r="A15" s="291" t="s">
        <v>27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>
        <f t="shared" si="2"/>
        <v>0</v>
      </c>
    </row>
    <row r="16" spans="1:16" hidden="1" x14ac:dyDescent="0.15">
      <c r="A16" s="291" t="s">
        <v>28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>
        <f t="shared" si="2"/>
        <v>0</v>
      </c>
    </row>
    <row r="17" spans="1:15" hidden="1" x14ac:dyDescent="0.15">
      <c r="A17" s="291" t="s">
        <v>29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>
        <f t="shared" si="2"/>
        <v>0</v>
      </c>
    </row>
    <row r="18" spans="1:15" ht="24" hidden="1" x14ac:dyDescent="0.15">
      <c r="A18" s="291" t="s">
        <v>30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>
        <f t="shared" si="2"/>
        <v>0</v>
      </c>
    </row>
    <row r="19" spans="1:15" hidden="1" x14ac:dyDescent="0.15">
      <c r="A19" s="291" t="s">
        <v>31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>
        <f t="shared" si="2"/>
        <v>0</v>
      </c>
    </row>
    <row r="20" spans="1:15" hidden="1" x14ac:dyDescent="0.15">
      <c r="A20" s="291" t="s">
        <v>32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>
        <f t="shared" si="2"/>
        <v>0</v>
      </c>
    </row>
    <row r="21" spans="1:15" x14ac:dyDescent="0.15">
      <c r="A21" s="291" t="s">
        <v>33</v>
      </c>
      <c r="B21" s="292">
        <v>56.5</v>
      </c>
      <c r="C21" s="292"/>
      <c r="D21" s="292"/>
      <c r="E21" s="292"/>
      <c r="F21" s="292">
        <v>28.175909000000001</v>
      </c>
      <c r="G21" s="292"/>
      <c r="H21" s="292"/>
      <c r="I21" s="292"/>
      <c r="J21" s="292"/>
      <c r="K21" s="292"/>
      <c r="L21" s="292"/>
      <c r="M21" s="292"/>
      <c r="N21" s="292"/>
      <c r="O21" s="292">
        <f t="shared" si="2"/>
        <v>28.175909000000001</v>
      </c>
    </row>
    <row r="22" spans="1:15" hidden="1" x14ac:dyDescent="0.15">
      <c r="A22" s="291" t="s">
        <v>34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>
        <f t="shared" si="2"/>
        <v>0</v>
      </c>
    </row>
    <row r="23" spans="1:15" x14ac:dyDescent="0.15">
      <c r="A23" s="291" t="s">
        <v>35</v>
      </c>
      <c r="B23" s="292">
        <v>172.42348000000001</v>
      </c>
      <c r="C23" s="292">
        <v>12.626296</v>
      </c>
      <c r="D23" s="292">
        <v>5.4533740000000002</v>
      </c>
      <c r="E23" s="292">
        <v>11.151273</v>
      </c>
      <c r="F23" s="292">
        <v>22.802292999999999</v>
      </c>
      <c r="G23" s="292"/>
      <c r="H23" s="292"/>
      <c r="I23" s="292"/>
      <c r="J23" s="292"/>
      <c r="K23" s="292"/>
      <c r="L23" s="292"/>
      <c r="M23" s="292"/>
      <c r="N23" s="292"/>
      <c r="O23" s="292">
        <f t="shared" si="2"/>
        <v>52.033236000000002</v>
      </c>
    </row>
    <row r="24" spans="1:15" hidden="1" x14ac:dyDescent="0.15">
      <c r="A24" s="291" t="s">
        <v>36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>
        <f t="shared" si="2"/>
        <v>0</v>
      </c>
    </row>
    <row r="25" spans="1:15" x14ac:dyDescent="0.15">
      <c r="A25" s="291" t="s">
        <v>37</v>
      </c>
      <c r="B25" s="292">
        <v>2290.5169999999998</v>
      </c>
      <c r="C25" s="292">
        <v>169.24582899999999</v>
      </c>
      <c r="D25" s="292">
        <v>153.56136799999999</v>
      </c>
      <c r="E25" s="292">
        <v>156.54533799999999</v>
      </c>
      <c r="F25" s="292">
        <v>181.90423699999999</v>
      </c>
      <c r="G25" s="292"/>
      <c r="H25" s="292"/>
      <c r="I25" s="292"/>
      <c r="J25" s="292"/>
      <c r="K25" s="292"/>
      <c r="L25" s="292"/>
      <c r="M25" s="292"/>
      <c r="N25" s="292"/>
      <c r="O25" s="292">
        <f t="shared" si="2"/>
        <v>661.25677199999996</v>
      </c>
    </row>
    <row r="26" spans="1:15" hidden="1" x14ac:dyDescent="0.15">
      <c r="A26" s="291" t="s">
        <v>38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>
        <f t="shared" si="2"/>
        <v>0</v>
      </c>
    </row>
    <row r="27" spans="1:15" hidden="1" x14ac:dyDescent="0.15">
      <c r="A27" s="291" t="s">
        <v>39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>
        <f t="shared" si="2"/>
        <v>0</v>
      </c>
    </row>
    <row r="28" spans="1:15" ht="24" hidden="1" x14ac:dyDescent="0.15">
      <c r="A28" s="291" t="s">
        <v>40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>
        <f t="shared" si="2"/>
        <v>0</v>
      </c>
    </row>
    <row r="29" spans="1:15" x14ac:dyDescent="0.15">
      <c r="A29" s="291" t="s">
        <v>41</v>
      </c>
      <c r="B29" s="292">
        <v>419.67</v>
      </c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>
        <f t="shared" si="2"/>
        <v>0</v>
      </c>
    </row>
    <row r="30" spans="1:15" hidden="1" x14ac:dyDescent="0.15">
      <c r="A30" s="291" t="s">
        <v>42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>
        <f t="shared" si="2"/>
        <v>0</v>
      </c>
    </row>
    <row r="31" spans="1:15" ht="24" hidden="1" x14ac:dyDescent="0.15">
      <c r="A31" s="291" t="s">
        <v>43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>
        <f t="shared" si="2"/>
        <v>0</v>
      </c>
    </row>
    <row r="32" spans="1:15" ht="24" hidden="1" x14ac:dyDescent="0.15">
      <c r="A32" s="291" t="s">
        <v>44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>
        <f t="shared" si="2"/>
        <v>0</v>
      </c>
    </row>
    <row r="33" spans="1:15" ht="24" hidden="1" x14ac:dyDescent="0.15">
      <c r="A33" s="291" t="s">
        <v>45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>
        <f t="shared" si="2"/>
        <v>0</v>
      </c>
    </row>
    <row r="34" spans="1:15" ht="24" hidden="1" x14ac:dyDescent="0.15">
      <c r="A34" s="291" t="s">
        <v>46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>
        <f t="shared" si="2"/>
        <v>0</v>
      </c>
    </row>
    <row r="35" spans="1:15" x14ac:dyDescent="0.15">
      <c r="A35" s="291" t="s">
        <v>47</v>
      </c>
      <c r="B35" s="292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2">
        <f t="shared" si="2"/>
        <v>0</v>
      </c>
    </row>
    <row r="36" spans="1:15" x14ac:dyDescent="0.15">
      <c r="A36" s="291" t="s">
        <v>48</v>
      </c>
      <c r="B36" s="295">
        <f>B3-B10+B35</f>
        <v>470.01990769230997</v>
      </c>
      <c r="C36" s="295">
        <f>C3-C10</f>
        <v>512.74768099999994</v>
      </c>
      <c r="D36" s="295">
        <f>D3-D10</f>
        <v>-156.25320200000004</v>
      </c>
      <c r="E36" s="295">
        <f>E3-E10</f>
        <v>551.16160400000001</v>
      </c>
      <c r="F36" s="295">
        <f t="shared" ref="F36:N36" si="6">F3-F10+F35</f>
        <v>317.50623700000006</v>
      </c>
      <c r="G36" s="295">
        <f t="shared" si="6"/>
        <v>0</v>
      </c>
      <c r="H36" s="295">
        <f t="shared" si="6"/>
        <v>0</v>
      </c>
      <c r="I36" s="295">
        <f t="shared" si="6"/>
        <v>0</v>
      </c>
      <c r="J36" s="295">
        <f t="shared" si="6"/>
        <v>0</v>
      </c>
      <c r="K36" s="295">
        <f t="shared" si="6"/>
        <v>0</v>
      </c>
      <c r="L36" s="295">
        <f t="shared" si="6"/>
        <v>0</v>
      </c>
      <c r="M36" s="295">
        <f t="shared" si="6"/>
        <v>0</v>
      </c>
      <c r="N36" s="295">
        <f t="shared" si="6"/>
        <v>0</v>
      </c>
      <c r="O36" s="292">
        <f t="shared" si="2"/>
        <v>1225.1623199999999</v>
      </c>
    </row>
    <row r="37" spans="1:15" x14ac:dyDescent="0.15">
      <c r="A37" s="291" t="s">
        <v>49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>
        <f t="shared" si="2"/>
        <v>0</v>
      </c>
    </row>
    <row r="38" spans="1:15" ht="24" hidden="1" x14ac:dyDescent="0.15">
      <c r="A38" s="291" t="s">
        <v>50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>
        <f t="shared" si="2"/>
        <v>0</v>
      </c>
    </row>
    <row r="39" spans="1:15" hidden="1" x14ac:dyDescent="0.15">
      <c r="A39" s="291" t="s">
        <v>51</v>
      </c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>
        <f t="shared" si="2"/>
        <v>0</v>
      </c>
    </row>
    <row r="40" spans="1:15" hidden="1" x14ac:dyDescent="0.15">
      <c r="A40" s="291" t="s">
        <v>52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>
        <f t="shared" si="2"/>
        <v>0</v>
      </c>
    </row>
    <row r="41" spans="1:15" hidden="1" x14ac:dyDescent="0.15">
      <c r="A41" s="291" t="s">
        <v>53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>
        <f t="shared" si="2"/>
        <v>0</v>
      </c>
    </row>
    <row r="42" spans="1:15" x14ac:dyDescent="0.15">
      <c r="A42" s="291" t="s">
        <v>54</v>
      </c>
      <c r="B42" s="292">
        <v>10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>
        <f t="shared" si="2"/>
        <v>0</v>
      </c>
    </row>
    <row r="43" spans="1:15" ht="24" hidden="1" x14ac:dyDescent="0.15">
      <c r="A43" s="291" t="s">
        <v>55</v>
      </c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>
        <f t="shared" si="2"/>
        <v>0</v>
      </c>
    </row>
    <row r="44" spans="1:15" hidden="1" x14ac:dyDescent="0.15">
      <c r="A44" s="291" t="s">
        <v>56</v>
      </c>
      <c r="B44" s="292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325">
        <f>O3-O10</f>
        <v>1225.1623200000004</v>
      </c>
    </row>
    <row r="45" spans="1:15" hidden="1" x14ac:dyDescent="0.15">
      <c r="A45" s="291" t="s">
        <v>57</v>
      </c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>
        <f t="shared" ref="O45:O68" si="7">SUM(C45:N45)</f>
        <v>0</v>
      </c>
    </row>
    <row r="46" spans="1:15" x14ac:dyDescent="0.15">
      <c r="A46" s="291" t="s">
        <v>58</v>
      </c>
      <c r="B46" s="292">
        <f t="shared" ref="B46:N46" si="8">B36+B37-B42</f>
        <v>460.01990769230997</v>
      </c>
      <c r="C46" s="296">
        <f t="shared" si="8"/>
        <v>512.74768099999994</v>
      </c>
      <c r="D46" s="296">
        <f t="shared" si="8"/>
        <v>-156.25320200000004</v>
      </c>
      <c r="E46" s="296">
        <f t="shared" si="8"/>
        <v>551.16160400000001</v>
      </c>
      <c r="F46" s="296">
        <f t="shared" si="8"/>
        <v>317.50623700000006</v>
      </c>
      <c r="G46" s="296">
        <f t="shared" si="8"/>
        <v>0</v>
      </c>
      <c r="H46" s="296">
        <f t="shared" si="8"/>
        <v>0</v>
      </c>
      <c r="I46" s="296">
        <f t="shared" si="8"/>
        <v>0</v>
      </c>
      <c r="J46" s="296">
        <f t="shared" si="8"/>
        <v>0</v>
      </c>
      <c r="K46" s="296">
        <f t="shared" si="8"/>
        <v>0</v>
      </c>
      <c r="L46" s="296">
        <f t="shared" si="8"/>
        <v>0</v>
      </c>
      <c r="M46" s="296">
        <f t="shared" si="8"/>
        <v>0</v>
      </c>
      <c r="N46" s="296">
        <f t="shared" si="8"/>
        <v>0</v>
      </c>
      <c r="O46" s="292">
        <f t="shared" si="7"/>
        <v>1225.1623199999999</v>
      </c>
    </row>
    <row r="47" spans="1:15" x14ac:dyDescent="0.15">
      <c r="A47" s="291" t="s">
        <v>59</v>
      </c>
      <c r="B47" s="297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>
        <f t="shared" si="7"/>
        <v>0</v>
      </c>
    </row>
    <row r="48" spans="1:15" x14ac:dyDescent="0.15">
      <c r="A48" s="291" t="s">
        <v>60</v>
      </c>
      <c r="B48" s="297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>
        <f t="shared" si="7"/>
        <v>0</v>
      </c>
    </row>
    <row r="49" spans="1:15" hidden="1" x14ac:dyDescent="0.15">
      <c r="A49" s="291" t="s">
        <v>61</v>
      </c>
      <c r="B49" s="298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>
        <f t="shared" si="7"/>
        <v>0</v>
      </c>
    </row>
    <row r="50" spans="1:15" ht="24" hidden="1" x14ac:dyDescent="0.15">
      <c r="A50" s="291" t="s">
        <v>62</v>
      </c>
      <c r="B50" s="298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>
        <f t="shared" si="7"/>
        <v>0</v>
      </c>
    </row>
    <row r="51" spans="1:15" hidden="1" x14ac:dyDescent="0.15">
      <c r="A51" s="291" t="s">
        <v>63</v>
      </c>
      <c r="B51" s="298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>
        <f t="shared" si="7"/>
        <v>0</v>
      </c>
    </row>
    <row r="52" spans="1:15" ht="24" hidden="1" x14ac:dyDescent="0.15">
      <c r="A52" s="291" t="s">
        <v>64</v>
      </c>
      <c r="B52" s="298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>
        <f t="shared" si="7"/>
        <v>0</v>
      </c>
    </row>
    <row r="53" spans="1:15" hidden="1" x14ac:dyDescent="0.15">
      <c r="A53" s="291" t="s">
        <v>65</v>
      </c>
      <c r="B53" s="298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>
        <f t="shared" si="7"/>
        <v>0</v>
      </c>
    </row>
    <row r="54" spans="1:15" ht="24" hidden="1" x14ac:dyDescent="0.15">
      <c r="A54" s="291" t="s">
        <v>66</v>
      </c>
      <c r="B54" s="298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>
        <f t="shared" si="7"/>
        <v>0</v>
      </c>
    </row>
    <row r="55" spans="1:15" ht="24" hidden="1" x14ac:dyDescent="0.15">
      <c r="A55" s="291" t="s">
        <v>67</v>
      </c>
      <c r="B55" s="298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>
        <f t="shared" si="7"/>
        <v>0</v>
      </c>
    </row>
    <row r="56" spans="1:15" ht="24" hidden="1" x14ac:dyDescent="0.15">
      <c r="A56" s="291" t="s">
        <v>68</v>
      </c>
      <c r="B56" s="298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>
        <f t="shared" si="7"/>
        <v>0</v>
      </c>
    </row>
    <row r="57" spans="1:15" ht="24" hidden="1" x14ac:dyDescent="0.15">
      <c r="A57" s="291" t="s">
        <v>69</v>
      </c>
      <c r="B57" s="298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>
        <f t="shared" si="7"/>
        <v>0</v>
      </c>
    </row>
    <row r="58" spans="1:15" hidden="1" x14ac:dyDescent="0.15">
      <c r="A58" s="291" t="s">
        <v>70</v>
      </c>
      <c r="B58" s="298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>
        <f t="shared" si="7"/>
        <v>0</v>
      </c>
    </row>
    <row r="59" spans="1:15" ht="24" hidden="1" x14ac:dyDescent="0.15">
      <c r="A59" s="291" t="s">
        <v>71</v>
      </c>
      <c r="B59" s="298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>
        <f t="shared" si="7"/>
        <v>0</v>
      </c>
    </row>
    <row r="60" spans="1:15" ht="24" hidden="1" x14ac:dyDescent="0.15">
      <c r="A60" s="291" t="s">
        <v>72</v>
      </c>
      <c r="B60" s="298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>
        <f t="shared" si="7"/>
        <v>0</v>
      </c>
    </row>
    <row r="61" spans="1:15" ht="24" hidden="1" x14ac:dyDescent="0.15">
      <c r="A61" s="291" t="s">
        <v>73</v>
      </c>
      <c r="B61" s="298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>
        <f t="shared" si="7"/>
        <v>0</v>
      </c>
    </row>
    <row r="62" spans="1:15" ht="24" hidden="1" x14ac:dyDescent="0.15">
      <c r="A62" s="291" t="s">
        <v>74</v>
      </c>
      <c r="B62" s="298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>
        <f t="shared" si="7"/>
        <v>0</v>
      </c>
    </row>
    <row r="63" spans="1:15" ht="24" hidden="1" x14ac:dyDescent="0.15">
      <c r="A63" s="291" t="s">
        <v>75</v>
      </c>
      <c r="B63" s="298"/>
      <c r="C63" s="292">
        <v>-285.74242600000002</v>
      </c>
      <c r="D63" s="292">
        <v>-281.29071299999998</v>
      </c>
      <c r="E63" s="292">
        <v>-51.562356999999999</v>
      </c>
      <c r="F63" s="292"/>
      <c r="G63" s="292"/>
      <c r="H63" s="292"/>
      <c r="I63" s="292"/>
      <c r="J63" s="292"/>
      <c r="K63" s="292"/>
      <c r="L63" s="292"/>
      <c r="M63" s="292"/>
      <c r="N63" s="292"/>
      <c r="O63" s="292">
        <f t="shared" si="7"/>
        <v>-618.59549600000003</v>
      </c>
    </row>
    <row r="64" spans="1:15" hidden="1" x14ac:dyDescent="0.15">
      <c r="A64" s="291" t="s">
        <v>76</v>
      </c>
      <c r="B64" s="298"/>
      <c r="C64" s="292">
        <v>-285.74242600000002</v>
      </c>
      <c r="D64" s="292">
        <v>-281.29071299999998</v>
      </c>
      <c r="E64" s="292">
        <v>-51.562356999999999</v>
      </c>
      <c r="F64" s="292"/>
      <c r="G64" s="292"/>
      <c r="H64" s="292"/>
      <c r="I64" s="292"/>
      <c r="J64" s="292"/>
      <c r="K64" s="292"/>
      <c r="L64" s="292"/>
      <c r="M64" s="292"/>
      <c r="N64" s="292"/>
      <c r="O64" s="292">
        <f t="shared" si="7"/>
        <v>-618.59549600000003</v>
      </c>
    </row>
    <row r="65" spans="1:17" hidden="1" x14ac:dyDescent="0.15">
      <c r="A65" s="291" t="s">
        <v>77</v>
      </c>
      <c r="B65" s="298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>
        <f t="shared" si="7"/>
        <v>0</v>
      </c>
    </row>
    <row r="66" spans="1:17" ht="24" hidden="1" x14ac:dyDescent="0.15">
      <c r="A66" s="291" t="s">
        <v>78</v>
      </c>
      <c r="B66" s="298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>
        <f t="shared" si="7"/>
        <v>0</v>
      </c>
    </row>
    <row r="67" spans="1:17" ht="24" hidden="1" x14ac:dyDescent="0.15">
      <c r="A67" s="291" t="s">
        <v>79</v>
      </c>
      <c r="B67" s="298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>
        <f t="shared" si="7"/>
        <v>0</v>
      </c>
    </row>
    <row r="68" spans="1:17" hidden="1" x14ac:dyDescent="0.15">
      <c r="A68" s="291" t="s">
        <v>80</v>
      </c>
      <c r="B68" s="298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>
        <f t="shared" si="7"/>
        <v>0</v>
      </c>
    </row>
    <row r="69" spans="1:17" hidden="1" x14ac:dyDescent="0.15">
      <c r="A69" s="291" t="s">
        <v>81</v>
      </c>
      <c r="B69" s="299"/>
    </row>
    <row r="70" spans="1:17" hidden="1" x14ac:dyDescent="0.15">
      <c r="A70" s="291" t="s">
        <v>82</v>
      </c>
      <c r="B70" s="299"/>
    </row>
    <row r="71" spans="1:17" x14ac:dyDescent="0.15">
      <c r="B71" s="299"/>
    </row>
    <row r="72" spans="1:17" x14ac:dyDescent="0.15">
      <c r="A72" s="300"/>
      <c r="B72" s="301"/>
      <c r="C72" s="302" t="s">
        <v>83</v>
      </c>
      <c r="D72" s="302" t="s">
        <v>84</v>
      </c>
      <c r="E72" s="302" t="s">
        <v>85</v>
      </c>
      <c r="F72" s="302" t="s">
        <v>86</v>
      </c>
      <c r="G72" s="302" t="s">
        <v>87</v>
      </c>
      <c r="H72" s="302" t="s">
        <v>88</v>
      </c>
      <c r="I72" s="302" t="s">
        <v>89</v>
      </c>
      <c r="J72" s="302" t="s">
        <v>90</v>
      </c>
      <c r="K72" s="302" t="s">
        <v>91</v>
      </c>
      <c r="L72" s="302" t="s">
        <v>92</v>
      </c>
      <c r="M72" s="302" t="s">
        <v>93</v>
      </c>
      <c r="N72" s="302" t="s">
        <v>94</v>
      </c>
      <c r="O72" s="302" t="s">
        <v>95</v>
      </c>
    </row>
    <row r="73" spans="1:17" x14ac:dyDescent="0.15">
      <c r="A73" s="303" t="s">
        <v>146</v>
      </c>
      <c r="B73" s="304">
        <f>SUM(B74:B78)</f>
        <v>4190.9219199999998</v>
      </c>
      <c r="C73" s="304">
        <f>SUM(C74:C78)</f>
        <v>356.08985200000001</v>
      </c>
      <c r="D73" s="304">
        <f t="shared" ref="D73:O73" si="9">SUM(D74:D78)</f>
        <v>314.39262200000002</v>
      </c>
      <c r="E73" s="304">
        <f t="shared" si="9"/>
        <v>319.11189099999996</v>
      </c>
      <c r="F73" s="315">
        <f t="shared" si="9"/>
        <v>384.20907199999994</v>
      </c>
      <c r="G73" s="304">
        <f t="shared" si="9"/>
        <v>0</v>
      </c>
      <c r="H73" s="304">
        <f t="shared" si="9"/>
        <v>0</v>
      </c>
      <c r="I73" s="304">
        <f t="shared" si="9"/>
        <v>0</v>
      </c>
      <c r="J73" s="304">
        <f t="shared" si="9"/>
        <v>0</v>
      </c>
      <c r="K73" s="304">
        <f t="shared" si="9"/>
        <v>0</v>
      </c>
      <c r="L73" s="304">
        <f t="shared" si="9"/>
        <v>0</v>
      </c>
      <c r="M73" s="304">
        <f t="shared" si="9"/>
        <v>0</v>
      </c>
      <c r="N73" s="304">
        <f t="shared" si="9"/>
        <v>0</v>
      </c>
      <c r="O73" s="304">
        <f t="shared" si="9"/>
        <v>1373.803437</v>
      </c>
    </row>
    <row r="74" spans="1:17" x14ac:dyDescent="0.15">
      <c r="A74" s="305" t="s">
        <v>97</v>
      </c>
      <c r="B74" s="317">
        <v>211</v>
      </c>
      <c r="C74" s="85">
        <v>15.469858</v>
      </c>
      <c r="D74" s="85">
        <v>15.817212</v>
      </c>
      <c r="E74" s="85">
        <v>21.905984</v>
      </c>
      <c r="F74" s="85">
        <v>19.332346000000001</v>
      </c>
      <c r="G74" s="85"/>
      <c r="H74" s="85"/>
      <c r="I74" s="85"/>
      <c r="J74" s="85"/>
      <c r="K74" s="85"/>
      <c r="L74" s="85"/>
      <c r="M74" s="85"/>
      <c r="N74" s="151"/>
      <c r="O74" s="310">
        <f>SUM(C74:N74)</f>
        <v>72.525400000000005</v>
      </c>
    </row>
    <row r="75" spans="1:17" x14ac:dyDescent="0.15">
      <c r="A75" s="305" t="s">
        <v>98</v>
      </c>
      <c r="B75" s="317">
        <v>63.65</v>
      </c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151"/>
      <c r="O75" s="310">
        <f t="shared" ref="O75:O82" si="10">SUM(C75:N75)</f>
        <v>0</v>
      </c>
      <c r="Q75">
        <v>10000</v>
      </c>
    </row>
    <row r="76" spans="1:17" x14ac:dyDescent="0.15">
      <c r="A76" s="305" t="s">
        <v>99</v>
      </c>
      <c r="B76" s="317">
        <v>3277.848</v>
      </c>
      <c r="C76" s="85">
        <v>276.01899100000003</v>
      </c>
      <c r="D76" s="85">
        <v>279.42914000000002</v>
      </c>
      <c r="E76" s="85">
        <v>279.55413199999998</v>
      </c>
      <c r="F76" s="85">
        <v>282.251777</v>
      </c>
      <c r="G76" s="85"/>
      <c r="H76" s="85"/>
      <c r="I76" s="85"/>
      <c r="J76" s="85"/>
      <c r="K76" s="85"/>
      <c r="L76" s="85"/>
      <c r="M76" s="85"/>
      <c r="N76" s="151"/>
      <c r="O76" s="310">
        <f t="shared" si="10"/>
        <v>1117.25404</v>
      </c>
    </row>
    <row r="77" spans="1:17" x14ac:dyDescent="0.15">
      <c r="A77" s="305" t="s">
        <v>100</v>
      </c>
      <c r="B77" s="317">
        <v>443.45391999999998</v>
      </c>
      <c r="C77" s="85">
        <v>46.006726999999998</v>
      </c>
      <c r="D77" s="85">
        <v>18.963566</v>
      </c>
      <c r="E77" s="85">
        <v>17.505693999999998</v>
      </c>
      <c r="F77" s="85">
        <v>58.095784000000002</v>
      </c>
      <c r="G77" s="85"/>
      <c r="H77" s="85"/>
      <c r="I77" s="85"/>
      <c r="J77" s="85"/>
      <c r="K77" s="85"/>
      <c r="L77" s="85"/>
      <c r="M77" s="85"/>
      <c r="N77" s="151"/>
      <c r="O77" s="310">
        <f t="shared" si="10"/>
        <v>140.57177100000001</v>
      </c>
    </row>
    <row r="78" spans="1:17" x14ac:dyDescent="0.15">
      <c r="A78" s="307" t="s">
        <v>101</v>
      </c>
      <c r="B78" s="319">
        <v>194.97</v>
      </c>
      <c r="C78" s="85">
        <v>18.594276000000001</v>
      </c>
      <c r="D78" s="85">
        <v>0.18270400000000001</v>
      </c>
      <c r="E78" s="320">
        <v>0.14608099999999999</v>
      </c>
      <c r="F78" s="85">
        <v>24.529164999999999</v>
      </c>
      <c r="G78" s="85"/>
      <c r="H78" s="85"/>
      <c r="I78" s="85"/>
      <c r="J78" s="85"/>
      <c r="K78" s="85"/>
      <c r="L78" s="85"/>
      <c r="M78" s="85"/>
      <c r="N78" s="151"/>
      <c r="O78" s="310">
        <f t="shared" si="10"/>
        <v>43.452225999999996</v>
      </c>
    </row>
    <row r="79" spans="1:17" x14ac:dyDescent="0.15">
      <c r="A79" s="309" t="s">
        <v>102</v>
      </c>
      <c r="B79" s="310">
        <f t="shared" ref="B79:N79" si="11">B13</f>
        <v>0</v>
      </c>
      <c r="C79" s="310">
        <f t="shared" si="11"/>
        <v>0</v>
      </c>
      <c r="D79" s="310">
        <f t="shared" si="11"/>
        <v>0</v>
      </c>
      <c r="E79" s="310">
        <f t="shared" si="11"/>
        <v>0</v>
      </c>
      <c r="F79" s="310">
        <f t="shared" si="11"/>
        <v>0</v>
      </c>
      <c r="G79" s="310">
        <f t="shared" si="11"/>
        <v>0</v>
      </c>
      <c r="H79" s="310">
        <f t="shared" si="11"/>
        <v>0</v>
      </c>
      <c r="I79" s="310">
        <f t="shared" si="11"/>
        <v>0</v>
      </c>
      <c r="J79" s="310">
        <f t="shared" si="11"/>
        <v>0</v>
      </c>
      <c r="K79" s="310">
        <f t="shared" si="11"/>
        <v>0</v>
      </c>
      <c r="L79" s="310">
        <f t="shared" si="11"/>
        <v>0</v>
      </c>
      <c r="M79" s="310">
        <f t="shared" si="11"/>
        <v>0</v>
      </c>
      <c r="N79" s="310">
        <f t="shared" si="11"/>
        <v>0</v>
      </c>
      <c r="O79" s="310">
        <f t="shared" si="10"/>
        <v>0</v>
      </c>
    </row>
    <row r="80" spans="1:17" x14ac:dyDescent="0.15">
      <c r="A80" s="309" t="s">
        <v>103</v>
      </c>
      <c r="B80" s="310">
        <f t="shared" ref="B80:N80" si="12">B21</f>
        <v>56.5</v>
      </c>
      <c r="C80" s="310">
        <f t="shared" si="12"/>
        <v>0</v>
      </c>
      <c r="D80" s="310">
        <f t="shared" si="12"/>
        <v>0</v>
      </c>
      <c r="E80" s="310">
        <f t="shared" si="12"/>
        <v>0</v>
      </c>
      <c r="F80" s="310">
        <f t="shared" si="12"/>
        <v>28.175909000000001</v>
      </c>
      <c r="G80" s="310">
        <f t="shared" si="12"/>
        <v>0</v>
      </c>
      <c r="H80" s="310">
        <f t="shared" si="12"/>
        <v>0</v>
      </c>
      <c r="I80" s="310">
        <f t="shared" si="12"/>
        <v>0</v>
      </c>
      <c r="J80" s="310">
        <f t="shared" si="12"/>
        <v>0</v>
      </c>
      <c r="K80" s="310">
        <f t="shared" si="12"/>
        <v>0</v>
      </c>
      <c r="L80" s="310">
        <f t="shared" si="12"/>
        <v>0</v>
      </c>
      <c r="M80" s="310">
        <f t="shared" si="12"/>
        <v>0</v>
      </c>
      <c r="N80" s="310">
        <f t="shared" si="12"/>
        <v>0</v>
      </c>
      <c r="O80" s="310">
        <f t="shared" si="10"/>
        <v>28.175909000000001</v>
      </c>
    </row>
    <row r="81" spans="1:15" x14ac:dyDescent="0.15">
      <c r="A81" s="309" t="s">
        <v>104</v>
      </c>
      <c r="B81" s="310">
        <f t="shared" ref="B81:N81" si="13">B23</f>
        <v>172.42348000000001</v>
      </c>
      <c r="C81" s="310">
        <f t="shared" si="13"/>
        <v>12.626296</v>
      </c>
      <c r="D81" s="310">
        <f t="shared" si="13"/>
        <v>5.4533740000000002</v>
      </c>
      <c r="E81" s="310">
        <f t="shared" si="13"/>
        <v>11.151273</v>
      </c>
      <c r="F81" s="310">
        <f t="shared" si="13"/>
        <v>22.802292999999999</v>
      </c>
      <c r="G81" s="310">
        <f t="shared" si="13"/>
        <v>0</v>
      </c>
      <c r="H81" s="310">
        <f t="shared" si="13"/>
        <v>0</v>
      </c>
      <c r="I81" s="310">
        <f t="shared" si="13"/>
        <v>0</v>
      </c>
      <c r="J81" s="310">
        <f t="shared" si="13"/>
        <v>0</v>
      </c>
      <c r="K81" s="310">
        <f t="shared" si="13"/>
        <v>0</v>
      </c>
      <c r="L81" s="310">
        <f t="shared" si="13"/>
        <v>0</v>
      </c>
      <c r="M81" s="310">
        <f t="shared" si="13"/>
        <v>0</v>
      </c>
      <c r="N81" s="310">
        <f t="shared" si="13"/>
        <v>0</v>
      </c>
      <c r="O81" s="310">
        <f t="shared" si="10"/>
        <v>52.033236000000002</v>
      </c>
    </row>
    <row r="82" spans="1:15" x14ac:dyDescent="0.15">
      <c r="A82" s="309" t="s">
        <v>105</v>
      </c>
      <c r="B82" s="310">
        <f t="shared" ref="B82:N82" si="14">B25</f>
        <v>2290.5169999999998</v>
      </c>
      <c r="C82" s="310">
        <f t="shared" si="14"/>
        <v>169.24582899999999</v>
      </c>
      <c r="D82" s="310">
        <f t="shared" si="14"/>
        <v>153.56136799999999</v>
      </c>
      <c r="E82" s="310">
        <f t="shared" si="14"/>
        <v>156.54533799999999</v>
      </c>
      <c r="F82" s="310">
        <f t="shared" si="14"/>
        <v>181.90423699999999</v>
      </c>
      <c r="G82" s="310">
        <f t="shared" si="14"/>
        <v>0</v>
      </c>
      <c r="H82" s="310">
        <f t="shared" si="14"/>
        <v>0</v>
      </c>
      <c r="I82" s="310">
        <f t="shared" si="14"/>
        <v>0</v>
      </c>
      <c r="J82" s="310">
        <f t="shared" si="14"/>
        <v>0</v>
      </c>
      <c r="K82" s="310">
        <f t="shared" si="14"/>
        <v>0</v>
      </c>
      <c r="L82" s="310">
        <f t="shared" si="14"/>
        <v>0</v>
      </c>
      <c r="M82" s="310">
        <f t="shared" si="14"/>
        <v>0</v>
      </c>
      <c r="N82" s="310">
        <f t="shared" si="14"/>
        <v>0</v>
      </c>
      <c r="O82" s="310">
        <f t="shared" si="10"/>
        <v>661.25677199999996</v>
      </c>
    </row>
    <row r="83" spans="1:15" x14ac:dyDescent="0.15">
      <c r="A83" s="309" t="s">
        <v>106</v>
      </c>
      <c r="B83" s="310">
        <f t="shared" ref="B83:O84" si="15">B29</f>
        <v>419.67</v>
      </c>
      <c r="C83" s="310">
        <f t="shared" si="15"/>
        <v>0</v>
      </c>
      <c r="D83" s="310">
        <f t="shared" si="15"/>
        <v>0</v>
      </c>
      <c r="E83" s="310">
        <f t="shared" si="15"/>
        <v>0</v>
      </c>
      <c r="F83" s="310">
        <f t="shared" si="15"/>
        <v>0</v>
      </c>
      <c r="G83" s="310">
        <f t="shared" si="15"/>
        <v>0</v>
      </c>
      <c r="H83" s="310">
        <f t="shared" si="15"/>
        <v>0</v>
      </c>
      <c r="I83" s="310">
        <f t="shared" si="15"/>
        <v>0</v>
      </c>
      <c r="J83" s="310">
        <f t="shared" si="15"/>
        <v>0</v>
      </c>
      <c r="K83" s="310">
        <f t="shared" si="15"/>
        <v>0</v>
      </c>
      <c r="L83" s="310">
        <f t="shared" si="15"/>
        <v>0</v>
      </c>
      <c r="M83" s="310">
        <f t="shared" si="15"/>
        <v>0</v>
      </c>
      <c r="N83" s="310">
        <f t="shared" si="15"/>
        <v>0</v>
      </c>
      <c r="O83" s="310">
        <f t="shared" si="15"/>
        <v>0</v>
      </c>
    </row>
    <row r="84" spans="1:15" x14ac:dyDescent="0.15">
      <c r="A84" s="309" t="s">
        <v>47</v>
      </c>
      <c r="B84" s="310">
        <f>B35</f>
        <v>0</v>
      </c>
      <c r="C84" s="310">
        <f t="shared" ref="C84:N84" si="16">C35</f>
        <v>0</v>
      </c>
      <c r="D84" s="310">
        <f t="shared" si="16"/>
        <v>0</v>
      </c>
      <c r="E84" s="310">
        <f t="shared" si="16"/>
        <v>0</v>
      </c>
      <c r="F84" s="310">
        <f t="shared" si="16"/>
        <v>0</v>
      </c>
      <c r="G84" s="310">
        <f t="shared" si="16"/>
        <v>0</v>
      </c>
      <c r="H84" s="310">
        <f t="shared" si="16"/>
        <v>0</v>
      </c>
      <c r="I84" s="310">
        <f t="shared" si="16"/>
        <v>0</v>
      </c>
      <c r="J84" s="310">
        <f t="shared" si="16"/>
        <v>0</v>
      </c>
      <c r="K84" s="310">
        <f t="shared" si="16"/>
        <v>0</v>
      </c>
      <c r="L84" s="310">
        <f t="shared" si="16"/>
        <v>0</v>
      </c>
      <c r="M84" s="310">
        <f t="shared" si="16"/>
        <v>0</v>
      </c>
      <c r="N84" s="310">
        <f t="shared" si="16"/>
        <v>0</v>
      </c>
      <c r="O84" s="310">
        <f t="shared" si="15"/>
        <v>0</v>
      </c>
    </row>
    <row r="85" spans="1:15" x14ac:dyDescent="0.15">
      <c r="A85" s="309" t="s">
        <v>107</v>
      </c>
      <c r="B85" s="310">
        <f t="shared" ref="B85:N85" si="17">B37</f>
        <v>0</v>
      </c>
      <c r="C85" s="310">
        <f t="shared" si="17"/>
        <v>0</v>
      </c>
      <c r="D85" s="310">
        <f t="shared" si="17"/>
        <v>0</v>
      </c>
      <c r="E85" s="310">
        <f t="shared" si="17"/>
        <v>0</v>
      </c>
      <c r="F85" s="310">
        <f t="shared" si="17"/>
        <v>0</v>
      </c>
      <c r="G85" s="310">
        <f t="shared" si="17"/>
        <v>0</v>
      </c>
      <c r="H85" s="310">
        <f t="shared" si="17"/>
        <v>0</v>
      </c>
      <c r="I85" s="310">
        <f t="shared" si="17"/>
        <v>0</v>
      </c>
      <c r="J85" s="310">
        <f t="shared" si="17"/>
        <v>0</v>
      </c>
      <c r="K85" s="310">
        <f t="shared" si="17"/>
        <v>0</v>
      </c>
      <c r="L85" s="310">
        <f t="shared" si="17"/>
        <v>0</v>
      </c>
      <c r="M85" s="310">
        <f t="shared" si="17"/>
        <v>0</v>
      </c>
      <c r="N85" s="310">
        <f t="shared" si="17"/>
        <v>0</v>
      </c>
      <c r="O85" s="310">
        <f>O30</f>
        <v>0</v>
      </c>
    </row>
    <row r="86" spans="1:15" x14ac:dyDescent="0.15">
      <c r="A86" s="309" t="s">
        <v>108</v>
      </c>
      <c r="B86" s="310">
        <f>B40</f>
        <v>0</v>
      </c>
      <c r="C86" s="310">
        <f>C40</f>
        <v>0</v>
      </c>
      <c r="D86" s="310">
        <f t="shared" ref="D86:N86" si="18">D40</f>
        <v>0</v>
      </c>
      <c r="E86" s="310">
        <f t="shared" si="18"/>
        <v>0</v>
      </c>
      <c r="F86" s="310">
        <f t="shared" si="18"/>
        <v>0</v>
      </c>
      <c r="G86" s="310">
        <f t="shared" si="18"/>
        <v>0</v>
      </c>
      <c r="H86" s="310">
        <f t="shared" si="18"/>
        <v>0</v>
      </c>
      <c r="I86" s="310">
        <f t="shared" si="18"/>
        <v>0</v>
      </c>
      <c r="J86" s="310">
        <f t="shared" si="18"/>
        <v>0</v>
      </c>
      <c r="K86" s="310">
        <f t="shared" si="18"/>
        <v>0</v>
      </c>
      <c r="L86" s="310">
        <f t="shared" si="18"/>
        <v>0</v>
      </c>
      <c r="M86" s="310">
        <f t="shared" si="18"/>
        <v>0</v>
      </c>
      <c r="N86" s="310">
        <f t="shared" si="18"/>
        <v>0</v>
      </c>
      <c r="O86" s="310">
        <f>O31</f>
        <v>0</v>
      </c>
    </row>
    <row r="88" spans="1:15" x14ac:dyDescent="0.15">
      <c r="K88">
        <v>16216.22</v>
      </c>
    </row>
    <row r="89" spans="1:15" x14ac:dyDescent="0.15">
      <c r="K89">
        <v>16216.22</v>
      </c>
    </row>
    <row r="91" spans="1:15" x14ac:dyDescent="0.15">
      <c r="K91" s="324">
        <f>K87+K88-K89</f>
        <v>0</v>
      </c>
    </row>
    <row r="92" spans="1:15" x14ac:dyDescent="0.15">
      <c r="K92" s="324">
        <f>K89+K90</f>
        <v>16216.22</v>
      </c>
    </row>
  </sheetData>
  <phoneticPr fontId="30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合计</vt:lpstr>
      <vt:lpstr>白银</vt:lpstr>
      <vt:lpstr>酒一</vt:lpstr>
      <vt:lpstr>酒二</vt:lpstr>
      <vt:lpstr>青海</vt:lpstr>
      <vt:lpstr>哈密</vt:lpstr>
      <vt:lpstr>三塘湖</vt:lpstr>
      <vt:lpstr>淖毛湖</vt:lpstr>
      <vt:lpstr>景峡</vt:lpstr>
      <vt:lpstr>烟墩</vt:lpstr>
      <vt:lpstr>吐鲁番</vt:lpstr>
      <vt:lpstr>敦煌</vt:lpstr>
      <vt:lpstr>格尔木</vt:lpstr>
      <vt:lpstr>石嘴山</vt:lpstr>
      <vt:lpstr>云南</vt:lpstr>
      <vt:lpstr>楚雄</vt:lpstr>
      <vt:lpstr>大理</vt:lpstr>
      <vt:lpstr>广西</vt:lpstr>
      <vt:lpstr>本部</vt:lpstr>
      <vt:lpstr>合并</vt:lpstr>
      <vt:lpstr>电价</vt:lpstr>
      <vt:lpstr>结算电量表</vt:lpstr>
      <vt:lpstr>Sheet2</vt:lpstr>
      <vt:lpstr>交易电量</vt:lpstr>
      <vt:lpstr>利润</vt:lpstr>
      <vt:lpstr>营业总收入</vt:lpstr>
      <vt:lpstr>营业总成本</vt:lpstr>
      <vt:lpstr>两金压减</vt:lpstr>
      <vt:lpstr>外购动力费</vt:lpstr>
      <vt:lpstr>材料修理费</vt:lpstr>
      <vt:lpstr>设备利用小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 Reid</cp:lastModifiedBy>
  <dcterms:created xsi:type="dcterms:W3CDTF">2006-09-13T11:21:00Z</dcterms:created>
  <dcterms:modified xsi:type="dcterms:W3CDTF">2018-05-15T03:48:54Z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