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880" windowHeight="9930" tabRatio="723" firstSheet="1" activeTab="3"/>
  </bookViews>
  <sheets>
    <sheet name="利润表" sheetId="9" r:id="rId1"/>
    <sheet name="资产负债表" sheetId="10" r:id="rId2"/>
    <sheet name="现金流量表" sheetId="11" r:id="rId3"/>
    <sheet name="营业收入和支出预测" sheetId="3" r:id="rId4"/>
    <sheet name="非付现调整" sheetId="12" r:id="rId5"/>
    <sheet name="营运资本需求预测" sheetId="6" r:id="rId6"/>
    <sheet name="资本性支出预测" sheetId="5" r:id="rId7"/>
    <sheet name="FCFF" sheetId="14" r:id="rId8"/>
    <sheet name="估值" sheetId="16" r:id="rId9"/>
    <sheet name="财务指标" sheetId="13" r:id="rId10"/>
    <sheet name="PEPBBand" sheetId="17" r:id="rId11"/>
  </sheets>
  <externalReferences>
    <externalReference r:id="rId12"/>
    <externalReference r:id="rId13"/>
    <externalReference r:id="rId14"/>
  </externalReferences>
  <definedNames>
    <definedName name="Hist_Year">营业收入和支出预测!$G$13</definedName>
    <definedName name="iRepType">1</definedName>
    <definedName name="RepType" localSheetId="8">[1]首页!$C$11</definedName>
    <definedName name="RepType">[2]首页!$C$11</definedName>
    <definedName name="StockCode" localSheetId="8">[1]首页!$C$6</definedName>
    <definedName name="StockCode">[2]首页!$C$6</definedName>
    <definedName name="unit">1000000</definedName>
  </definedNames>
  <calcPr calcId="144525" iterate="1" iterateCount="100" iterateDelta="0.001" concurrentCalc="0"/>
</workbook>
</file>

<file path=xl/comments1.xml><?xml version="1.0" encoding="utf-8"?>
<comments xmlns="http://schemas.openxmlformats.org/spreadsheetml/2006/main">
  <authors>
    <author>作者</author>
  </authors>
  <commentList>
    <comment ref="A3" authorId="0">
      <text>
        <r>
          <rPr>
            <b/>
            <sz val="9"/>
            <rFont val="宋体"/>
            <charset val="134"/>
          </rPr>
          <t>报表类型：财务报表(中国,新准则)</t>
        </r>
      </text>
    </comment>
  </commentList>
</comments>
</file>

<file path=xl/comments2.xml><?xml version="1.0" encoding="utf-8"?>
<comments xmlns="http://schemas.openxmlformats.org/spreadsheetml/2006/main">
  <authors>
    <author>作者</author>
  </authors>
  <commentList>
    <comment ref="A3" authorId="0">
      <text>
        <r>
          <rPr>
            <b/>
            <sz val="9"/>
            <rFont val="宋体"/>
            <charset val="134"/>
          </rPr>
          <t>报表类型：财务报表(中国,新准则)</t>
        </r>
      </text>
    </comment>
  </commentList>
</comments>
</file>

<file path=xl/comments3.xml><?xml version="1.0" encoding="utf-8"?>
<comments xmlns="http://schemas.openxmlformats.org/spreadsheetml/2006/main">
  <authors>
    <author>作者</author>
  </authors>
  <commentList>
    <comment ref="A3" authorId="0">
      <text>
        <r>
          <rPr>
            <b/>
            <sz val="9"/>
            <rFont val="宋体"/>
            <charset val="134"/>
          </rPr>
          <t>报表类型：财务报表(中国,新准则)</t>
        </r>
      </text>
    </comment>
  </commentList>
</comments>
</file>

<file path=xl/sharedStrings.xml><?xml version="1.0" encoding="utf-8"?>
<sst xmlns="http://schemas.openxmlformats.org/spreadsheetml/2006/main" count="435">
  <si>
    <r>
      <rPr>
        <sz val="9"/>
        <color theme="1"/>
        <rFont val="宋体"/>
        <charset val="134"/>
      </rPr>
      <t>证券代码</t>
    </r>
  </si>
  <si>
    <t>600887.SH</t>
  </si>
  <si>
    <r>
      <rPr>
        <sz val="9"/>
        <color theme="1"/>
        <rFont val="宋体"/>
        <charset val="134"/>
      </rPr>
      <t>证券简称</t>
    </r>
  </si>
  <si>
    <t>利润表(ORIG,万元)</t>
  </si>
  <si>
    <t/>
  </si>
  <si>
    <t xml:space="preserve">        报告期</t>
  </si>
  <si>
    <t>一季报</t>
  </si>
  <si>
    <t>年报</t>
  </si>
  <si>
    <t xml:space="preserve">        报表类型</t>
  </si>
  <si>
    <t>合并报表</t>
  </si>
  <si>
    <t xml:space="preserve">        营业总收入</t>
  </si>
  <si>
    <t xml:space="preserve">                产品</t>
  </si>
  <si>
    <t>- -</t>
  </si>
  <si>
    <t xml:space="preserve">                        液体乳</t>
  </si>
  <si>
    <t xml:space="preserve">                        奶粉及奶制品</t>
  </si>
  <si>
    <t xml:space="preserve">                        冷饮产品系列</t>
  </si>
  <si>
    <t xml:space="preserve">                        混合饲料</t>
  </si>
  <si>
    <t xml:space="preserve">                        担保收入</t>
  </si>
  <si>
    <t xml:space="preserve">                        方便食品</t>
  </si>
  <si>
    <t xml:space="preserve">                        利息收入</t>
  </si>
  <si>
    <t xml:space="preserve">                        其他业务</t>
  </si>
  <si>
    <t xml:space="preserve">                        其他主营业务</t>
  </si>
  <si>
    <t xml:space="preserve">                地区</t>
  </si>
  <si>
    <t xml:space="preserve">                        中国大陆</t>
  </si>
  <si>
    <t xml:space="preserve">                                华北</t>
  </si>
  <si>
    <t xml:space="preserve">                                华南</t>
  </si>
  <si>
    <t xml:space="preserve">                                其他(地区)</t>
  </si>
  <si>
    <t xml:space="preserve">                        其他业务(地区)</t>
  </si>
  <si>
    <t xml:space="preserve">                营业收入</t>
  </si>
  <si>
    <t xml:space="preserve">                其他类金融业务收入</t>
  </si>
  <si>
    <t xml:space="preserve">                利息收入</t>
  </si>
  <si>
    <t xml:space="preserve">                已赚保费</t>
  </si>
  <si>
    <t xml:space="preserve">                手续费及佣金收入</t>
  </si>
  <si>
    <t xml:space="preserve">        营业总成本</t>
  </si>
  <si>
    <t xml:space="preserve">                营业成本</t>
  </si>
  <si>
    <t xml:space="preserve">                        产品</t>
  </si>
  <si>
    <t xml:space="preserve">                                液体乳</t>
  </si>
  <si>
    <t xml:space="preserve">                                奶粉及奶制品</t>
  </si>
  <si>
    <t xml:space="preserve">                                冷饮产品系列</t>
  </si>
  <si>
    <t xml:space="preserve">                                混合饲料</t>
  </si>
  <si>
    <t xml:space="preserve">                                担保收入</t>
  </si>
  <si>
    <t xml:space="preserve">                                方便食品</t>
  </si>
  <si>
    <t xml:space="preserve">                                利息收入</t>
  </si>
  <si>
    <t xml:space="preserve">                                其他业务</t>
  </si>
  <si>
    <t xml:space="preserve">                                其他主营业务</t>
  </si>
  <si>
    <t xml:space="preserve">                        地区</t>
  </si>
  <si>
    <t xml:space="preserve">                                中国大陆</t>
  </si>
  <si>
    <t xml:space="preserve">                                        华北</t>
  </si>
  <si>
    <t xml:space="preserve">                                        华南</t>
  </si>
  <si>
    <t xml:space="preserve">                                        其他(地区)</t>
  </si>
  <si>
    <t xml:space="preserve">                                其他业务(地区)</t>
  </si>
  <si>
    <t xml:space="preserve">                营业税金及附加</t>
  </si>
  <si>
    <t xml:space="preserve">                销售费用</t>
  </si>
  <si>
    <t xml:space="preserve">                管理费用</t>
  </si>
  <si>
    <t xml:space="preserve">                财务费用</t>
  </si>
  <si>
    <t xml:space="preserve">                资产减值损失</t>
  </si>
  <si>
    <t xml:space="preserve">                其他业务成本(金融类)</t>
  </si>
  <si>
    <t xml:space="preserve">                利息支出</t>
  </si>
  <si>
    <t xml:space="preserve">                手续费及佣金支出</t>
  </si>
  <si>
    <t xml:space="preserve">                退保金</t>
  </si>
  <si>
    <t xml:space="preserve">                赔付支出净额</t>
  </si>
  <si>
    <t xml:space="preserve">                提取保险合同准备金净额</t>
  </si>
  <si>
    <t xml:space="preserve">                保单红利支出</t>
  </si>
  <si>
    <t xml:space="preserve">                分保费用</t>
  </si>
  <si>
    <t xml:space="preserve">        其他经营收益</t>
  </si>
  <si>
    <t xml:space="preserve">                公允价值变动净收益</t>
  </si>
  <si>
    <t xml:space="preserve">                投资净收益</t>
  </si>
  <si>
    <t xml:space="preserve">                其中：对联营企业和合营企业的投资收益</t>
  </si>
  <si>
    <t xml:space="preserve">                汇兑净收益</t>
  </si>
  <si>
    <t xml:space="preserve">                资产处置收益</t>
  </si>
  <si>
    <t xml:space="preserve">                其他收益</t>
  </si>
  <si>
    <t xml:space="preserve">                加：营业利润差额(特殊报表科目)</t>
  </si>
  <si>
    <t xml:space="preserve">                营业利润差额(合计平衡项目)</t>
  </si>
  <si>
    <t xml:space="preserve">        营业利润</t>
  </si>
  <si>
    <t xml:space="preserve">                加：营业外收入</t>
  </si>
  <si>
    <t xml:space="preserve">                减：营业外支出</t>
  </si>
  <si>
    <t xml:space="preserve">                其中：非流动资产处置净损失</t>
  </si>
  <si>
    <t xml:space="preserve">                加：利润总额差额(特殊报表科目)</t>
  </si>
  <si>
    <t xml:space="preserve">                利润总额差额(合计平衡项目)</t>
  </si>
  <si>
    <t xml:space="preserve">        利润总额</t>
  </si>
  <si>
    <t xml:space="preserve">                减：所得税</t>
  </si>
  <si>
    <t xml:space="preserve">                加：未确认的投资损失</t>
  </si>
  <si>
    <t xml:space="preserve">                加：净利润差额(特殊报表科目)</t>
  </si>
  <si>
    <t xml:space="preserve">                净利润差额(合计平衡项目)</t>
  </si>
  <si>
    <t xml:space="preserve">        净利润</t>
  </si>
  <si>
    <t xml:space="preserve">                持续经营净利润</t>
  </si>
  <si>
    <t xml:space="preserve">                终止经营净利润</t>
  </si>
  <si>
    <t xml:space="preserve">                减：少数股东损益</t>
  </si>
  <si>
    <t xml:space="preserve">                归属于母公司所有者的净利润</t>
  </si>
  <si>
    <t xml:space="preserve">                加：其他综合收益</t>
  </si>
  <si>
    <t xml:space="preserve">        综合收益总额</t>
  </si>
  <si>
    <t xml:space="preserve">                减：归属于少数股东的综合收益总额</t>
  </si>
  <si>
    <t xml:space="preserve">                归属于母公司普通股东综合收益总额</t>
  </si>
  <si>
    <t xml:space="preserve">        每股收益：</t>
  </si>
  <si>
    <t xml:space="preserve">                基本每股收益</t>
  </si>
  <si>
    <t xml:space="preserve">                稀释每股收益</t>
  </si>
  <si>
    <t xml:space="preserve">        显示币种</t>
  </si>
  <si>
    <t>CNY</t>
  </si>
  <si>
    <t xml:space="preserve">        原始币种</t>
  </si>
  <si>
    <t xml:space="preserve">        转换汇率</t>
  </si>
  <si>
    <t xml:space="preserve">        利率类型</t>
  </si>
  <si>
    <t>期末汇率</t>
  </si>
  <si>
    <t xml:space="preserve">        审计意见(境内)</t>
  </si>
  <si>
    <t>标准无保留意见</t>
  </si>
  <si>
    <t xml:space="preserve">        审计意见(境外)</t>
  </si>
  <si>
    <t xml:space="preserve">        公告日期</t>
  </si>
  <si>
    <t xml:space="preserve">        数据来源</t>
  </si>
  <si>
    <t>公司公告值</t>
  </si>
  <si>
    <t>资产负债表(ORIG,万元)</t>
  </si>
  <si>
    <t xml:space="preserve">        流动资产：</t>
  </si>
  <si>
    <t xml:space="preserve">                货币资金</t>
  </si>
  <si>
    <t xml:space="preserve">                交易性金融资产</t>
  </si>
  <si>
    <t xml:space="preserve">                衍生金融资产</t>
  </si>
  <si>
    <t xml:space="preserve">                应收票据</t>
  </si>
  <si>
    <t xml:space="preserve">                应收账款</t>
  </si>
  <si>
    <t xml:space="preserve">                预付款项</t>
  </si>
  <si>
    <t xml:space="preserve">                应收利息</t>
  </si>
  <si>
    <t xml:space="preserve">                其他应收款</t>
  </si>
  <si>
    <t xml:space="preserve">                应收股利</t>
  </si>
  <si>
    <t xml:space="preserve">                买入返售金融资产</t>
  </si>
  <si>
    <t xml:space="preserve">                存货</t>
  </si>
  <si>
    <t xml:space="preserve">                其中：消耗性生物资产</t>
  </si>
  <si>
    <t xml:space="preserve">                划分为持有待售的资产</t>
  </si>
  <si>
    <t xml:space="preserve">                一年内到期的非流动资产</t>
  </si>
  <si>
    <t xml:space="preserve">                待摊费用</t>
  </si>
  <si>
    <t xml:space="preserve">                其他流动资产</t>
  </si>
  <si>
    <t xml:space="preserve">                其他金融类流动资产</t>
  </si>
  <si>
    <t xml:space="preserve">                结算备付金</t>
  </si>
  <si>
    <t xml:space="preserve">                拆出资金</t>
  </si>
  <si>
    <t xml:space="preserve">                应收保费</t>
  </si>
  <si>
    <t xml:space="preserve">                应收分保账款</t>
  </si>
  <si>
    <t xml:space="preserve">                应收分保合同准备金</t>
  </si>
  <si>
    <t xml:space="preserve">                流动资产差额(特殊报表科目)</t>
  </si>
  <si>
    <t xml:space="preserve">                流动资产差额(合计平衡项目)</t>
  </si>
  <si>
    <t xml:space="preserve">        流动资产合计</t>
  </si>
  <si>
    <t xml:space="preserve">        非流动资产：</t>
  </si>
  <si>
    <t xml:space="preserve">                发放贷款及垫款</t>
  </si>
  <si>
    <t xml:space="preserve">                可供出售金融资产</t>
  </si>
  <si>
    <t xml:space="preserve">                持有至到期投资</t>
  </si>
  <si>
    <t xml:space="preserve">                长期应收款</t>
  </si>
  <si>
    <t xml:space="preserve">                长期股权投资</t>
  </si>
  <si>
    <t xml:space="preserve">                投资性房地产</t>
  </si>
  <si>
    <t xml:space="preserve">                固定资产</t>
  </si>
  <si>
    <t xml:space="preserve">                在建工程</t>
  </si>
  <si>
    <t xml:space="preserve">                工程物资</t>
  </si>
  <si>
    <t xml:space="preserve">                固定资产清理</t>
  </si>
  <si>
    <t xml:space="preserve">                生产性生物资产</t>
  </si>
  <si>
    <t xml:space="preserve">                油气资产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</si>
  <si>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</si>
  <si>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</si>
  <si>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</si>
  <si>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</si>
  <si>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</si>
  <si>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</si>
  <si>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非流动资产差额(特殊报表科目)</t>
  </si>
  <si>
    <t xml:space="preserve">                非流动资产差额(合计平衡项目)</t>
  </si>
  <si>
    <t xml:space="preserve">        非流动资产合计</t>
  </si>
  <si>
    <t xml:space="preserve">                资产差额(特殊报表科目)</t>
  </si>
  <si>
    <t xml:space="preserve">                资产差额(合计平衡项目)</t>
  </si>
  <si>
    <t xml:space="preserve">        资产总计</t>
  </si>
  <si>
    <t xml:space="preserve">        流动负债：</t>
  </si>
  <si>
    <t xml:space="preserve">                短期借款</t>
  </si>
  <si>
    <t xml:space="preserve">                交易性金融负债</t>
  </si>
  <si>
    <t xml:space="preserve">                衍生金融负债</t>
  </si>
  <si>
    <t xml:space="preserve">                应付票据</t>
  </si>
  <si>
    <t xml:space="preserve">                应付账款</t>
  </si>
  <si>
    <t xml:space="preserve">                预收款项</t>
  </si>
  <si>
    <t xml:space="preserve">                应付手续费及佣金</t>
  </si>
  <si>
    <t xml:space="preserve">                应付职工薪酬</t>
  </si>
  <si>
    <t xml:space="preserve">                应交税费</t>
  </si>
  <si>
    <t xml:space="preserve">                应付利息</t>
  </si>
  <si>
    <t xml:space="preserve">                应付股利</t>
  </si>
  <si>
    <t xml:space="preserve">                其他应付款</t>
  </si>
  <si>
    <t xml:space="preserve">                划分为持有待售的负债</t>
  </si>
  <si>
    <t xml:space="preserve">                一年内到期的非流动负债</t>
  </si>
  <si>
    <t xml:space="preserve">                预提费用</t>
  </si>
  <si>
    <t xml:space="preserve">                递延收益-流动负债</t>
  </si>
  <si>
    <t xml:space="preserve">                应付短期债券</t>
  </si>
  <si>
    <t xml:space="preserve">                其他流动负债</t>
  </si>
  <si>
    <t xml:space="preserve">                其他金融类流动负债</t>
  </si>
  <si>
    <t xml:space="preserve">                向中央银行借款</t>
  </si>
  <si>
    <t xml:space="preserve">                吸收存款及同业存放</t>
  </si>
  <si>
    <t xml:space="preserve">                拆入资金</t>
  </si>
  <si>
    <t xml:space="preserve">                卖出回购金融资产款</t>
  </si>
  <si>
    <t xml:space="preserve">                应付分保账款</t>
  </si>
  <si>
    <t xml:space="preserve">                保险合同准备金</t>
  </si>
  <si>
    <t xml:space="preserve">                代理买卖证券款</t>
  </si>
  <si>
    <t xml:space="preserve">                代理承销证券款</t>
  </si>
  <si>
    <t xml:space="preserve">                流动负债差额(特殊报表科目)</t>
  </si>
  <si>
    <t xml:space="preserve">                流动负债差额(合计平衡项目)</t>
  </si>
  <si>
    <t xml:space="preserve">        流动负债合计</t>
  </si>
  <si>
    <t xml:space="preserve">        非流动负债：</t>
  </si>
  <si>
    <t xml:space="preserve">                长期借款</t>
  </si>
  <si>
    <t xml:space="preserve">                应付债券</t>
  </si>
  <si>
    <t xml:space="preserve">                长期应付款</t>
  </si>
  <si>
    <t xml:space="preserve">                长期应付职工薪酬</t>
  </si>
  <si>
    <t xml:space="preserve">                专项应付款</t>
  </si>
  <si>
    <t xml:space="preserve">                预计负债</t>
  </si>
  <si>
    <t xml:space="preserve">                递延所得税负债</t>
  </si>
  <si>
    <t xml:space="preserve">                递延收益-非流动负债</t>
  </si>
  <si>
    <t xml:space="preserve">                其他非流动负债</t>
  </si>
  <si>
    <t xml:space="preserve">                非流动负债差额(特殊报表科目)</t>
  </si>
  <si>
    <t xml:space="preserve">                非流动负债差额(合计平衡项目)</t>
  </si>
  <si>
    <t xml:space="preserve">        非流动负债合计</t>
  </si>
  <si>
    <t xml:space="preserve">                负债差额(特殊报表科目)</t>
  </si>
  <si>
    <t xml:space="preserve">                负债差额(合计平衡项目)</t>
  </si>
  <si>
    <t xml:space="preserve">        负债合计</t>
  </si>
  <si>
    <t xml:space="preserve">        所有者权益(或股东权益)：</t>
  </si>
  <si>
    <t xml:space="preserve">                实收资本(或股本)</t>
  </si>
  <si>
    <t xml:space="preserve">                其它权益工具</t>
  </si>
  <si>
    <t xml:space="preserve">                其它权益工具：优先股</t>
  </si>
  <si>
    <t xml:space="preserve">                资本公积金</t>
  </si>
  <si>
    <t xml:space="preserve">                减：库存股</t>
  </si>
  <si>
    <t xml:space="preserve">                其它综合收益</t>
  </si>
  <si>
    <t xml:space="preserve">                专项储备</t>
  </si>
  <si>
    <t xml:space="preserve">                盈余公积金</t>
  </si>
  <si>
    <t xml:space="preserve">                一般风险准备</t>
  </si>
  <si>
    <t xml:space="preserve">                未分配利润</t>
  </si>
  <si>
    <t xml:space="preserve">                外币报表折算差额</t>
  </si>
  <si>
    <t xml:space="preserve">                未确认的投资损失</t>
  </si>
  <si>
    <t xml:space="preserve">                股东权益差额(特殊报表科目)</t>
  </si>
  <si>
    <t xml:space="preserve">                股权权益差额(合计平衡项目)</t>
  </si>
  <si>
    <t xml:space="preserve">        归属于母公司所有者权益合计</t>
  </si>
  <si>
    <t xml:space="preserve">                少数股东权益</t>
  </si>
  <si>
    <t xml:space="preserve">        所有者权益合计</t>
  </si>
  <si>
    <t xml:space="preserve">                负债及股东权益差额(特殊报表项目)</t>
  </si>
  <si>
    <t xml:space="preserve">                负债及股东权益差额(合计平衡项目)</t>
  </si>
  <si>
    <t xml:space="preserve">                负债和所有者权益总计</t>
  </si>
  <si>
    <t>现金流量表(ORIG,万元)</t>
  </si>
  <si>
    <t xml:space="preserve">        经营活动产生的现金流量：</t>
  </si>
  <si>
    <t xml:space="preserve">                销售商品、提供劳务收到的现金</t>
  </si>
  <si>
    <t xml:space="preserve">                收到的税费返还</t>
  </si>
  <si>
    <t xml:space="preserve">                收到其他与经营活动有关的现金</t>
  </si>
  <si>
    <t xml:space="preserve">                经营活动现金流入(金融类)</t>
  </si>
  <si>
    <t xml:space="preserve">                保户储金净增加额</t>
  </si>
  <si>
    <t xml:space="preserve">                客户存款和同业存放款项净增加额</t>
  </si>
  <si>
    <t xml:space="preserve">                向中央银行借款净增加额</t>
  </si>
  <si>
    <t xml:space="preserve">                向其他金融机构拆入资金净增加额</t>
  </si>
  <si>
    <t xml:space="preserve">                收取利息和手续费净增加额</t>
  </si>
  <si>
    <t xml:space="preserve">                收到原保险合同保费取得的现金</t>
  </si>
  <si>
    <t xml:space="preserve">                收到再保业务现金净额</t>
  </si>
  <si>
    <t xml:space="preserve">                处置交易性金融资产净增加额</t>
  </si>
  <si>
    <t xml:space="preserve">                拆入资金净增加额</t>
  </si>
  <si>
    <t xml:space="preserve">                回购业务资金净增加额</t>
  </si>
  <si>
    <t xml:space="preserve">                经营活动现金流入差额(特殊报表科目)</t>
  </si>
  <si>
    <t xml:space="preserve">                经营活动现金流入差额(合计平衡项目)</t>
  </si>
  <si>
    <t xml:space="preserve">        经营活动现金流入小计</t>
  </si>
  <si>
    <t xml:space="preserve">                购买商品、接受劳务支付的现金</t>
  </si>
  <si>
    <t xml:space="preserve">                支付给职工以及为职工支付的现金</t>
  </si>
  <si>
    <t xml:space="preserve">                支付的各项税费</t>
  </si>
  <si>
    <t xml:space="preserve">                支付其他与经营活动有关的现金</t>
  </si>
  <si>
    <t xml:space="preserve">                经营活动现金流出(金融类)</t>
  </si>
  <si>
    <t xml:space="preserve">                客户贷款及垫款净增加额</t>
  </si>
  <si>
    <t xml:space="preserve">                存放央行和同业款项净增加额</t>
  </si>
  <si>
    <t xml:space="preserve">                支付原保险合同赔付款项的现金</t>
  </si>
  <si>
    <t xml:space="preserve">                支付手续费的现金</t>
  </si>
  <si>
    <t xml:space="preserve">                支付保单红利的现金</t>
  </si>
  <si>
    <t xml:space="preserve">                经营活动现金流出差额(特殊报表科目)</t>
  </si>
  <si>
    <t xml:space="preserve">                经营活动现金流出差额(合计平衡项目)</t>
  </si>
  <si>
    <t xml:space="preserve">        经营活动现金流出小计</t>
  </si>
  <si>
    <t xml:space="preserve">                经营活动产生的现金流量净额差额(合计平衡项目)</t>
  </si>
  <si>
    <t xml:space="preserve">        经营活动产生的现金流量净额</t>
  </si>
  <si>
    <t xml:space="preserve">        投资活动产生的现金流量：</t>
  </si>
  <si>
    <t xml:space="preserve">                收回投资收到的现金</t>
  </si>
  <si>
    <t xml:space="preserve">                取得投资收益收到的现金</t>
  </si>
  <si>
    <t xml:space="preserve">                处置固定资产、无形资产和其他长期资产收回的现金净额</t>
  </si>
  <si>
    <t xml:space="preserve">                处置子公司及其他营业单位收到的现金净额</t>
  </si>
  <si>
    <t xml:space="preserve">                收到其他与投资活动有关的现金</t>
  </si>
  <si>
    <t xml:space="preserve">                投资活动现金流入差额(特殊报表科目)</t>
  </si>
  <si>
    <t xml:space="preserve">                投资活动现金流入差额(合计平衡项目)</t>
  </si>
  <si>
    <t xml:space="preserve">        投资活动现金流入小计</t>
  </si>
  <si>
    <t xml:space="preserve">                购建固定资产、无形资产和其他长期资产支付的现金</t>
  </si>
  <si>
    <t xml:space="preserve">                投资支付的现金</t>
  </si>
  <si>
    <t xml:space="preserve">                取得子公司及其他营业单位支付的现金净额</t>
  </si>
  <si>
    <t xml:space="preserve">                支付其他与投资活动有关的现金</t>
  </si>
  <si>
    <t xml:space="preserve">                投资活动现金流出差额(特殊报表科目)</t>
  </si>
  <si>
    <t xml:space="preserve">                投资活动现金流出差额(合计平衡项目)</t>
  </si>
  <si>
    <t xml:space="preserve">        投资活动现金流出小计</t>
  </si>
  <si>
    <t xml:space="preserve">                投资活动产生的现金流量净额差额(合计平衡项目)</t>
  </si>
  <si>
    <t xml:space="preserve">        投资活动产生的现金流量净额</t>
  </si>
  <si>
    <t xml:space="preserve">        筹资活动产生的现金流量：</t>
  </si>
  <si>
    <t xml:space="preserve">                吸收投资收到的现金</t>
  </si>
  <si>
    <t xml:space="preserve">                其中：子公司吸收少数股东投资收到的现金</t>
  </si>
  <si>
    <t xml:space="preserve">                取得借款收到的现金</t>
  </si>
  <si>
    <t xml:space="preserve">                收到其他与筹资活动有关的现金</t>
  </si>
  <si>
    <t xml:space="preserve">                发行债券收到的现金</t>
  </si>
  <si>
    <t xml:space="preserve">                筹资活动现金流入差额(特殊报表科目)</t>
  </si>
  <si>
    <t xml:space="preserve">                筹资活动现金流入差额(合计平衡项目)</t>
  </si>
  <si>
    <t xml:space="preserve">        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</si>
  <si>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</si>
  <si>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</si>
  <si>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</si>
  <si>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</si>
  <si>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 xml:space="preserve">                筹资活动现金流出差额(特殊报表科目)</t>
  </si>
  <si>
    <t xml:space="preserve">                筹资活动现金流出差额(合计平衡项目)</t>
  </si>
  <si>
    <t xml:space="preserve">        筹资活动现金流出小计</t>
  </si>
  <si>
    <t xml:space="preserve">                筹资活动产生的现金流量净额差额(合计平衡项目)</t>
  </si>
  <si>
    <t xml:space="preserve">        筹资活动产生的现金流量净额</t>
  </si>
  <si>
    <t xml:space="preserve">        汇率变动对现金的影响</t>
  </si>
  <si>
    <t xml:space="preserve">                直接法-现金及现金等价物净增加额差额(特殊报表科目)</t>
  </si>
  <si>
    <t xml:space="preserve">                直接法-现金及现金等价物净增加额差额(合计平衡项目)</t>
  </si>
  <si>
    <t xml:space="preserve">        现金及现金等价物净增加额</t>
  </si>
  <si>
    <t xml:space="preserve">                期初现金及现金等价物余额</t>
  </si>
  <si>
    <t xml:space="preserve">                期末现金及现金等价物余额</t>
  </si>
  <si>
    <t xml:space="preserve">        补充资料：</t>
  </si>
  <si>
    <t xml:space="preserve">                净利润</t>
  </si>
  <si>
    <t xml:space="preserve">                加：资产减值准备</t>
  </si>
  <si>
    <t xml:space="preserve">                固定资产折旧、油气资产折耗、生产性生物资产折旧</t>
  </si>
  <si>
    <t xml:space="preserve">                无形资产摊销</t>
  </si>
  <si>
    <t xml:space="preserve">                长期待摊费用摊销</t>
  </si>
  <si>
    <t xml:space="preserve">                待摊费用减少</t>
  </si>
  <si>
    <t xml:space="preserve">                预提费用增加</t>
  </si>
  <si>
    <t xml:space="preserve">                处置固定资产、无形资产和其他长期资产的损失</t>
  </si>
  <si>
    <t xml:space="preserve">                固定资产报废损失</t>
  </si>
  <si>
    <t xml:space="preserve">                公允价值变动损失</t>
  </si>
  <si>
    <t xml:space="preserve">                投资损失</t>
  </si>
  <si>
    <t xml:space="preserve">                递延所得税资产减少</t>
  </si>
  <si>
    <t xml:space="preserve">                递延所得税负债增加</t>
  </si>
  <si>
    <t xml:space="preserve">                存货的减少</t>
  </si>
  <si>
    <t xml:space="preserve">                经营性应收项目的减少</t>
  </si>
  <si>
    <t xml:space="preserve">                经营性应付项目的增加</t>
  </si>
  <si>
    <t xml:space="preserve">                其他</t>
  </si>
  <si>
    <t xml:space="preserve">                间接法-经营活动现金流量净额差额(特殊报表科目)</t>
  </si>
  <si>
    <t xml:space="preserve">                间接法-经营活动现金流量净额差额(合计平衡项目)</t>
  </si>
  <si>
    <t xml:space="preserve">                间接法-经营活动产生的现金流量净额</t>
  </si>
  <si>
    <t xml:space="preserve">                债务转为资本</t>
  </si>
  <si>
    <t xml:space="preserve">                一年内到期的可转换公司债券</t>
  </si>
  <si>
    <t xml:space="preserve">                融资租入固定资产</t>
  </si>
  <si>
    <t xml:space="preserve">                现金的期末余额</t>
  </si>
  <si>
    <t xml:space="preserve">                减：现金的期初余额</t>
  </si>
  <si>
    <t xml:space="preserve">                加：现金等价物的期末余额</t>
  </si>
  <si>
    <t xml:space="preserve">                减：现金等价物的期初余额</t>
  </si>
  <si>
    <t xml:space="preserve">                加：间接法-现金净增加额差额(特殊报表科目)</t>
  </si>
  <si>
    <t xml:space="preserve">                间接法-现金净增加额差额(合计平衡项目)</t>
  </si>
  <si>
    <t xml:space="preserve">                间接法-现金及现金等价物净增加额</t>
  </si>
  <si>
    <t>营业收入和支出预测</t>
  </si>
  <si>
    <t>历史数据</t>
  </si>
  <si>
    <t>历史复合增长率</t>
  </si>
  <si>
    <t>预测期</t>
  </si>
  <si>
    <t>单位：万元</t>
  </si>
  <si>
    <t>（历史平均增长率）</t>
  </si>
  <si>
    <t>2018E</t>
  </si>
  <si>
    <t>2019E</t>
  </si>
  <si>
    <t>2020E</t>
  </si>
  <si>
    <t>2021E</t>
  </si>
  <si>
    <t>2022E</t>
  </si>
  <si>
    <t>营业收入（分产品）</t>
  </si>
  <si>
    <t>液体乳</t>
  </si>
  <si>
    <t>预测增速</t>
  </si>
  <si>
    <t>奶粉及奶制品</t>
  </si>
  <si>
    <t>冷饮产品系列</t>
  </si>
  <si>
    <t>其他业务</t>
  </si>
  <si>
    <t>营业收入合计</t>
  </si>
  <si>
    <t>营业收入年增长率</t>
  </si>
  <si>
    <t>营业支出</t>
  </si>
  <si>
    <t>营业成本</t>
  </si>
  <si>
    <t>占营业收入百分比</t>
  </si>
  <si>
    <t>税金及附加</t>
  </si>
  <si>
    <t>管理费用</t>
  </si>
  <si>
    <t>假设</t>
  </si>
  <si>
    <r>
      <rPr>
        <sz val="11"/>
        <color theme="1"/>
        <rFont val="宋体"/>
        <charset val="134"/>
      </rPr>
      <t>1.</t>
    </r>
    <r>
      <rPr>
        <sz val="10"/>
        <rFont val="宋体"/>
        <charset val="134"/>
      </rPr>
      <t>根据前文分析可知，近年来乳制品行业回暖，成长仍未见顶，行业增长恢复至</t>
    </r>
    <r>
      <rPr>
        <sz val="10"/>
        <rFont val="Arial"/>
        <charset val="134"/>
      </rPr>
      <t>6-7%</t>
    </r>
    <r>
      <rPr>
        <sz val="10"/>
        <rFont val="宋体"/>
        <charset val="134"/>
      </rPr>
      <t>。伊利改变市场推广策略并且初步显效，同时，金典、安慕希等高端液态奶表现强势，因此个人预测液态乳未来增速由</t>
    </r>
    <r>
      <rPr>
        <sz val="10"/>
        <rFont val="Arial"/>
        <charset val="134"/>
      </rPr>
      <t>8.75%</t>
    </r>
    <r>
      <rPr>
        <sz val="10"/>
        <rFont val="宋体"/>
        <charset val="134"/>
      </rPr>
      <t>增至</t>
    </r>
    <r>
      <rPr>
        <sz val="10"/>
        <rFont val="Arial"/>
        <charset val="134"/>
      </rPr>
      <t>18%</t>
    </r>
    <r>
      <rPr>
        <sz val="10"/>
        <rFont val="宋体"/>
        <charset val="134"/>
      </rPr>
      <t>。</t>
    </r>
  </si>
  <si>
    <t>销售费用</t>
  </si>
  <si>
    <t>资产减值损失</t>
  </si>
  <si>
    <t>2.受政府政策利好的影响，奶粉市场回暖，婴幼儿内平均增长9%。伊利2017年奶粉营收大幅增长18%，个人预测奶粉市场格局将趋于稳定，增速由18%逐步平稳在17%。</t>
  </si>
  <si>
    <t>营业支出合计</t>
  </si>
  <si>
    <t>公允价值变动损益</t>
  </si>
  <si>
    <t>3.冷饮方面，伊利25年来产销量雄踞第一，近年来也陆续推出了“巧乐兹绮炫脆层冰淇淋”等新品，个人预测冷饮产品系列取将增长到10.5%。</t>
  </si>
  <si>
    <t>投资净收益</t>
  </si>
  <si>
    <t>其他经营收益</t>
  </si>
  <si>
    <t>EBIT</t>
  </si>
  <si>
    <t>4.其他业务为混合饲料、方便食品、担保收入等，与主营业务存在逐步递减的关系，因此，个人预测未来其他收入将以-10%的速度减少。</t>
  </si>
  <si>
    <t>营业利润率</t>
  </si>
  <si>
    <t>所得税</t>
  </si>
  <si>
    <t>企业综合税负率</t>
  </si>
  <si>
    <t>5.营业支出、资产减值损失等采用百分比法预测。由于行业需求处于改善周期，同时规模效应显现，营业支出、资产减值损失增速逐步递减。</t>
  </si>
  <si>
    <t>NOPAT</t>
  </si>
  <si>
    <t>非付现调整</t>
  </si>
  <si>
    <t>固定资产原值</t>
  </si>
  <si>
    <t>参考年报中的数据，不同项目的折旧年限，折旧率和净残值差异较大，无形资产同理,因此用综合折旧摊销率的平均数对预测期数据进行估算。进入稳定状态后预测期固定资产和无形资产用历史三年平均增长率预测2018年数据，之后每年都是一个常数。</t>
  </si>
  <si>
    <t>本期计提折旧</t>
  </si>
  <si>
    <t>无形资产原值</t>
  </si>
  <si>
    <t>本期计提摊销</t>
  </si>
  <si>
    <t>无形资产+固定资产</t>
  </si>
  <si>
    <t>累计折旧摊销</t>
  </si>
  <si>
    <t>综合折旧摊销率</t>
  </si>
  <si>
    <t>EBITDA</t>
  </si>
  <si>
    <t>1.运营资本反映了除固定资产以外企业正常运营还需要占用的资本，主要由日常销售和采购中信用关系产生的应收、应付对资金的占用。</t>
  </si>
  <si>
    <t>营运资本</t>
  </si>
  <si>
    <t>营运资本周转率</t>
  </si>
  <si>
    <t>净营运资本变动</t>
  </si>
  <si>
    <t>2.常用测算营运资本公式：运营资本=流动资产-流动负债</t>
  </si>
  <si>
    <t>3.观测历史数据，营运资本周转率呈现下降趋势。说明随着营业收入的扩大对于营运资金需求也在不断扩大。根据历史复合增长率预测营运需求，并结合行业特征，最后营运资本周转率稳定在12.18。</t>
  </si>
  <si>
    <t>资本性支出</t>
  </si>
  <si>
    <t>通过分析年报，个人直接选用现金流量表中构建固定资产、无形资产和其他长期资产支付的现金近似计算替代资本性支出。同时，通过比较可以发现其与营业收入增长呈正相关关系，所以以占营业收入百分比的形式进行未来5年的预测，依据历史变动趋势最后稳定到3%。</t>
  </si>
  <si>
    <t>占营业收入比重</t>
  </si>
  <si>
    <t>FCFF</t>
  </si>
  <si>
    <t>*（1-所得税率）</t>
  </si>
  <si>
    <t xml:space="preserve">      减： 营运资本需求变动</t>
  </si>
  <si>
    <t xml:space="preserve">              资本性支出</t>
  </si>
  <si>
    <t>加：累计折旧摊销</t>
  </si>
  <si>
    <t>WACC</t>
  </si>
  <si>
    <t>两阶段模型UFCF现值</t>
  </si>
  <si>
    <t>50737449.07万元</t>
  </si>
  <si>
    <r>
      <t xml:space="preserve">                伊利股份价值评估           </t>
    </r>
    <r>
      <rPr>
        <b/>
        <sz val="12"/>
        <color theme="0"/>
        <rFont val="宋体"/>
        <charset val="134"/>
      </rPr>
      <t>单位：万元</t>
    </r>
  </si>
  <si>
    <t>项目</t>
  </si>
  <si>
    <t>2017年（基期）</t>
  </si>
  <si>
    <t>2018年预测</t>
  </si>
  <si>
    <t>2019年预测</t>
  </si>
  <si>
    <t>2020年预测</t>
  </si>
  <si>
    <t>2021年预测</t>
  </si>
  <si>
    <t>2022年预测</t>
  </si>
  <si>
    <t>自由现金流量（FCF）</t>
  </si>
  <si>
    <t>折现率</t>
  </si>
  <si>
    <t>折现系数</t>
  </si>
  <si>
    <t>自由现金流量折现值</t>
  </si>
  <si>
    <t>2018到2022年预测自由现金流量现值之和</t>
  </si>
  <si>
    <t>估计的永续增长率（g）</t>
  </si>
  <si>
    <t>2022年以后的自由现金流量折现值之和</t>
  </si>
  <si>
    <t>企业价值估计值（V）</t>
  </si>
  <si>
    <t>股数</t>
  </si>
  <si>
    <t>每股价值（单位：元）</t>
  </si>
  <si>
    <t>营运能力</t>
  </si>
  <si>
    <t xml:space="preserve">存货周转天数
</t>
  </si>
  <si>
    <t>应收账款周转天数</t>
  </si>
  <si>
    <t xml:space="preserve">应付账款周转天数
</t>
  </si>
  <si>
    <t>盈利能力</t>
  </si>
  <si>
    <t>净资产收益率ROE(平均)</t>
  </si>
  <si>
    <t xml:space="preserve">销售净利率
</t>
  </si>
  <si>
    <t>资本结构</t>
  </si>
  <si>
    <t xml:space="preserve">资产负债率
</t>
  </si>
  <si>
    <t>权益乘数</t>
  </si>
  <si>
    <t>偿债能力</t>
  </si>
  <si>
    <t>速动比率</t>
  </si>
  <si>
    <t xml:space="preserve">经营活动产生的现金流量净额/营业收入
</t>
  </si>
  <si>
    <t>伊利股份600887.SH PE/PB Band</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</si>
</sst>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Blue]#,##0.00;[Red]\-#,##0.00"/>
    <numFmt numFmtId="177" formatCode="0.00_);[Red]\(0.00\)"/>
    <numFmt numFmtId="178" formatCode="yyyy\-mm\-dd"/>
    <numFmt numFmtId="179" formatCode="#,##0.0000"/>
  </numFmts>
  <fonts count="47">
    <font>
      <sz val="11"/>
      <color theme="1"/>
      <name val="宋体"/>
      <charset val="134"/>
      <scheme val="minor"/>
    </font>
    <font>
      <b/>
      <sz val="11"/>
      <color theme="1"/>
      <name val="宋体"/>
      <charset val="134"/>
      <scheme val="minor"/>
    </font>
    <font>
      <sz val="11"/>
      <color theme="0"/>
      <name val="宋体"/>
      <charset val="134"/>
      <scheme val="minor"/>
    </font>
    <font>
      <sz val="14"/>
      <color theme="1"/>
      <name val="宋体"/>
      <charset val="134"/>
      <scheme val="minor"/>
    </font>
    <font>
      <b/>
      <sz val="12"/>
      <color theme="1"/>
      <name val="宋体"/>
      <charset val="134"/>
      <scheme val="minor"/>
    </font>
    <font>
      <b/>
      <sz val="18"/>
      <color theme="0"/>
      <name val="宋体"/>
      <charset val="134"/>
    </font>
    <font>
      <b/>
      <sz val="18"/>
      <color theme="0"/>
      <name val="宋体"/>
      <charset val="134"/>
      <scheme val="minor"/>
    </font>
    <font>
      <b/>
      <sz val="12"/>
      <color rgb="FF000000"/>
      <name val="宋体"/>
      <charset val="134"/>
      <scheme val="minor"/>
    </font>
    <font>
      <b/>
      <sz val="12"/>
      <color rgb="FFFF0000"/>
      <name val="宋体"/>
      <charset val="134"/>
      <scheme val="minor"/>
    </font>
    <font>
      <sz val="12"/>
      <color rgb="FF000000"/>
      <name val="宋体"/>
      <charset val="134"/>
      <scheme val="minor"/>
    </font>
    <font>
      <b/>
      <sz val="14"/>
      <color theme="1"/>
      <name val="宋体"/>
      <charset val="134"/>
      <scheme val="minor"/>
    </font>
    <font>
      <b/>
      <sz val="12"/>
      <color theme="0"/>
      <name val="宋体"/>
      <charset val="134"/>
      <scheme val="minor"/>
    </font>
    <font>
      <b/>
      <u/>
      <sz val="12"/>
      <color theme="0"/>
      <name val="宋体"/>
      <charset val="134"/>
      <scheme val="minor"/>
    </font>
    <font>
      <b/>
      <i/>
      <sz val="12"/>
      <color theme="0"/>
      <name val="宋体"/>
      <charset val="134"/>
      <scheme val="minor"/>
    </font>
    <font>
      <sz val="11"/>
      <color theme="1"/>
      <name val="微软雅黑"/>
      <charset val="134"/>
    </font>
    <font>
      <sz val="11"/>
      <color rgb="FFFF0000"/>
      <name val="宋体"/>
      <charset val="134"/>
      <scheme val="minor"/>
    </font>
    <font>
      <b/>
      <sz val="16"/>
      <color theme="1"/>
      <name val="Times New Roman"/>
      <charset val="134"/>
    </font>
    <font>
      <sz val="11"/>
      <color rgb="FF9C0006"/>
      <name val="宋体"/>
      <charset val="134"/>
      <scheme val="minor"/>
    </font>
    <font>
      <sz val="11"/>
      <color rgb="FF9C6500"/>
      <name val="宋体"/>
      <charset val="134"/>
      <scheme val="minor"/>
    </font>
    <font>
      <sz val="11"/>
      <color rgb="FF006100"/>
      <name val="宋体"/>
      <charset val="134"/>
      <scheme val="minor"/>
    </font>
    <font>
      <sz val="10"/>
      <name val="Arial"/>
      <charset val="134"/>
    </font>
    <font>
      <b/>
      <sz val="11"/>
      <color theme="0"/>
      <name val="宋体"/>
      <charset val="134"/>
      <scheme val="minor"/>
    </font>
    <font>
      <sz val="11"/>
      <color theme="1" tint="0.0499893185216834"/>
      <name val="微软雅黑 Light"/>
      <charset val="134"/>
    </font>
    <font>
      <sz val="11"/>
      <name val="宋体"/>
      <charset val="134"/>
      <scheme val="minor"/>
    </font>
    <font>
      <sz val="11"/>
      <color theme="1"/>
      <name val="宋体"/>
      <charset val="134"/>
    </font>
    <font>
      <sz val="10"/>
      <color theme="1"/>
      <name val="宋体"/>
      <charset val="134"/>
      <scheme val="minor"/>
    </font>
    <font>
      <sz val="9"/>
      <color theme="1"/>
      <name val="Arial"/>
      <charset val="134"/>
    </font>
    <font>
      <b/>
      <sz val="9"/>
      <color theme="1"/>
      <name val="Arial"/>
      <charset val="134"/>
    </font>
    <font>
      <sz val="11"/>
      <color rgb="FFFF0000"/>
      <name val="宋体"/>
      <charset val="0"/>
      <scheme val="minor"/>
    </font>
    <font>
      <b/>
      <sz val="15"/>
      <color theme="3"/>
      <name val="宋体"/>
      <charset val="134"/>
      <scheme val="minor"/>
    </font>
    <font>
      <b/>
      <sz val="18"/>
      <color theme="3"/>
      <name val="宋体"/>
      <charset val="134"/>
      <scheme val="minor"/>
    </font>
    <font>
      <sz val="12"/>
      <name val="宋体"/>
      <charset val="134"/>
    </font>
    <font>
      <sz val="11"/>
      <color theme="1"/>
      <name val="宋体"/>
      <charset val="0"/>
      <scheme val="minor"/>
    </font>
    <font>
      <b/>
      <sz val="11"/>
      <color theme="3"/>
      <name val="宋体"/>
      <charset val="134"/>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2"/>
      <color theme="0"/>
      <name val="宋体"/>
      <charset val="134"/>
    </font>
    <font>
      <sz val="10"/>
      <name val="宋体"/>
      <charset val="134"/>
    </font>
    <font>
      <sz val="9"/>
      <color theme="1"/>
      <name val="宋体"/>
      <charset val="134"/>
    </font>
  </fonts>
  <fills count="43">
    <fill>
      <patternFill patternType="none"/>
    </fill>
    <fill>
      <patternFill patternType="gray125"/>
    </fill>
    <fill>
      <patternFill patternType="solid">
        <fgColor theme="3" tint="0.4"/>
        <bgColor indexed="64"/>
      </patternFill>
    </fill>
    <fill>
      <patternFill patternType="solid">
        <fgColor theme="9" tint="0.6"/>
        <bgColor indexed="64"/>
      </patternFill>
    </fill>
    <fill>
      <patternFill patternType="solid">
        <fgColor theme="8" tint="0.8"/>
        <bgColor indexed="64"/>
      </patternFill>
    </fill>
    <fill>
      <patternFill patternType="solid">
        <fgColor theme="3" tint="0.4"/>
        <bgColor indexed="64"/>
      </patternFill>
    </fill>
    <fill>
      <patternFill patternType="solid">
        <fgColor rgb="FFECF4FD"/>
        <bgColor indexed="64"/>
      </patternFill>
    </fill>
    <fill>
      <patternFill patternType="solid">
        <fgColor rgb="FFFFC7CE"/>
        <bgColor indexed="64"/>
      </patternFill>
    </fill>
    <fill>
      <patternFill patternType="solid">
        <fgColor rgb="FFFFEB9C"/>
        <bgColor indexed="64"/>
      </patternFill>
    </fill>
    <fill>
      <patternFill patternType="solid">
        <fgColor theme="9" tint="0.6"/>
        <bgColor indexed="64"/>
      </patternFill>
    </fill>
    <fill>
      <patternFill patternType="solid">
        <fgColor theme="0"/>
        <bgColor indexed="64"/>
      </patternFill>
    </fill>
    <fill>
      <patternFill patternType="solid">
        <fgColor rgb="FFFDE9D9"/>
        <bgColor indexed="64"/>
      </patternFill>
    </fill>
    <fill>
      <patternFill patternType="solid">
        <fgColor rgb="FFDBE5F1"/>
        <bgColor indexed="64"/>
      </patternFill>
    </fill>
    <fill>
      <patternFill patternType="solid">
        <fgColor rgb="FFC4DEF7"/>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auto="1"/>
      </left>
      <right/>
      <top/>
      <bottom style="thin">
        <color auto="1"/>
      </bottom>
      <diagonal/>
    </border>
    <border>
      <left/>
      <right/>
      <top/>
      <bottom style="thin">
        <color auto="1"/>
      </bottom>
      <diagonal/>
    </border>
    <border>
      <left/>
      <right style="thin">
        <color theme="0"/>
      </right>
      <top/>
      <bottom style="thin">
        <color auto="1"/>
      </bottom>
      <diagonal/>
    </border>
    <border>
      <left style="thin">
        <color theme="0"/>
      </left>
      <right style="thin">
        <color theme="0"/>
      </right>
      <top/>
      <bottom style="thin">
        <color auto="1"/>
      </bottom>
      <diagonal/>
    </border>
    <border>
      <left style="thin">
        <color auto="1"/>
      </left>
      <right/>
      <top/>
      <bottom/>
      <diagonal/>
    </border>
    <border>
      <left style="thin">
        <color auto="1"/>
      </left>
      <right/>
      <top/>
      <bottom style="thin">
        <color theme="4"/>
      </bottom>
      <diagonal/>
    </border>
    <border>
      <left/>
      <right/>
      <top/>
      <bottom style="thin">
        <color theme="4"/>
      </bottom>
      <diagonal/>
    </border>
    <border>
      <left style="thin">
        <color auto="1"/>
      </left>
      <right/>
      <top style="thin">
        <color theme="4"/>
      </top>
      <bottom style="double">
        <color theme="4"/>
      </bottom>
      <diagonal/>
    </border>
    <border>
      <left/>
      <right/>
      <top style="thin">
        <color theme="4"/>
      </top>
      <bottom style="double">
        <color theme="4"/>
      </bottom>
      <diagonal/>
    </border>
    <border>
      <left/>
      <right/>
      <top style="thin">
        <color theme="4"/>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theme="0"/>
      </bottom>
      <diagonal/>
    </border>
    <border>
      <left/>
      <right style="thin">
        <color auto="1"/>
      </right>
      <top/>
      <bottom style="thin">
        <color auto="1"/>
      </bottom>
      <diagonal/>
    </border>
    <border>
      <left/>
      <right style="thin">
        <color auto="1"/>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rgb="FFFFFFFF"/>
      </left>
      <right/>
      <top/>
      <bottom/>
      <diagonal/>
    </border>
    <border>
      <left style="medium">
        <color auto="1"/>
      </left>
      <right style="thin">
        <color auto="1"/>
      </right>
      <top style="medium">
        <color auto="1"/>
      </top>
      <bottom/>
      <diagonal/>
    </border>
    <border>
      <left/>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style="thin">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top/>
      <bottom style="medium">
        <color auto="1"/>
      </bottom>
      <diagonal/>
    </border>
    <border>
      <left/>
      <right style="thin">
        <color theme="0"/>
      </right>
      <top/>
      <bottom/>
      <diagonal/>
    </border>
    <border>
      <left style="thin">
        <color theme="0"/>
      </left>
      <right style="thin">
        <color theme="0"/>
      </right>
      <top/>
      <bottom/>
      <diagonal/>
    </border>
    <border>
      <left style="thin">
        <color auto="1"/>
      </left>
      <right/>
      <top/>
      <bottom style="thin">
        <color theme="1"/>
      </bottom>
      <diagonal/>
    </border>
    <border>
      <left/>
      <right/>
      <top/>
      <bottom style="thin">
        <color theme="1"/>
      </bottom>
      <diagonal/>
    </border>
    <border>
      <left style="thin">
        <color rgb="FFFFFFFF"/>
      </left>
      <right/>
      <top style="double">
        <color theme="4"/>
      </top>
      <bottom/>
      <diagonal/>
    </border>
    <border>
      <left/>
      <right/>
      <top style="double">
        <color theme="4"/>
      </top>
      <bottom/>
      <diagonal/>
    </border>
    <border>
      <left style="thin">
        <color rgb="FFFFFFFF"/>
      </left>
      <right/>
      <top style="thin">
        <color theme="4"/>
      </top>
      <bottom/>
      <diagonal/>
    </border>
    <border>
      <left/>
      <right/>
      <top style="double">
        <color theme="4"/>
      </top>
      <bottom style="thin">
        <color auto="1"/>
      </bottom>
      <diagonal/>
    </border>
    <border>
      <left/>
      <right style="thin">
        <color auto="1"/>
      </right>
      <top style="thin">
        <color auto="1"/>
      </top>
      <bottom/>
      <diagonal/>
    </border>
    <border>
      <left style="thin">
        <color rgb="FFFAC090"/>
      </left>
      <right style="thin">
        <color rgb="FFFAC090"/>
      </right>
      <top style="thin">
        <color rgb="FFFAC090"/>
      </top>
      <bottom style="thin">
        <color rgb="FFFAC090"/>
      </bottom>
      <diagonal/>
    </border>
    <border>
      <left style="thin">
        <color rgb="FFFFFFFF"/>
      </left>
      <right style="thin">
        <color rgb="FFFFFFFF"/>
      </right>
      <top style="thin">
        <color rgb="FFFFFFFF"/>
      </top>
      <bottom style="thin">
        <color rgb="FFFFFFF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0" fillId="0" borderId="0" applyFont="0" applyFill="0" applyBorder="0" applyAlignment="0" applyProtection="0">
      <alignment vertical="center"/>
    </xf>
    <xf numFmtId="0" fontId="32" fillId="19" borderId="0" applyNumberFormat="0" applyBorder="0" applyAlignment="0" applyProtection="0">
      <alignment vertical="center"/>
    </xf>
    <xf numFmtId="0" fontId="34" fillId="20" borderId="5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2" fillId="17" borderId="0" applyNumberFormat="0" applyBorder="0" applyAlignment="0" applyProtection="0">
      <alignment vertical="center"/>
    </xf>
    <xf numFmtId="0" fontId="17" fillId="7" borderId="0" applyNumberFormat="0" applyBorder="0" applyAlignment="0" applyProtection="0">
      <alignment vertical="center"/>
    </xf>
    <xf numFmtId="43" fontId="0" fillId="0" borderId="0" applyFont="0" applyFill="0" applyBorder="0" applyAlignment="0" applyProtection="0">
      <alignment vertical="center"/>
    </xf>
    <xf numFmtId="0" fontId="35" fillId="22" borderId="0" applyNumberFormat="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15" borderId="51" applyNumberFormat="0" applyFont="0" applyAlignment="0" applyProtection="0">
      <alignment vertical="center"/>
    </xf>
    <xf numFmtId="0" fontId="35" fillId="25" borderId="0" applyNumberFormat="0" applyBorder="0" applyAlignment="0" applyProtection="0">
      <alignment vertical="center"/>
    </xf>
    <xf numFmtId="0" fontId="3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9" fillId="0" borderId="50" applyNumberFormat="0" applyFill="0" applyAlignment="0" applyProtection="0">
      <alignment vertical="center"/>
    </xf>
    <xf numFmtId="0" fontId="39" fillId="0" borderId="50" applyNumberFormat="0" applyFill="0" applyAlignment="0" applyProtection="0">
      <alignment vertical="center"/>
    </xf>
    <xf numFmtId="0" fontId="35" fillId="26" borderId="0" applyNumberFormat="0" applyBorder="0" applyAlignment="0" applyProtection="0">
      <alignment vertical="center"/>
    </xf>
    <xf numFmtId="0" fontId="33" fillId="0" borderId="54" applyNumberFormat="0" applyFill="0" applyAlignment="0" applyProtection="0">
      <alignment vertical="center"/>
    </xf>
    <xf numFmtId="0" fontId="35" fillId="24" borderId="0" applyNumberFormat="0" applyBorder="0" applyAlignment="0" applyProtection="0">
      <alignment vertical="center"/>
    </xf>
    <xf numFmtId="0" fontId="41" fillId="14" borderId="55" applyNumberFormat="0" applyAlignment="0" applyProtection="0">
      <alignment vertical="center"/>
    </xf>
    <xf numFmtId="0" fontId="42" fillId="14" borderId="52" applyNumberFormat="0" applyAlignment="0" applyProtection="0">
      <alignment vertical="center"/>
    </xf>
    <xf numFmtId="0" fontId="43" fillId="31" borderId="56" applyNumberFormat="0" applyAlignment="0" applyProtection="0">
      <alignment vertical="center"/>
    </xf>
    <xf numFmtId="0" fontId="32" fillId="34" borderId="0" applyNumberFormat="0" applyBorder="0" applyAlignment="0" applyProtection="0">
      <alignment vertical="center"/>
    </xf>
    <xf numFmtId="0" fontId="35" fillId="37" borderId="0" applyNumberFormat="0" applyBorder="0" applyAlignment="0" applyProtection="0">
      <alignment vertical="center"/>
    </xf>
    <xf numFmtId="0" fontId="40" fillId="0" borderId="53" applyNumberFormat="0" applyFill="0" applyAlignment="0" applyProtection="0">
      <alignment vertical="center"/>
    </xf>
    <xf numFmtId="0" fontId="1" fillId="0" borderId="15" applyNumberFormat="0" applyFill="0" applyAlignment="0" applyProtection="0">
      <alignment vertical="center"/>
    </xf>
    <xf numFmtId="0" fontId="19" fillId="27" borderId="0" applyNumberFormat="0" applyBorder="0" applyAlignment="0" applyProtection="0">
      <alignment vertical="center"/>
    </xf>
    <xf numFmtId="0" fontId="18" fillId="8" borderId="0" applyNumberFormat="0" applyBorder="0" applyAlignment="0" applyProtection="0">
      <alignment vertical="center"/>
    </xf>
    <xf numFmtId="0" fontId="0" fillId="18" borderId="0" applyNumberFormat="0" applyBorder="0" applyAlignment="0" applyProtection="0">
      <alignment vertical="center"/>
    </xf>
    <xf numFmtId="0" fontId="35"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2" fillId="33" borderId="0" applyNumberFormat="0" applyBorder="0" applyAlignment="0" applyProtection="0">
      <alignment vertical="center"/>
    </xf>
    <xf numFmtId="0" fontId="0" fillId="40" borderId="0" applyNumberFormat="0" applyBorder="0" applyAlignment="0" applyProtection="0">
      <alignment vertical="center"/>
    </xf>
    <xf numFmtId="0" fontId="35" fillId="42" borderId="0" applyNumberFormat="0" applyBorder="0" applyAlignment="0" applyProtection="0">
      <alignment vertical="center"/>
    </xf>
    <xf numFmtId="0" fontId="35" fillId="36" borderId="0" applyNumberFormat="0" applyBorder="0" applyAlignment="0" applyProtection="0">
      <alignment vertical="center"/>
    </xf>
    <xf numFmtId="0" fontId="32" fillId="32" borderId="0" applyNumberFormat="0" applyBorder="0" applyAlignment="0" applyProtection="0">
      <alignment vertical="center"/>
    </xf>
    <xf numFmtId="0" fontId="20" fillId="0" borderId="0"/>
    <xf numFmtId="0" fontId="32" fillId="39" borderId="0" applyNumberFormat="0" applyBorder="0" applyAlignment="0" applyProtection="0">
      <alignment vertical="center"/>
    </xf>
    <xf numFmtId="0" fontId="35" fillId="41" borderId="0" applyNumberFormat="0" applyBorder="0" applyAlignment="0" applyProtection="0">
      <alignment vertical="center"/>
    </xf>
    <xf numFmtId="0" fontId="32" fillId="16" borderId="0" applyNumberFormat="0" applyBorder="0" applyAlignment="0" applyProtection="0">
      <alignment vertical="center"/>
    </xf>
    <xf numFmtId="0" fontId="35" fillId="21" borderId="0" applyNumberFormat="0" applyBorder="0" applyAlignment="0" applyProtection="0">
      <alignment vertical="center"/>
    </xf>
    <xf numFmtId="0" fontId="35" fillId="35" borderId="0" applyNumberFormat="0" applyBorder="0" applyAlignment="0" applyProtection="0">
      <alignment vertical="center"/>
    </xf>
    <xf numFmtId="0" fontId="0" fillId="38" borderId="0" applyNumberFormat="0" applyBorder="0" applyAlignment="0" applyProtection="0">
      <alignment vertical="center"/>
    </xf>
    <xf numFmtId="0" fontId="35" fillId="23" borderId="0" applyNumberFormat="0" applyBorder="0" applyAlignment="0" applyProtection="0">
      <alignment vertical="center"/>
    </xf>
    <xf numFmtId="0" fontId="0" fillId="0" borderId="0"/>
    <xf numFmtId="0" fontId="31" fillId="0" borderId="0">
      <alignment vertical="center"/>
    </xf>
  </cellStyleXfs>
  <cellXfs count="224">
    <xf numFmtId="0" fontId="0" fillId="0" borderId="0" xfId="0"/>
    <xf numFmtId="0" fontId="1" fillId="0" borderId="0" xfId="0" applyFont="1"/>
    <xf numFmtId="0" fontId="0" fillId="0" borderId="0" xfId="0" applyAlignment="1">
      <alignment horizontal="left"/>
    </xf>
    <xf numFmtId="0" fontId="0" fillId="0" borderId="0" xfId="0" applyNumberFormat="1" applyAlignment="1">
      <alignment horizontal="right"/>
    </xf>
    <xf numFmtId="0" fontId="0" fillId="0" borderId="0" xfId="0" applyNumberFormat="1" applyAlignment="1">
      <alignment horizontal="left"/>
    </xf>
    <xf numFmtId="0" fontId="0" fillId="0" borderId="0" xfId="0" applyNumberFormat="1" applyAlignment="1">
      <alignment horizontal="right" wrapText="1"/>
    </xf>
    <xf numFmtId="0" fontId="0" fillId="0" borderId="0" xfId="0" applyAlignment="1">
      <alignment horizontal="center" vertical="center"/>
    </xf>
    <xf numFmtId="0" fontId="0" fillId="0" borderId="0" xfId="0" applyNumberFormat="1" applyAlignment="1">
      <alignment horizontal="left" wrapText="1"/>
    </xf>
    <xf numFmtId="177" fontId="0" fillId="0" borderId="0" xfId="0" applyNumberFormat="1"/>
    <xf numFmtId="0" fontId="0" fillId="0" borderId="0" xfId="0" applyNumberFormat="1" applyAlignment="1">
      <alignment horizontal="left" vertical="center" wrapText="1"/>
    </xf>
    <xf numFmtId="0" fontId="0" fillId="0" borderId="0" xfId="0" applyNumberFormat="1" applyAlignment="1">
      <alignment horizontal="center" vertical="center" wrapText="1"/>
    </xf>
    <xf numFmtId="0" fontId="2" fillId="2" borderId="0" xfId="50" applyFont="1" applyFill="1" applyAlignment="1">
      <alignment vertical="center"/>
    </xf>
    <xf numFmtId="0" fontId="3" fillId="0" borderId="0" xfId="50" applyFont="1" applyAlignment="1">
      <alignment vertical="center"/>
    </xf>
    <xf numFmtId="0" fontId="0" fillId="3" borderId="0" xfId="50" applyFont="1" applyFill="1" applyAlignment="1">
      <alignment vertical="center"/>
    </xf>
    <xf numFmtId="0" fontId="4" fillId="0" borderId="0" xfId="50" applyFont="1" applyAlignment="1">
      <alignment vertical="center"/>
    </xf>
    <xf numFmtId="0" fontId="0" fillId="0" borderId="0" xfId="50" applyFont="1" applyAlignment="1">
      <alignment vertical="center"/>
    </xf>
    <xf numFmtId="0" fontId="5" fillId="2" borderId="1" xfId="50" applyFont="1" applyFill="1" applyBorder="1" applyAlignment="1">
      <alignment horizontal="center" vertical="center" wrapText="1"/>
    </xf>
    <xf numFmtId="0" fontId="6" fillId="2" borderId="1" xfId="50" applyFont="1" applyFill="1" applyBorder="1" applyAlignment="1">
      <alignment horizontal="center" vertical="center" wrapText="1"/>
    </xf>
    <xf numFmtId="0" fontId="7" fillId="0" borderId="1" xfId="50" applyFont="1" applyFill="1" applyBorder="1" applyAlignment="1">
      <alignment horizontal="center" vertical="center" wrapText="1"/>
    </xf>
    <xf numFmtId="0" fontId="8" fillId="0" borderId="1" xfId="50" applyFont="1" applyFill="1" applyBorder="1" applyAlignment="1">
      <alignment horizontal="center" vertical="center" wrapText="1"/>
    </xf>
    <xf numFmtId="0" fontId="4" fillId="4" borderId="1" xfId="50" applyFont="1" applyFill="1" applyBorder="1" applyAlignment="1">
      <alignment horizontal="center" vertical="center" wrapText="1"/>
    </xf>
    <xf numFmtId="4" fontId="9" fillId="0" borderId="1" xfId="50" applyNumberFormat="1" applyFont="1" applyFill="1" applyBorder="1" applyAlignment="1">
      <alignment horizontal="center" vertical="center" wrapText="1"/>
    </xf>
    <xf numFmtId="10" fontId="9" fillId="0" borderId="1" xfId="50" applyNumberFormat="1" applyFont="1" applyFill="1" applyBorder="1" applyAlignment="1">
      <alignment horizontal="center" vertical="center" wrapText="1"/>
    </xf>
    <xf numFmtId="9" fontId="9" fillId="0" borderId="1" xfId="50" applyNumberFormat="1" applyFont="1" applyFill="1" applyBorder="1" applyAlignment="1">
      <alignment horizontal="center" vertical="center" wrapText="1"/>
    </xf>
    <xf numFmtId="0" fontId="7" fillId="3" borderId="1" xfId="50" applyFont="1" applyFill="1" applyBorder="1" applyAlignment="1">
      <alignment horizontal="center" vertical="center" wrapText="1"/>
    </xf>
    <xf numFmtId="4" fontId="10" fillId="3" borderId="1" xfId="50" applyNumberFormat="1" applyFont="1" applyFill="1" applyBorder="1" applyAlignment="1">
      <alignment horizontal="center" vertical="center" wrapText="1"/>
    </xf>
    <xf numFmtId="0" fontId="0" fillId="5" borderId="0" xfId="0" applyFill="1"/>
    <xf numFmtId="43" fontId="0" fillId="0" borderId="0" xfId="8" applyFont="1" applyAlignment="1"/>
    <xf numFmtId="0" fontId="11" fillId="2" borderId="2" xfId="42" applyFont="1" applyFill="1" applyBorder="1" applyAlignment="1">
      <alignment horizontal="center" vertical="center"/>
    </xf>
    <xf numFmtId="0" fontId="11" fillId="2" borderId="3" xfId="42" applyFont="1" applyFill="1" applyBorder="1" applyAlignment="1">
      <alignment horizontal="center" vertical="center"/>
    </xf>
    <xf numFmtId="0" fontId="11" fillId="2" borderId="3" xfId="42" applyFont="1" applyFill="1" applyBorder="1"/>
    <xf numFmtId="0" fontId="12" fillId="2" borderId="4" xfId="42" applyFont="1" applyFill="1" applyBorder="1" applyAlignment="1">
      <alignment horizontal="center"/>
    </xf>
    <xf numFmtId="0" fontId="12" fillId="2" borderId="5" xfId="42" applyFont="1" applyFill="1" applyBorder="1" applyAlignment="1">
      <alignment horizontal="center"/>
    </xf>
    <xf numFmtId="0" fontId="12" fillId="2" borderId="6" xfId="42" applyFont="1" applyFill="1" applyBorder="1" applyAlignment="1">
      <alignment horizontal="center"/>
    </xf>
    <xf numFmtId="0" fontId="11" fillId="2" borderId="7" xfId="42" applyFont="1" applyFill="1" applyBorder="1" applyAlignment="1">
      <alignment horizontal="center" vertical="center"/>
    </xf>
    <xf numFmtId="0" fontId="11" fillId="2" borderId="8" xfId="42" applyFont="1" applyFill="1" applyBorder="1" applyAlignment="1">
      <alignment horizontal="center" vertical="center"/>
    </xf>
    <xf numFmtId="0" fontId="13" fillId="2" borderId="8" xfId="42" applyFont="1" applyFill="1" applyBorder="1" applyAlignment="1">
      <alignment horizontal="center"/>
    </xf>
    <xf numFmtId="0" fontId="11" fillId="2" borderId="8" xfId="0" applyNumberFormat="1" applyFont="1" applyFill="1" applyBorder="1" applyAlignment="1">
      <alignment horizontal="center"/>
    </xf>
    <xf numFmtId="0" fontId="11" fillId="2" borderId="9" xfId="0" applyNumberFormat="1" applyFont="1" applyFill="1" applyBorder="1" applyAlignment="1">
      <alignment horizontal="center"/>
    </xf>
    <xf numFmtId="0" fontId="11" fillId="2" borderId="10" xfId="0" applyNumberFormat="1" applyFont="1" applyFill="1" applyBorder="1" applyAlignment="1">
      <alignment horizontal="center"/>
    </xf>
    <xf numFmtId="49" fontId="14" fillId="6" borderId="11" xfId="0" applyNumberFormat="1" applyFont="1" applyFill="1" applyBorder="1" applyAlignment="1">
      <alignment horizontal="center"/>
    </xf>
    <xf numFmtId="49" fontId="14" fillId="6" borderId="0" xfId="0" applyNumberFormat="1" applyFont="1" applyFill="1" applyBorder="1" applyAlignment="1">
      <alignment horizontal="center"/>
    </xf>
    <xf numFmtId="0" fontId="0" fillId="0" borderId="0" xfId="0" applyBorder="1"/>
    <xf numFmtId="43" fontId="0" fillId="0" borderId="0" xfId="8" applyFont="1" applyBorder="1" applyAlignment="1"/>
    <xf numFmtId="43" fontId="15" fillId="0" borderId="0" xfId="0" applyNumberFormat="1" applyFont="1" applyBorder="1"/>
    <xf numFmtId="0" fontId="15" fillId="0" borderId="0" xfId="0" applyFont="1" applyBorder="1"/>
    <xf numFmtId="49" fontId="14" fillId="6" borderId="11" xfId="0" applyNumberFormat="1" applyFont="1" applyFill="1" applyBorder="1" applyAlignment="1">
      <alignment horizontal="left"/>
    </xf>
    <xf numFmtId="49" fontId="14" fillId="6" borderId="0" xfId="0" applyNumberFormat="1" applyFont="1" applyFill="1" applyBorder="1" applyAlignment="1">
      <alignment horizontal="left"/>
    </xf>
    <xf numFmtId="43" fontId="14" fillId="6" borderId="11" xfId="8" applyFont="1" applyFill="1" applyBorder="1" applyAlignment="1">
      <alignment horizontal="left"/>
    </xf>
    <xf numFmtId="43" fontId="14" fillId="6" borderId="0" xfId="8" applyFont="1" applyFill="1" applyBorder="1" applyAlignment="1">
      <alignment horizontal="left"/>
    </xf>
    <xf numFmtId="43" fontId="15" fillId="0" borderId="0" xfId="8" applyFont="1" applyBorder="1" applyAlignment="1"/>
    <xf numFmtId="49" fontId="14" fillId="6" borderId="12" xfId="0" applyNumberFormat="1" applyFont="1" applyFill="1" applyBorder="1" applyAlignment="1">
      <alignment horizontal="center"/>
    </xf>
    <xf numFmtId="49" fontId="14" fillId="6" borderId="13" xfId="0" applyNumberFormat="1" applyFont="1" applyFill="1" applyBorder="1" applyAlignment="1">
      <alignment horizontal="center"/>
    </xf>
    <xf numFmtId="49" fontId="16" fillId="6" borderId="14" xfId="30" applyNumberFormat="1" applyFont="1" applyFill="1" applyBorder="1" applyAlignment="1">
      <alignment horizontal="center"/>
    </xf>
    <xf numFmtId="49" fontId="16" fillId="6" borderId="15" xfId="30" applyNumberFormat="1" applyFont="1" applyFill="1" applyBorder="1" applyAlignment="1">
      <alignment horizontal="center"/>
    </xf>
    <xf numFmtId="0" fontId="1" fillId="0" borderId="15" xfId="30" applyBorder="1" applyAlignment="1"/>
    <xf numFmtId="43" fontId="1" fillId="0" borderId="15" xfId="30" applyNumberFormat="1" applyBorder="1" applyAlignment="1"/>
    <xf numFmtId="0" fontId="1" fillId="0" borderId="16" xfId="30" applyBorder="1" applyAlignment="1"/>
    <xf numFmtId="0" fontId="0" fillId="0" borderId="11" xfId="0" applyBorder="1"/>
    <xf numFmtId="0" fontId="0" fillId="0" borderId="7" xfId="0" applyBorder="1"/>
    <xf numFmtId="0" fontId="0" fillId="0" borderId="8" xfId="0" applyBorder="1"/>
    <xf numFmtId="0" fontId="17" fillId="7" borderId="17" xfId="7" applyBorder="1" applyAlignment="1">
      <alignment horizontal="center"/>
    </xf>
    <xf numFmtId="10" fontId="18" fillId="8" borderId="18" xfId="32" applyNumberFormat="1" applyBorder="1" applyAlignment="1">
      <alignment horizontal="center"/>
    </xf>
    <xf numFmtId="0" fontId="11" fillId="2" borderId="4" xfId="42" applyFont="1" applyFill="1" applyBorder="1" applyAlignment="1">
      <alignment horizontal="centerContinuous"/>
    </xf>
    <xf numFmtId="0" fontId="12" fillId="2" borderId="4" xfId="42" applyFont="1" applyFill="1" applyBorder="1" applyAlignment="1">
      <alignment horizontal="centerContinuous"/>
    </xf>
    <xf numFmtId="0" fontId="12" fillId="2" borderId="19" xfId="42" applyFont="1" applyFill="1" applyBorder="1" applyAlignment="1">
      <alignment horizontal="centerContinuous"/>
    </xf>
    <xf numFmtId="0" fontId="11" fillId="2" borderId="20" xfId="0" applyNumberFormat="1" applyFont="1" applyFill="1" applyBorder="1" applyAlignment="1">
      <alignment horizontal="center"/>
    </xf>
    <xf numFmtId="43" fontId="0" fillId="0" borderId="21" xfId="8" applyFont="1" applyBorder="1" applyAlignment="1"/>
    <xf numFmtId="43" fontId="15" fillId="0" borderId="21" xfId="0" applyNumberFormat="1" applyFont="1" applyBorder="1"/>
    <xf numFmtId="43" fontId="15" fillId="0" borderId="21" xfId="8" applyFont="1" applyBorder="1" applyAlignment="1"/>
    <xf numFmtId="43" fontId="1" fillId="0" borderId="16" xfId="30" applyNumberFormat="1" applyBorder="1" applyAlignment="1"/>
    <xf numFmtId="0" fontId="2" fillId="0" borderId="0" xfId="7" applyFont="1" applyFill="1" applyBorder="1" applyAlignment="1">
      <alignment horizontal="center"/>
    </xf>
    <xf numFmtId="43" fontId="2" fillId="0" borderId="0" xfId="8" applyFont="1" applyFill="1" applyBorder="1" applyAlignment="1">
      <alignment horizontal="center"/>
    </xf>
    <xf numFmtId="0" fontId="0" fillId="9" borderId="0" xfId="0" applyFill="1"/>
    <xf numFmtId="0" fontId="11" fillId="2" borderId="0" xfId="42" applyFont="1" applyFill="1" applyBorder="1" applyAlignment="1">
      <alignment horizontal="center" vertical="center"/>
    </xf>
    <xf numFmtId="0" fontId="11" fillId="2" borderId="0" xfId="42" applyFont="1" applyFill="1" applyBorder="1"/>
    <xf numFmtId="0" fontId="12" fillId="2" borderId="22" xfId="42" applyFont="1" applyFill="1" applyBorder="1" applyAlignment="1">
      <alignment horizontal="center"/>
    </xf>
    <xf numFmtId="0" fontId="12" fillId="2" borderId="23" xfId="42" applyFont="1" applyFill="1" applyBorder="1" applyAlignment="1">
      <alignment horizontal="center"/>
    </xf>
    <xf numFmtId="0" fontId="12" fillId="2" borderId="24" xfId="42" applyFont="1" applyFill="1" applyBorder="1" applyAlignment="1">
      <alignment horizontal="center"/>
    </xf>
    <xf numFmtId="43" fontId="14" fillId="6" borderId="25" xfId="8" applyFont="1" applyFill="1" applyBorder="1" applyAlignment="1">
      <alignment horizontal="center"/>
    </xf>
    <xf numFmtId="43" fontId="14" fillId="6" borderId="0" xfId="8" applyFont="1" applyFill="1" applyBorder="1" applyAlignment="1">
      <alignment horizontal="center"/>
    </xf>
    <xf numFmtId="0" fontId="18" fillId="3" borderId="0" xfId="32" applyFill="1" applyAlignment="1"/>
    <xf numFmtId="10" fontId="18" fillId="3" borderId="0" xfId="32" applyNumberFormat="1" applyFill="1" applyAlignment="1"/>
    <xf numFmtId="0" fontId="11" fillId="2" borderId="22" xfId="42" applyFont="1" applyFill="1" applyBorder="1" applyAlignment="1">
      <alignment horizontal="centerContinuous"/>
    </xf>
    <xf numFmtId="0" fontId="12" fillId="2" borderId="22" xfId="42" applyFont="1" applyFill="1" applyBorder="1" applyAlignment="1">
      <alignment horizontal="centerContinuous"/>
    </xf>
    <xf numFmtId="0" fontId="19" fillId="10" borderId="26" xfId="31" applyFill="1" applyBorder="1" applyAlignment="1">
      <alignment horizontal="center" vertical="center"/>
    </xf>
    <xf numFmtId="0" fontId="17" fillId="10" borderId="27" xfId="7" applyFill="1" applyBorder="1" applyAlignment="1">
      <alignment horizontal="left" vertical="center" wrapText="1"/>
    </xf>
    <xf numFmtId="0" fontId="19" fillId="10" borderId="28" xfId="31" applyFill="1" applyBorder="1" applyAlignment="1">
      <alignment horizontal="center" vertical="center"/>
    </xf>
    <xf numFmtId="0" fontId="17" fillId="10" borderId="0" xfId="7" applyFill="1" applyBorder="1" applyAlignment="1">
      <alignment horizontal="left" vertical="center" wrapText="1"/>
    </xf>
    <xf numFmtId="9" fontId="18" fillId="3" borderId="0" xfId="32" applyNumberFormat="1" applyFill="1" applyAlignment="1"/>
    <xf numFmtId="0" fontId="19" fillId="10" borderId="29" xfId="31" applyFill="1" applyBorder="1" applyAlignment="1">
      <alignment horizontal="center" vertical="center"/>
    </xf>
    <xf numFmtId="0" fontId="17" fillId="10" borderId="30" xfId="7" applyFill="1" applyBorder="1" applyAlignment="1">
      <alignment horizontal="left" vertical="center" wrapText="1"/>
    </xf>
    <xf numFmtId="0" fontId="17" fillId="10" borderId="31" xfId="7" applyFill="1" applyBorder="1" applyAlignment="1">
      <alignment horizontal="left" vertical="center" wrapText="1"/>
    </xf>
    <xf numFmtId="0" fontId="17" fillId="10" borderId="32" xfId="7" applyFill="1" applyBorder="1" applyAlignment="1">
      <alignment horizontal="left" vertical="center" wrapText="1"/>
    </xf>
    <xf numFmtId="0" fontId="17" fillId="10" borderId="33" xfId="7" applyFill="1" applyBorder="1" applyAlignment="1">
      <alignment horizontal="left" vertical="center" wrapText="1"/>
    </xf>
    <xf numFmtId="49" fontId="14" fillId="6" borderId="25" xfId="0" applyNumberFormat="1" applyFont="1" applyFill="1" applyBorder="1" applyAlignment="1">
      <alignment horizontal="center"/>
    </xf>
    <xf numFmtId="0" fontId="20" fillId="0" borderId="0" xfId="42"/>
    <xf numFmtId="43" fontId="20" fillId="0" borderId="0" xfId="8" applyFont="1" applyAlignment="1"/>
    <xf numFmtId="0" fontId="18" fillId="3" borderId="0" xfId="32" applyFill="1" applyAlignment="1">
      <alignment horizontal="center"/>
    </xf>
    <xf numFmtId="177" fontId="18" fillId="3" borderId="0" xfId="32" applyNumberFormat="1" applyFill="1" applyAlignment="1"/>
    <xf numFmtId="177" fontId="18" fillId="3" borderId="0" xfId="11" applyNumberFormat="1" applyFont="1" applyFill="1" applyAlignment="1">
      <alignment horizontal="center"/>
    </xf>
    <xf numFmtId="49" fontId="1" fillId="6" borderId="15" xfId="30" applyNumberFormat="1" applyFill="1" applyAlignment="1">
      <alignment horizontal="center"/>
    </xf>
    <xf numFmtId="0" fontId="1" fillId="0" borderId="15" xfId="30" applyAlignment="1"/>
    <xf numFmtId="43" fontId="1" fillId="0" borderId="15" xfId="30" applyNumberFormat="1" applyAlignment="1"/>
    <xf numFmtId="0" fontId="0" fillId="10" borderId="1" xfId="33" applyNumberFormat="1" applyFill="1" applyBorder="1" applyAlignment="1">
      <alignment horizontal="center" vertical="center"/>
    </xf>
    <xf numFmtId="0" fontId="17" fillId="10" borderId="1" xfId="7" applyFill="1" applyBorder="1" applyAlignment="1">
      <alignment horizontal="left" vertical="center" wrapText="1"/>
    </xf>
    <xf numFmtId="43" fontId="20" fillId="0" borderId="0" xfId="8" applyFont="1" applyAlignment="1">
      <alignment horizontal="left"/>
    </xf>
    <xf numFmtId="0" fontId="20" fillId="9" borderId="0" xfId="42" applyFill="1"/>
    <xf numFmtId="43" fontId="1" fillId="0" borderId="15" xfId="30" applyNumberFormat="1" applyAlignment="1">
      <alignment horizontal="center"/>
    </xf>
    <xf numFmtId="0" fontId="17" fillId="10" borderId="1" xfId="7" applyFill="1" applyBorder="1" applyAlignment="1">
      <alignment horizontal="left" vertical="top" wrapText="1"/>
    </xf>
    <xf numFmtId="43" fontId="14" fillId="3" borderId="25" xfId="8" applyFont="1" applyFill="1" applyBorder="1" applyAlignment="1">
      <alignment horizontal="center"/>
    </xf>
    <xf numFmtId="43" fontId="14" fillId="3" borderId="0" xfId="8" applyFont="1" applyFill="1" applyBorder="1" applyAlignment="1">
      <alignment horizontal="center"/>
    </xf>
    <xf numFmtId="10" fontId="0" fillId="0" borderId="0" xfId="8" applyNumberFormat="1" applyFont="1" applyAlignment="1">
      <alignment horizontal="center"/>
    </xf>
    <xf numFmtId="49" fontId="1" fillId="3" borderId="15" xfId="30" applyNumberFormat="1" applyFill="1" applyAlignment="1">
      <alignment horizontal="center"/>
    </xf>
    <xf numFmtId="43" fontId="1" fillId="0" borderId="15" xfId="8" applyFont="1" applyBorder="1" applyAlignment="1"/>
    <xf numFmtId="10" fontId="1" fillId="0" borderId="15" xfId="30" applyNumberFormat="1" applyAlignment="1"/>
    <xf numFmtId="10" fontId="1" fillId="0" borderId="15" xfId="30" applyNumberFormat="1" applyAlignment="1">
      <alignment horizontal="center"/>
    </xf>
    <xf numFmtId="49" fontId="21" fillId="0" borderId="15" xfId="30" applyNumberFormat="1" applyFont="1" applyFill="1" applyAlignment="1">
      <alignment horizontal="center"/>
    </xf>
    <xf numFmtId="0" fontId="21" fillId="0" borderId="15" xfId="30" applyFont="1" applyAlignment="1"/>
    <xf numFmtId="43" fontId="21" fillId="0" borderId="15" xfId="30" applyNumberFormat="1" applyFont="1" applyAlignment="1"/>
    <xf numFmtId="43" fontId="0" fillId="0" borderId="0" xfId="0" applyNumberFormat="1"/>
    <xf numFmtId="43" fontId="0" fillId="10" borderId="34" xfId="8" applyFont="1" applyFill="1" applyBorder="1" applyAlignment="1">
      <alignment horizontal="center" vertical="center"/>
    </xf>
    <xf numFmtId="43" fontId="17" fillId="10" borderId="35" xfId="8" applyFont="1" applyFill="1" applyBorder="1" applyAlignment="1">
      <alignment horizontal="left" vertical="center" wrapText="1"/>
    </xf>
    <xf numFmtId="43" fontId="0" fillId="10" borderId="36" xfId="8" applyFont="1" applyFill="1" applyBorder="1" applyAlignment="1">
      <alignment horizontal="center" vertical="center"/>
    </xf>
    <xf numFmtId="43" fontId="17" fillId="10" borderId="11" xfId="8" applyFont="1" applyFill="1" applyBorder="1" applyAlignment="1">
      <alignment horizontal="left" vertical="center" wrapText="1"/>
    </xf>
    <xf numFmtId="43" fontId="0" fillId="10" borderId="37" xfId="8" applyFont="1" applyFill="1" applyBorder="1" applyAlignment="1">
      <alignment horizontal="center" vertical="center"/>
    </xf>
    <xf numFmtId="43" fontId="17" fillId="10" borderId="38" xfId="8" applyFont="1" applyFill="1" applyBorder="1" applyAlignment="1">
      <alignment horizontal="left" vertical="center" wrapText="1"/>
    </xf>
    <xf numFmtId="43" fontId="17" fillId="10" borderId="27" xfId="8" applyFont="1" applyFill="1" applyBorder="1" applyAlignment="1">
      <alignment horizontal="left" vertical="center" wrapText="1"/>
    </xf>
    <xf numFmtId="43" fontId="17" fillId="10" borderId="31" xfId="8" applyFont="1" applyFill="1" applyBorder="1" applyAlignment="1">
      <alignment horizontal="left" vertical="center" wrapText="1"/>
    </xf>
    <xf numFmtId="43" fontId="17" fillId="10" borderId="0" xfId="8" applyFont="1" applyFill="1" applyBorder="1" applyAlignment="1">
      <alignment horizontal="left" vertical="center" wrapText="1"/>
    </xf>
    <xf numFmtId="43" fontId="17" fillId="10" borderId="32" xfId="8" applyFont="1" applyFill="1" applyBorder="1" applyAlignment="1">
      <alignment horizontal="left" vertical="center" wrapText="1"/>
    </xf>
    <xf numFmtId="43" fontId="17" fillId="10" borderId="30" xfId="8" applyFont="1" applyFill="1" applyBorder="1" applyAlignment="1">
      <alignment horizontal="left" vertical="center" wrapText="1"/>
    </xf>
    <xf numFmtId="43" fontId="17" fillId="10" borderId="33" xfId="8" applyFont="1" applyFill="1" applyBorder="1" applyAlignment="1">
      <alignment horizontal="left" vertical="center" wrapText="1"/>
    </xf>
    <xf numFmtId="0" fontId="0" fillId="0" borderId="0" xfId="0" applyFill="1"/>
    <xf numFmtId="0" fontId="18" fillId="3" borderId="8" xfId="32" applyFill="1" applyBorder="1" applyAlignment="1"/>
    <xf numFmtId="0" fontId="18" fillId="8" borderId="8" xfId="32" applyBorder="1" applyAlignment="1"/>
    <xf numFmtId="0" fontId="13" fillId="2" borderId="0" xfId="42" applyFont="1" applyFill="1" applyBorder="1" applyAlignment="1">
      <alignment horizontal="center"/>
    </xf>
    <xf numFmtId="0" fontId="11" fillId="2" borderId="0" xfId="0" applyNumberFormat="1" applyFont="1" applyFill="1" applyBorder="1" applyAlignment="1">
      <alignment horizontal="center"/>
    </xf>
    <xf numFmtId="0" fontId="11" fillId="2" borderId="39" xfId="0" applyNumberFormat="1" applyFont="1" applyFill="1" applyBorder="1" applyAlignment="1">
      <alignment horizontal="center"/>
    </xf>
    <xf numFmtId="0" fontId="11" fillId="2" borderId="40" xfId="0" applyNumberFormat="1" applyFont="1" applyFill="1" applyBorder="1" applyAlignment="1">
      <alignment horizontal="center"/>
    </xf>
    <xf numFmtId="0" fontId="0" fillId="0" borderId="0" xfId="0" applyBorder="1" applyAlignment="1">
      <alignment horizontal="center"/>
    </xf>
    <xf numFmtId="0" fontId="20" fillId="0" borderId="0" xfId="42" applyBorder="1" applyAlignment="1">
      <alignment horizontal="center"/>
    </xf>
    <xf numFmtId="0" fontId="14" fillId="0" borderId="0" xfId="0" applyFont="1" applyAlignment="1">
      <alignment horizontal="center"/>
    </xf>
    <xf numFmtId="0" fontId="20" fillId="0" borderId="0" xfId="42" applyAlignment="1">
      <alignment horizontal="center"/>
    </xf>
    <xf numFmtId="43" fontId="18" fillId="3" borderId="0" xfId="32" applyNumberFormat="1" applyFill="1" applyAlignment="1"/>
    <xf numFmtId="9" fontId="18" fillId="3" borderId="0" xfId="32" applyNumberFormat="1" applyFill="1" applyAlignment="1">
      <alignment horizontal="center"/>
    </xf>
    <xf numFmtId="9" fontId="20" fillId="0" borderId="0" xfId="11" applyFont="1" applyAlignment="1">
      <alignment horizontal="center"/>
    </xf>
    <xf numFmtId="49" fontId="14" fillId="6" borderId="41" xfId="0" applyNumberFormat="1" applyFont="1" applyFill="1" applyBorder="1" applyAlignment="1">
      <alignment horizontal="center"/>
    </xf>
    <xf numFmtId="49" fontId="14" fillId="6" borderId="42" xfId="0" applyNumberFormat="1" applyFont="1" applyFill="1" applyBorder="1" applyAlignment="1">
      <alignment horizontal="center"/>
    </xf>
    <xf numFmtId="0" fontId="0" fillId="0" borderId="42" xfId="0" applyBorder="1"/>
    <xf numFmtId="43" fontId="20" fillId="0" borderId="42" xfId="8" applyFont="1" applyBorder="1" applyAlignment="1"/>
    <xf numFmtId="0" fontId="1" fillId="0" borderId="15" xfId="30" applyAlignment="1">
      <alignment horizontal="center"/>
    </xf>
    <xf numFmtId="0" fontId="1" fillId="0" borderId="15" xfId="30" applyAlignment="1">
      <alignment horizontal="center" vertical="center"/>
    </xf>
    <xf numFmtId="43" fontId="20" fillId="0" borderId="0" xfId="8" applyFont="1" applyBorder="1" applyAlignment="1"/>
    <xf numFmtId="0" fontId="22" fillId="3" borderId="0" xfId="32" applyFont="1" applyFill="1" applyAlignment="1">
      <alignment horizontal="center"/>
    </xf>
    <xf numFmtId="10" fontId="18" fillId="3" borderId="0" xfId="32" applyNumberFormat="1" applyFill="1" applyAlignment="1">
      <alignment horizontal="center" vertical="center"/>
    </xf>
    <xf numFmtId="9" fontId="0" fillId="0" borderId="0" xfId="0" applyNumberFormat="1" applyAlignment="1">
      <alignment horizontal="center"/>
    </xf>
    <xf numFmtId="0" fontId="0" fillId="0" borderId="0" xfId="0" applyAlignment="1">
      <alignment horizontal="center"/>
    </xf>
    <xf numFmtId="49" fontId="14" fillId="6" borderId="43" xfId="0" applyNumberFormat="1" applyFont="1" applyFill="1" applyBorder="1" applyAlignment="1">
      <alignment horizontal="center"/>
    </xf>
    <xf numFmtId="49" fontId="14" fillId="6" borderId="44" xfId="0" applyNumberFormat="1" applyFont="1" applyFill="1" applyBorder="1" applyAlignment="1">
      <alignment horizontal="center"/>
    </xf>
    <xf numFmtId="49" fontId="14" fillId="6" borderId="45" xfId="0" applyNumberFormat="1" applyFont="1" applyFill="1" applyBorder="1" applyAlignment="1">
      <alignment horizontal="center"/>
    </xf>
    <xf numFmtId="49" fontId="14" fillId="6" borderId="16" xfId="0" applyNumberFormat="1" applyFont="1" applyFill="1" applyBorder="1" applyAlignment="1">
      <alignment horizontal="center"/>
    </xf>
    <xf numFmtId="0" fontId="1" fillId="0" borderId="15" xfId="30" applyFill="1" applyAlignment="1">
      <alignment horizontal="center"/>
    </xf>
    <xf numFmtId="0" fontId="18" fillId="0" borderId="0" xfId="32" applyFill="1" applyAlignment="1"/>
    <xf numFmtId="177" fontId="23" fillId="0" borderId="0" xfId="32" applyNumberFormat="1" applyFont="1" applyFill="1" applyAlignment="1"/>
    <xf numFmtId="10" fontId="18" fillId="3" borderId="8" xfId="32" applyNumberFormat="1" applyFill="1" applyBorder="1" applyAlignment="1"/>
    <xf numFmtId="0" fontId="1" fillId="0" borderId="15" xfId="30" applyFill="1" applyAlignment="1"/>
    <xf numFmtId="43" fontId="21" fillId="0" borderId="15" xfId="30" applyNumberFormat="1" applyFont="1" applyFill="1" applyAlignment="1"/>
    <xf numFmtId="0" fontId="21" fillId="0" borderId="15" xfId="30" applyFont="1" applyFill="1" applyAlignment="1"/>
    <xf numFmtId="49" fontId="2" fillId="0" borderId="46" xfId="32" applyNumberFormat="1" applyFont="1" applyFill="1" applyBorder="1" applyAlignment="1">
      <alignment horizontal="center"/>
    </xf>
    <xf numFmtId="0" fontId="18" fillId="0" borderId="8" xfId="32" applyFill="1" applyBorder="1" applyAlignment="1"/>
    <xf numFmtId="10" fontId="2" fillId="0" borderId="8" xfId="32" applyNumberFormat="1" applyFont="1" applyFill="1" applyBorder="1" applyAlignment="1"/>
    <xf numFmtId="0" fontId="2" fillId="0" borderId="8" xfId="32" applyFont="1" applyFill="1" applyBorder="1" applyAlignment="1"/>
    <xf numFmtId="0" fontId="2" fillId="0" borderId="0" xfId="0" applyFont="1" applyFill="1"/>
    <xf numFmtId="0" fontId="0" fillId="0" borderId="0" xfId="38" applyFill="1" applyBorder="1" applyAlignment="1">
      <alignment horizontal="center" vertical="center"/>
    </xf>
    <xf numFmtId="0" fontId="0" fillId="9" borderId="0" xfId="38" applyFill="1" applyBorder="1" applyAlignment="1">
      <alignment horizontal="center" vertical="center"/>
    </xf>
    <xf numFmtId="43" fontId="0" fillId="0" borderId="0" xfId="8" applyFont="1" applyAlignment="1">
      <alignment horizontal="center"/>
    </xf>
    <xf numFmtId="177" fontId="0" fillId="0" borderId="42" xfId="8" applyNumberFormat="1" applyFont="1" applyBorder="1" applyAlignment="1">
      <alignment horizontal="center"/>
    </xf>
    <xf numFmtId="43" fontId="0" fillId="0" borderId="42" xfId="8" applyFont="1" applyBorder="1" applyAlignment="1">
      <alignment horizontal="center"/>
    </xf>
    <xf numFmtId="9" fontId="18" fillId="3" borderId="0" xfId="32" applyNumberFormat="1" applyFill="1" applyAlignment="1">
      <alignment horizontal="center" vertical="center"/>
    </xf>
    <xf numFmtId="43" fontId="0" fillId="0" borderId="0" xfId="0" applyNumberFormat="1" applyAlignment="1">
      <alignment horizontal="center"/>
    </xf>
    <xf numFmtId="0" fontId="0" fillId="10" borderId="1" xfId="38" applyFont="1" applyFill="1" applyBorder="1" applyAlignment="1">
      <alignment horizontal="center" vertical="center"/>
    </xf>
    <xf numFmtId="0" fontId="20" fillId="0" borderId="0" xfId="42" applyFill="1"/>
    <xf numFmtId="0" fontId="0" fillId="0" borderId="0" xfId="38" applyFont="1" applyFill="1" applyBorder="1" applyAlignment="1">
      <alignment vertical="center"/>
    </xf>
    <xf numFmtId="0" fontId="0" fillId="0" borderId="0" xfId="48" applyFont="1" applyFill="1" applyBorder="1" applyAlignment="1">
      <alignment horizontal="left" vertical="top" wrapText="1"/>
    </xf>
    <xf numFmtId="0" fontId="0" fillId="0" borderId="0" xfId="48" applyFill="1" applyBorder="1" applyAlignment="1">
      <alignment horizontal="left" vertical="top" wrapText="1"/>
    </xf>
    <xf numFmtId="0" fontId="0" fillId="9" borderId="0" xfId="48" applyFill="1" applyBorder="1" applyAlignment="1">
      <alignment horizontal="left" vertical="top" wrapText="1"/>
    </xf>
    <xf numFmtId="0" fontId="0" fillId="9" borderId="0" xfId="48" applyFont="1" applyFill="1" applyBorder="1" applyAlignment="1">
      <alignment horizontal="left" vertical="top" wrapText="1"/>
    </xf>
    <xf numFmtId="0" fontId="0" fillId="0" borderId="0" xfId="48" applyFont="1" applyFill="1" applyBorder="1" applyAlignment="1">
      <alignment vertical="top" wrapText="1"/>
    </xf>
    <xf numFmtId="0" fontId="0" fillId="0" borderId="0" xfId="48" applyFill="1" applyBorder="1" applyAlignment="1">
      <alignment vertical="top" wrapText="1"/>
    </xf>
    <xf numFmtId="0" fontId="0" fillId="9" borderId="0" xfId="48" applyFill="1" applyBorder="1" applyAlignment="1">
      <alignment vertical="top" wrapText="1"/>
    </xf>
    <xf numFmtId="0" fontId="24" fillId="10" borderId="1" xfId="48" applyFont="1" applyFill="1" applyBorder="1" applyAlignment="1">
      <alignment vertical="top" wrapText="1"/>
    </xf>
    <xf numFmtId="0" fontId="0" fillId="10" borderId="1" xfId="48" applyFill="1" applyBorder="1" applyAlignment="1">
      <alignment vertical="top" wrapText="1"/>
    </xf>
    <xf numFmtId="0" fontId="25" fillId="10" borderId="2" xfId="48" applyFont="1" applyFill="1" applyBorder="1" applyAlignment="1">
      <alignment vertical="top" wrapText="1"/>
    </xf>
    <xf numFmtId="0" fontId="25" fillId="10" borderId="3" xfId="48" applyFont="1" applyFill="1" applyBorder="1" applyAlignment="1">
      <alignment vertical="top" wrapText="1"/>
    </xf>
    <xf numFmtId="0" fontId="25" fillId="10" borderId="47" xfId="48" applyFont="1" applyFill="1" applyBorder="1" applyAlignment="1">
      <alignment vertical="top" wrapText="1"/>
    </xf>
    <xf numFmtId="0" fontId="25" fillId="10" borderId="11" xfId="48" applyFont="1" applyFill="1" applyBorder="1" applyAlignment="1">
      <alignment vertical="top" wrapText="1"/>
    </xf>
    <xf numFmtId="0" fontId="25" fillId="10" borderId="0" xfId="48" applyFont="1" applyFill="1" applyBorder="1" applyAlignment="1">
      <alignment vertical="top" wrapText="1"/>
    </xf>
    <xf numFmtId="0" fontId="25" fillId="10" borderId="21" xfId="48" applyFont="1" applyFill="1" applyBorder="1" applyAlignment="1">
      <alignment vertical="top" wrapText="1"/>
    </xf>
    <xf numFmtId="0" fontId="25" fillId="10" borderId="7" xfId="48" applyFont="1" applyFill="1" applyBorder="1" applyAlignment="1">
      <alignment vertical="top" wrapText="1"/>
    </xf>
    <xf numFmtId="0" fontId="25" fillId="10" borderId="8" xfId="48" applyFont="1" applyFill="1" applyBorder="1" applyAlignment="1">
      <alignment vertical="top" wrapText="1"/>
    </xf>
    <xf numFmtId="0" fontId="25" fillId="10" borderId="20" xfId="48" applyFont="1" applyFill="1" applyBorder="1" applyAlignment="1">
      <alignment vertical="top" wrapText="1"/>
    </xf>
    <xf numFmtId="0" fontId="25" fillId="10" borderId="1" xfId="48" applyFont="1" applyFill="1" applyBorder="1" applyAlignment="1">
      <alignment vertical="top" wrapText="1"/>
    </xf>
    <xf numFmtId="0" fontId="0" fillId="0" borderId="0" xfId="0" applyFill="1" applyBorder="1"/>
    <xf numFmtId="0" fontId="0" fillId="9" borderId="0" xfId="0" applyFill="1" applyBorder="1"/>
    <xf numFmtId="0" fontId="1" fillId="0" borderId="0" xfId="30" applyFill="1" applyBorder="1" applyAlignment="1"/>
    <xf numFmtId="0" fontId="18" fillId="9" borderId="0" xfId="32" applyFill="1" applyBorder="1" applyAlignment="1"/>
    <xf numFmtId="0" fontId="18" fillId="0" borderId="0" xfId="32" applyFill="1" applyBorder="1" applyAlignment="1"/>
    <xf numFmtId="0" fontId="26" fillId="0" borderId="0" xfId="0" applyFont="1" applyAlignment="1">
      <alignment horizontal="right"/>
    </xf>
    <xf numFmtId="0" fontId="26" fillId="11" borderId="48" xfId="0" applyFont="1" applyFill="1" applyBorder="1" applyAlignment="1">
      <alignment horizontal="center"/>
    </xf>
    <xf numFmtId="0" fontId="26" fillId="0" borderId="0" xfId="0" applyFont="1" applyAlignment="1">
      <alignment horizontal="center"/>
    </xf>
    <xf numFmtId="0" fontId="27" fillId="0" borderId="0" xfId="0" applyFont="1"/>
    <xf numFmtId="0" fontId="27" fillId="12" borderId="49" xfId="0" applyFont="1" applyFill="1" applyBorder="1"/>
    <xf numFmtId="0" fontId="0" fillId="12" borderId="49" xfId="0" applyFill="1" applyBorder="1"/>
    <xf numFmtId="49" fontId="26" fillId="13" borderId="49" xfId="0" applyNumberFormat="1" applyFont="1" applyFill="1" applyBorder="1" applyAlignment="1">
      <alignment horizontal="left"/>
    </xf>
    <xf numFmtId="178" fontId="26" fillId="13" borderId="49" xfId="0" applyNumberFormat="1" applyFont="1" applyFill="1" applyBorder="1" applyAlignment="1">
      <alignment horizontal="right"/>
    </xf>
    <xf numFmtId="49" fontId="26" fillId="6" borderId="49" xfId="0" applyNumberFormat="1" applyFont="1" applyFill="1" applyBorder="1" applyAlignment="1">
      <alignment horizontal="left"/>
    </xf>
    <xf numFmtId="176" fontId="26" fillId="14" borderId="49" xfId="0" applyNumberFormat="1" applyFont="1" applyFill="1" applyBorder="1" applyAlignment="1">
      <alignment horizontal="right"/>
    </xf>
    <xf numFmtId="176" fontId="26" fillId="0" borderId="0" xfId="0" applyNumberFormat="1" applyFont="1" applyAlignment="1">
      <alignment horizontal="right"/>
    </xf>
    <xf numFmtId="179" fontId="26" fillId="14" borderId="49" xfId="0" applyNumberFormat="1" applyFont="1" applyFill="1" applyBorder="1" applyAlignment="1">
      <alignment horizontal="right"/>
    </xf>
    <xf numFmtId="179" fontId="26" fillId="0" borderId="0" xfId="0" applyNumberFormat="1" applyFont="1" applyAlignment="1">
      <alignment horizontal="right"/>
    </xf>
    <xf numFmtId="178" fontId="26" fillId="0" borderId="0" xfId="0" applyNumberFormat="1" applyFont="1" applyAlignment="1">
      <alignment horizontal="right"/>
    </xf>
    <xf numFmtId="178" fontId="26" fillId="14" borderId="49" xfId="0" applyNumberFormat="1" applyFont="1" applyFill="1" applyBorder="1" applyAlignment="1">
      <alignment horizontal="right"/>
    </xf>
    <xf numFmtId="176" fontId="0" fillId="0" borderId="0" xfId="0" applyNumberFormat="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7" xfId="51"/>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cap="all" spc="50" baseline="0">
                <a:solidFill>
                  <a:schemeClr val="tx1">
                    <a:lumMod val="65000"/>
                    <a:lumOff val="35000"/>
                  </a:schemeClr>
                </a:solidFill>
                <a:latin typeface="+mn-lt"/>
                <a:ea typeface="+mn-ea"/>
                <a:cs typeface="+mn-cs"/>
              </a:defRPr>
            </a:pPr>
            <a:r>
              <a:rPr lang="zh-CN"/>
              <a:t>营运能力</a:t>
            </a:r>
            <a:endParaRPr lang="zh-CN"/>
          </a:p>
        </c:rich>
      </c:tx>
      <c:layout>
        <c:manualLayout>
          <c:xMode val="edge"/>
          <c:yMode val="edge"/>
          <c:x val="0.774611111111111"/>
          <c:y val="0"/>
        </c:manualLayout>
      </c:layout>
      <c:overlay val="0"/>
      <c:spPr>
        <a:noFill/>
        <a:ln>
          <a:noFill/>
        </a:ln>
        <a:effectLst/>
      </c:spPr>
    </c:title>
    <c:autoTitleDeleted val="0"/>
    <c:plotArea>
      <c:layout/>
      <c:barChart>
        <c:barDir val="col"/>
        <c:grouping val="clustered"/>
        <c:varyColors val="0"/>
        <c:ser>
          <c:idx val="0"/>
          <c:order val="0"/>
          <c:tx>
            <c:strRef>
              <c:f>财务指标!$B$7</c:f>
              <c:strCache>
                <c:ptCount val="1"/>
                <c:pt idx="0">
                  <c:v>存货周转天数
</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numRef>
              <c:f>财务指标!$C$6:$E$6</c:f>
              <c:numCache>
                <c:formatCode>General</c:formatCode>
                <c:ptCount val="3"/>
                <c:pt idx="0">
                  <c:v>2015</c:v>
                </c:pt>
                <c:pt idx="1">
                  <c:v>2016</c:v>
                </c:pt>
                <c:pt idx="2">
                  <c:v>2017</c:v>
                </c:pt>
              </c:numCache>
            </c:numRef>
          </c:cat>
          <c:val>
            <c:numRef>
              <c:f>财务指标!$C$7:$E$7</c:f>
              <c:numCache>
                <c:formatCode>0.00_);[Red]\(0.00\)</c:formatCode>
                <c:ptCount val="3"/>
                <c:pt idx="0">
                  <c:v>45.36</c:v>
                </c:pt>
                <c:pt idx="1">
                  <c:v>43.23</c:v>
                </c:pt>
                <c:pt idx="2">
                  <c:v>38.1</c:v>
                </c:pt>
              </c:numCache>
            </c:numRef>
          </c:val>
        </c:ser>
        <c:ser>
          <c:idx val="1"/>
          <c:order val="1"/>
          <c:tx>
            <c:strRef>
              <c:f>财务指标!$B$8</c:f>
              <c:strCache>
                <c:ptCount val="1"/>
                <c:pt idx="0">
                  <c:v>应收账款周转天数</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numRef>
              <c:f>财务指标!$C$6:$E$6</c:f>
              <c:numCache>
                <c:formatCode>General</c:formatCode>
                <c:ptCount val="3"/>
                <c:pt idx="0">
                  <c:v>2015</c:v>
                </c:pt>
                <c:pt idx="1">
                  <c:v>2016</c:v>
                </c:pt>
                <c:pt idx="2">
                  <c:v>2017</c:v>
                </c:pt>
              </c:numCache>
            </c:numRef>
          </c:cat>
          <c:val>
            <c:numRef>
              <c:f>财务指标!$C$8:$E$8</c:f>
              <c:numCache>
                <c:formatCode>0.00_);[Red]\(0.00\)</c:formatCode>
                <c:ptCount val="3"/>
                <c:pt idx="0">
                  <c:v>3.26</c:v>
                </c:pt>
                <c:pt idx="1">
                  <c:v>3.42</c:v>
                </c:pt>
                <c:pt idx="2">
                  <c:v>3.62</c:v>
                </c:pt>
              </c:numCache>
            </c:numRef>
          </c:val>
        </c:ser>
        <c:ser>
          <c:idx val="2"/>
          <c:order val="2"/>
          <c:tx>
            <c:strRef>
              <c:f>财务指标!$B$9</c:f>
              <c:strCache>
                <c:ptCount val="1"/>
                <c:pt idx="0">
                  <c:v>应付账款周转天数
</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numRef>
              <c:f>财务指标!$C$6:$E$6</c:f>
              <c:numCache>
                <c:formatCode>General</c:formatCode>
                <c:ptCount val="3"/>
                <c:pt idx="0">
                  <c:v>2015</c:v>
                </c:pt>
                <c:pt idx="1">
                  <c:v>2016</c:v>
                </c:pt>
                <c:pt idx="2">
                  <c:v>2017</c:v>
                </c:pt>
              </c:numCache>
            </c:numRef>
          </c:cat>
          <c:val>
            <c:numRef>
              <c:f>财务指标!$C$9:$E$9</c:f>
              <c:numCache>
                <c:formatCode>0.00_);[Red]\(0.00\)</c:formatCode>
                <c:ptCount val="3"/>
                <c:pt idx="0">
                  <c:v>6.76</c:v>
                </c:pt>
                <c:pt idx="1">
                  <c:v>5.83</c:v>
                </c:pt>
                <c:pt idx="2">
                  <c:v>6.05</c:v>
                </c:pt>
              </c:numCache>
            </c:numRef>
          </c:val>
        </c:ser>
        <c:dLbls>
          <c:showLegendKey val="0"/>
          <c:showVal val="1"/>
          <c:showCatName val="0"/>
          <c:showSerName val="0"/>
          <c:showPercent val="0"/>
          <c:showBubbleSize val="0"/>
        </c:dLbls>
        <c:gapWidth val="355"/>
        <c:overlap val="-70"/>
        <c:axId val="131678976"/>
        <c:axId val="131680512"/>
      </c:barChart>
      <c:catAx>
        <c:axId val="13167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1680512"/>
        <c:crosses val="autoZero"/>
        <c:auto val="1"/>
        <c:lblAlgn val="ctr"/>
        <c:lblOffset val="100"/>
        <c:noMultiLvlLbl val="0"/>
      </c:catAx>
      <c:valAx>
        <c:axId val="13168051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prstDash val="solid"/>
              <a:round/>
            </a:ln>
            <a:effectLst/>
          </c:spPr>
        </c:majorGridlines>
        <c:numFmt formatCode="0.00_);[Red]\(0.00\)"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1678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baseline="0">
                <a:solidFill>
                  <a:schemeClr val="tx1">
                    <a:lumMod val="65000"/>
                    <a:lumOff val="35000"/>
                  </a:schemeClr>
                </a:solidFill>
                <a:latin typeface="+mn-lt"/>
                <a:ea typeface="+mn-ea"/>
                <a:cs typeface="+mn-cs"/>
              </a:defRPr>
            </a:pPr>
            <a:r>
              <a:rPr lang="zh-CN"/>
              <a:t>盈利能力</a:t>
            </a:r>
            <a:endParaRPr lang="zh-CN"/>
          </a:p>
        </c:rich>
      </c:tx>
      <c:layout/>
      <c:overlay val="0"/>
      <c:spPr>
        <a:noFill/>
        <a:ln>
          <a:noFill/>
        </a:ln>
        <a:effectLst/>
      </c:spPr>
    </c:title>
    <c:autoTitleDeleted val="0"/>
    <c:plotArea>
      <c:layout/>
      <c:lineChart>
        <c:grouping val="standard"/>
        <c:varyColors val="0"/>
        <c:ser>
          <c:idx val="0"/>
          <c:order val="0"/>
          <c:tx>
            <c:strRef>
              <c:f>财务指标!$B$11</c:f>
              <c:strCache>
                <c:ptCount val="1"/>
                <c:pt idx="0">
                  <c:v>净资产收益率ROE(平均)</c:v>
                </c:pt>
              </c:strCache>
            </c:strRef>
          </c:tx>
          <c:spPr>
            <a:ln w="34925" cap="rnd" cmpd="sng" algn="ctr">
              <a:solidFill>
                <a:schemeClr val="accent1"/>
              </a:solidFill>
              <a:prstDash val="solid"/>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numRef>
              <c:f>财务指标!$C$10:$E$10</c:f>
              <c:numCache>
                <c:formatCode>General</c:formatCode>
                <c:ptCount val="3"/>
                <c:pt idx="0">
                  <c:v>2015</c:v>
                </c:pt>
                <c:pt idx="1">
                  <c:v>2016</c:v>
                </c:pt>
                <c:pt idx="2">
                  <c:v>2017</c:v>
                </c:pt>
              </c:numCache>
            </c:numRef>
          </c:cat>
          <c:val>
            <c:numRef>
              <c:f>财务指标!$C$11:$E$11</c:f>
              <c:numCache>
                <c:formatCode>0.00_);[Red]\(0.00\)</c:formatCode>
                <c:ptCount val="3"/>
                <c:pt idx="0">
                  <c:v>20.81</c:v>
                </c:pt>
                <c:pt idx="1">
                  <c:v>21.02</c:v>
                </c:pt>
                <c:pt idx="2">
                  <c:v>22.12</c:v>
                </c:pt>
              </c:numCache>
            </c:numRef>
          </c:val>
          <c:smooth val="0"/>
        </c:ser>
        <c:ser>
          <c:idx val="1"/>
          <c:order val="1"/>
          <c:tx>
            <c:strRef>
              <c:f>财务指标!$B$12</c:f>
              <c:strCache>
                <c:ptCount val="1"/>
                <c:pt idx="0">
                  <c:v>销售净利率
</c:v>
                </c:pt>
              </c:strCache>
            </c:strRef>
          </c:tx>
          <c:spPr>
            <a:ln w="34925" cap="rnd" cmpd="sng" algn="ctr">
              <a:solidFill>
                <a:schemeClr val="accent2"/>
              </a:solidFill>
              <a:prstDash val="solid"/>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numRef>
              <c:f>财务指标!$C$10:$E$10</c:f>
              <c:numCache>
                <c:formatCode>General</c:formatCode>
                <c:ptCount val="3"/>
                <c:pt idx="0">
                  <c:v>2015</c:v>
                </c:pt>
                <c:pt idx="1">
                  <c:v>2016</c:v>
                </c:pt>
                <c:pt idx="2">
                  <c:v>2017</c:v>
                </c:pt>
              </c:numCache>
            </c:numRef>
          </c:cat>
          <c:val>
            <c:numRef>
              <c:f>财务指标!$C$12:$E$12</c:f>
              <c:numCache>
                <c:formatCode>0.00_);[Red]\(0.00\)</c:formatCode>
                <c:ptCount val="3"/>
                <c:pt idx="0">
                  <c:v>7.78</c:v>
                </c:pt>
                <c:pt idx="1">
                  <c:v>9.4</c:v>
                </c:pt>
                <c:pt idx="2">
                  <c:v>8.89</c:v>
                </c:pt>
              </c:numCache>
            </c:numRef>
          </c:val>
          <c:smooth val="0"/>
        </c:ser>
        <c:dLbls>
          <c:showLegendKey val="0"/>
          <c:showVal val="1"/>
          <c:showCatName val="0"/>
          <c:showSerName val="0"/>
          <c:showPercent val="0"/>
          <c:showBubbleSize val="0"/>
        </c:dLbls>
        <c:marker val="0"/>
        <c:smooth val="0"/>
        <c:axId val="131727360"/>
        <c:axId val="131728896"/>
      </c:lineChart>
      <c:catAx>
        <c:axId val="131727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1728896"/>
        <c:crosses val="autoZero"/>
        <c:auto val="1"/>
        <c:lblAlgn val="ctr"/>
        <c:lblOffset val="100"/>
        <c:noMultiLvlLbl val="0"/>
      </c:catAx>
      <c:valAx>
        <c:axId val="13172889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00_);[Red]\(0.00\)"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1727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280035</xdr:colOff>
      <xdr:row>12</xdr:row>
      <xdr:rowOff>89535</xdr:rowOff>
    </xdr:from>
    <xdr:to>
      <xdr:col>12</xdr:col>
      <xdr:colOff>346710</xdr:colOff>
      <xdr:row>21</xdr:row>
      <xdr:rowOff>100965</xdr:rowOff>
    </xdr:to>
    <xdr:graphicFrame>
      <xdr:nvGraphicFramePr>
        <xdr:cNvPr id="2" name="图表 1"/>
        <xdr:cNvGraphicFramePr/>
      </xdr:nvGraphicFramePr>
      <xdr:xfrm>
        <a:off x="5947410" y="3175635"/>
        <a:ext cx="5181600" cy="2240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300990</xdr:colOff>
      <xdr:row>3</xdr:row>
      <xdr:rowOff>66675</xdr:rowOff>
    </xdr:from>
    <xdr:to>
      <xdr:col>12</xdr:col>
      <xdr:colOff>371475</xdr:colOff>
      <xdr:row>10</xdr:row>
      <xdr:rowOff>91440</xdr:rowOff>
    </xdr:to>
    <xdr:graphicFrame>
      <xdr:nvGraphicFramePr>
        <xdr:cNvPr id="3" name="图表 2"/>
        <xdr:cNvGraphicFramePr/>
      </xdr:nvGraphicFramePr>
      <xdr:xfrm>
        <a:off x="5968365" y="581025"/>
        <a:ext cx="5185410" cy="19107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666750</xdr:colOff>
      <xdr:row>5</xdr:row>
      <xdr:rowOff>19050</xdr:rowOff>
    </xdr:from>
    <xdr:to>
      <xdr:col>13</xdr:col>
      <xdr:colOff>672242</xdr:colOff>
      <xdr:row>23</xdr:row>
      <xdr:rowOff>152400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66750" y="876300"/>
          <a:ext cx="8920480" cy="32194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Wind\Wind.NET.Client\WindNET\DataBrowse\XLA\WindEvaluator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Wind.NET.Client\WindNET\DataBrowse\XLA\WindEvaluator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首页"/>
      <sheetName val="说明"/>
      <sheetName val="历史报表(简化)"/>
      <sheetName val="历史报表(原始)"/>
      <sheetName val="基本假设"/>
      <sheetName val="收入"/>
      <sheetName val="投资"/>
      <sheetName val="筹资"/>
      <sheetName val="预测IS"/>
      <sheetName val="预测BS"/>
      <sheetName val="预测CS"/>
      <sheetName val="财务分析"/>
      <sheetName val="预测合理性检验"/>
      <sheetName val="绝对估值"/>
      <sheetName val="敏感分析"/>
      <sheetName val="估值(可比公司)"/>
      <sheetName val="相对估值"/>
      <sheetName val="杜邦分析"/>
      <sheetName val="历史报表(单季)"/>
      <sheetName val="输出报告"/>
      <sheetName val="创建预测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首页"/>
      <sheetName val="说明"/>
      <sheetName val="历史报表(简化)"/>
      <sheetName val="历史报表(原始)"/>
      <sheetName val="基本假设"/>
      <sheetName val="收入"/>
      <sheetName val="投资"/>
      <sheetName val="筹资"/>
      <sheetName val="预测IS"/>
      <sheetName val="预测BS"/>
      <sheetName val="预测CS"/>
      <sheetName val="财务分析"/>
      <sheetName val="预测合理性检验"/>
      <sheetName val="绝对估值"/>
      <sheetName val="敏感分析"/>
      <sheetName val="估值(可比公司)"/>
      <sheetName val="相对估值"/>
      <sheetName val="杜邦分析"/>
      <sheetName val="历史报表(单季)"/>
      <sheetName val="输出报告"/>
      <sheetName val="创建预测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s>
    <definedNames>
      <definedName name="S_INFO_NAME"/>
      <definedName name="WFR"/>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2"/>
  <sheetViews>
    <sheetView workbookViewId="0">
      <pane xSplit="1" ySplit="5" topLeftCell="B45" activePane="bottomRight" state="frozen"/>
      <selection/>
      <selection pane="topRight"/>
      <selection pane="bottomLeft"/>
      <selection pane="bottomRight" activeCell="A25" sqref="$A25:$XFD25"/>
    </sheetView>
  </sheetViews>
  <sheetFormatPr defaultColWidth="9" defaultRowHeight="13.5"/>
  <cols>
    <col min="1" max="1" width="46.375" customWidth="1"/>
    <col min="2" max="2" width="13.875" customWidth="1"/>
    <col min="3" max="6" width="15" customWidth="1"/>
    <col min="8" max="9" width="11.625" customWidth="1"/>
  </cols>
  <sheetData>
    <row r="1" spans="1:2">
      <c r="A1" s="208" t="s">
        <v>0</v>
      </c>
      <c r="B1" s="209" t="s">
        <v>1</v>
      </c>
    </row>
    <row r="2" spans="1:2">
      <c r="A2" s="208" t="s">
        <v>2</v>
      </c>
      <c r="B2" s="210" t="e">
        <f>[3]!S_INFO_NAME($B$1)</f>
        <v>#NAME?</v>
      </c>
    </row>
    <row r="3" spans="1:1">
      <c r="A3" s="211" t="e">
        <f>[3]!WFR(B1,"2014:2018","Func=Rpt.IS2","rptType=1","singleSeason=0","unit=10000","currencyType=ORIG","order=LEFT","rate=HISTORY","version=1","quarterindic=0","showcurrency=1","reportPeriod=24","cols=4;rows=96")</f>
        <v>#NAME?</v>
      </c>
    </row>
    <row r="4" spans="1:6">
      <c r="A4" s="212" t="s">
        <v>3</v>
      </c>
      <c r="B4" s="213"/>
      <c r="C4" s="213"/>
      <c r="D4" s="213"/>
      <c r="E4" s="213"/>
      <c r="F4" s="213"/>
    </row>
    <row r="5" spans="1:6">
      <c r="A5" s="214" t="s">
        <v>4</v>
      </c>
      <c r="B5" s="215">
        <v>43190</v>
      </c>
      <c r="C5" s="215">
        <v>43100</v>
      </c>
      <c r="D5" s="215">
        <v>42735</v>
      </c>
      <c r="E5" s="215">
        <v>42369</v>
      </c>
      <c r="F5" s="215">
        <v>42004</v>
      </c>
    </row>
    <row r="6" spans="1:6">
      <c r="A6" s="216" t="s">
        <v>5</v>
      </c>
      <c r="B6" s="217" t="s">
        <v>6</v>
      </c>
      <c r="C6" s="217" t="s">
        <v>7</v>
      </c>
      <c r="D6" s="217" t="s">
        <v>7</v>
      </c>
      <c r="E6" s="217" t="s">
        <v>7</v>
      </c>
      <c r="F6" s="217" t="s">
        <v>7</v>
      </c>
    </row>
    <row r="7" spans="1:6">
      <c r="A7" s="216" t="s">
        <v>8</v>
      </c>
      <c r="B7" s="218" t="s">
        <v>9</v>
      </c>
      <c r="C7" s="218" t="s">
        <v>9</v>
      </c>
      <c r="D7" s="218" t="s">
        <v>9</v>
      </c>
      <c r="E7" s="218" t="s">
        <v>9</v>
      </c>
      <c r="F7" s="218" t="s">
        <v>9</v>
      </c>
    </row>
    <row r="8" spans="1:6">
      <c r="A8" s="216" t="s">
        <v>10</v>
      </c>
      <c r="B8" s="217">
        <v>1975306.62</v>
      </c>
      <c r="C8" s="217">
        <v>6805817.43</v>
      </c>
      <c r="D8" s="217">
        <v>6060922.15</v>
      </c>
      <c r="E8" s="217">
        <v>6035987.38</v>
      </c>
      <c r="F8" s="217">
        <v>14231096.7</v>
      </c>
    </row>
    <row r="9" spans="1:6">
      <c r="A9" s="216" t="s">
        <v>11</v>
      </c>
      <c r="B9" s="218" t="s">
        <v>12</v>
      </c>
      <c r="C9" s="218">
        <v>6805817.43</v>
      </c>
      <c r="D9" s="218">
        <v>6060922.15</v>
      </c>
      <c r="E9" s="218">
        <v>6035987.38</v>
      </c>
      <c r="F9" s="218">
        <v>14231096.7</v>
      </c>
    </row>
    <row r="10" spans="1:6">
      <c r="A10" s="216" t="s">
        <v>13</v>
      </c>
      <c r="B10" s="217" t="s">
        <v>12</v>
      </c>
      <c r="C10" s="217">
        <v>5576620.58</v>
      </c>
      <c r="D10" s="217">
        <v>4952229.85</v>
      </c>
      <c r="E10" s="217">
        <v>4715138.65</v>
      </c>
      <c r="F10" s="217" t="s">
        <v>12</v>
      </c>
    </row>
    <row r="11" spans="1:6">
      <c r="A11" s="216" t="s">
        <v>14</v>
      </c>
      <c r="B11" s="218" t="s">
        <v>12</v>
      </c>
      <c r="C11" s="218">
        <v>642838.34</v>
      </c>
      <c r="D11" s="218">
        <v>545571.35</v>
      </c>
      <c r="E11" s="218">
        <v>644719.73</v>
      </c>
      <c r="F11" s="218" t="s">
        <v>12</v>
      </c>
    </row>
    <row r="12" spans="1:6">
      <c r="A12" s="216" t="s">
        <v>15</v>
      </c>
      <c r="B12" s="217" t="s">
        <v>12</v>
      </c>
      <c r="C12" s="217">
        <v>460606.75</v>
      </c>
      <c r="D12" s="217">
        <v>419415.85</v>
      </c>
      <c r="E12" s="217">
        <v>409782.25</v>
      </c>
      <c r="F12" s="217" t="s">
        <v>12</v>
      </c>
    </row>
    <row r="13" spans="1:8">
      <c r="A13" s="216" t="s">
        <v>16</v>
      </c>
      <c r="B13" s="218" t="s">
        <v>12</v>
      </c>
      <c r="C13" s="218" t="s">
        <v>12</v>
      </c>
      <c r="D13" s="218">
        <v>40822.32</v>
      </c>
      <c r="E13" s="218">
        <v>105818.35</v>
      </c>
      <c r="F13" s="218">
        <v>9240243.99</v>
      </c>
      <c r="H13" s="223"/>
    </row>
    <row r="14" spans="1:9">
      <c r="A14" s="216" t="s">
        <v>17</v>
      </c>
      <c r="B14" s="217" t="s">
        <v>12</v>
      </c>
      <c r="C14" s="217" t="s">
        <v>12</v>
      </c>
      <c r="D14" s="217">
        <v>3318.02</v>
      </c>
      <c r="E14" s="217">
        <v>891.81</v>
      </c>
      <c r="F14" s="217">
        <v>7270484.3</v>
      </c>
      <c r="I14" s="223"/>
    </row>
    <row r="15" spans="1:6">
      <c r="A15" s="216" t="s">
        <v>18</v>
      </c>
      <c r="B15" s="218" t="s">
        <v>12</v>
      </c>
      <c r="C15" s="218" t="s">
        <v>12</v>
      </c>
      <c r="D15" s="218" t="s">
        <v>12</v>
      </c>
      <c r="E15" s="218" t="s">
        <v>12</v>
      </c>
      <c r="F15" s="218">
        <v>997381.63</v>
      </c>
    </row>
    <row r="16" spans="1:6">
      <c r="A16" s="216" t="s">
        <v>19</v>
      </c>
      <c r="B16" s="217" t="s">
        <v>12</v>
      </c>
      <c r="C16" s="217" t="s">
        <v>12</v>
      </c>
      <c r="D16" s="217" t="s">
        <v>12</v>
      </c>
      <c r="E16" s="217" t="s">
        <v>12</v>
      </c>
      <c r="F16" s="217">
        <v>972378.06</v>
      </c>
    </row>
    <row r="17" spans="1:6">
      <c r="A17" s="216" t="s">
        <v>20</v>
      </c>
      <c r="B17" s="218" t="s">
        <v>12</v>
      </c>
      <c r="C17" s="218">
        <v>125751.77</v>
      </c>
      <c r="D17" s="218">
        <v>99564.77</v>
      </c>
      <c r="E17" s="218">
        <v>159636.6</v>
      </c>
      <c r="F17" s="218">
        <v>3270971.52</v>
      </c>
    </row>
    <row r="18" spans="1:6">
      <c r="A18" s="216" t="s">
        <v>21</v>
      </c>
      <c r="B18" s="217" t="s">
        <v>12</v>
      </c>
      <c r="C18" s="217" t="s">
        <v>12</v>
      </c>
      <c r="D18" s="217" t="s">
        <v>12</v>
      </c>
      <c r="E18" s="217" t="s">
        <v>12</v>
      </c>
      <c r="F18" s="217">
        <v>398354.88</v>
      </c>
    </row>
    <row r="19" spans="1:6">
      <c r="A19" s="216" t="s">
        <v>22</v>
      </c>
      <c r="B19" s="218" t="s">
        <v>12</v>
      </c>
      <c r="C19" s="218">
        <v>6805817.43</v>
      </c>
      <c r="D19" s="218">
        <v>6060922.15</v>
      </c>
      <c r="E19" s="218">
        <v>6035987.38</v>
      </c>
      <c r="F19" s="218">
        <v>196634.46</v>
      </c>
    </row>
    <row r="20" spans="1:6">
      <c r="A20" s="216" t="s">
        <v>23</v>
      </c>
      <c r="B20" s="217" t="s">
        <v>12</v>
      </c>
      <c r="C20" s="217">
        <v>6680065.66</v>
      </c>
      <c r="D20" s="217">
        <v>5961357.38</v>
      </c>
      <c r="E20" s="217">
        <v>5876350.79</v>
      </c>
      <c r="F20" s="217" t="s">
        <v>12</v>
      </c>
    </row>
    <row r="21" spans="1:6">
      <c r="A21" s="216" t="s">
        <v>24</v>
      </c>
      <c r="B21" s="218" t="s">
        <v>12</v>
      </c>
      <c r="C21" s="218">
        <v>2011334.83</v>
      </c>
      <c r="D21" s="218">
        <v>1868631.49</v>
      </c>
      <c r="E21" s="218">
        <v>1891003</v>
      </c>
      <c r="F21" s="218">
        <v>1124891.85</v>
      </c>
    </row>
    <row r="22" spans="1:6">
      <c r="A22" s="216" t="s">
        <v>25</v>
      </c>
      <c r="B22" s="217" t="s">
        <v>12</v>
      </c>
      <c r="C22" s="217">
        <v>1849764.12</v>
      </c>
      <c r="D22" s="217">
        <v>1687963.04</v>
      </c>
      <c r="E22" s="217">
        <v>1759244.98</v>
      </c>
      <c r="F22" s="217">
        <v>14231096.7</v>
      </c>
    </row>
    <row r="23" spans="1:6">
      <c r="A23" s="216" t="s">
        <v>26</v>
      </c>
      <c r="B23" s="218" t="s">
        <v>12</v>
      </c>
      <c r="C23" s="218">
        <v>2818966.71</v>
      </c>
      <c r="D23" s="218">
        <v>2404762.85</v>
      </c>
      <c r="E23" s="218">
        <v>2226102.81</v>
      </c>
      <c r="F23" s="218">
        <v>8127723.91</v>
      </c>
    </row>
    <row r="24" spans="1:6">
      <c r="A24" s="216" t="s">
        <v>27</v>
      </c>
      <c r="B24" s="217" t="s">
        <v>12</v>
      </c>
      <c r="C24" s="217">
        <v>125751.77</v>
      </c>
      <c r="D24" s="217">
        <v>99564.77</v>
      </c>
      <c r="E24" s="217">
        <v>159636.6</v>
      </c>
      <c r="F24" s="217">
        <v>4978480.94</v>
      </c>
    </row>
    <row r="25" spans="1:6">
      <c r="A25" s="216" t="s">
        <v>28</v>
      </c>
      <c r="B25" s="218">
        <v>1957565.39</v>
      </c>
      <c r="C25" s="218">
        <v>6754744.95</v>
      </c>
      <c r="D25" s="218">
        <v>6031200.97</v>
      </c>
      <c r="E25" s="218">
        <v>5986348.57</v>
      </c>
      <c r="F25" s="218">
        <v>1124891.85</v>
      </c>
    </row>
    <row r="26" spans="1:6">
      <c r="A26" s="216" t="s">
        <v>29</v>
      </c>
      <c r="B26" s="217">
        <v>17741.23</v>
      </c>
      <c r="C26" s="217">
        <v>51072.48</v>
      </c>
      <c r="D26" s="217">
        <v>29721.19</v>
      </c>
      <c r="E26" s="217">
        <v>49638.81</v>
      </c>
      <c r="F26" s="217">
        <v>14166817.52</v>
      </c>
    </row>
    <row r="27" spans="1:6">
      <c r="A27" s="216" t="s">
        <v>30</v>
      </c>
      <c r="B27" s="218">
        <v>17741.23</v>
      </c>
      <c r="C27" s="218">
        <v>51072.48</v>
      </c>
      <c r="D27" s="218">
        <v>29721.19</v>
      </c>
      <c r="E27" s="218">
        <v>49638.81</v>
      </c>
      <c r="F27" s="218">
        <v>64279.19</v>
      </c>
    </row>
    <row r="28" spans="1:6">
      <c r="A28" s="216" t="s">
        <v>31</v>
      </c>
      <c r="B28" s="217"/>
      <c r="C28" s="217"/>
      <c r="D28" s="217"/>
      <c r="E28" s="217"/>
      <c r="F28" s="217">
        <v>63252.47</v>
      </c>
    </row>
    <row r="29" spans="1:6">
      <c r="A29" s="216" t="s">
        <v>32</v>
      </c>
      <c r="B29" s="218"/>
      <c r="C29" s="218"/>
      <c r="D29" s="218"/>
      <c r="E29" s="218"/>
      <c r="F29" s="218"/>
    </row>
    <row r="30" spans="1:6">
      <c r="A30" s="216" t="s">
        <v>33</v>
      </c>
      <c r="B30" s="217">
        <v>1743304.12</v>
      </c>
      <c r="C30" s="217">
        <v>6187713.45</v>
      </c>
      <c r="D30" s="217">
        <v>5548807.03</v>
      </c>
      <c r="E30" s="217">
        <v>5565189.94</v>
      </c>
      <c r="F30" s="217">
        <v>1026.72</v>
      </c>
    </row>
    <row r="31" spans="1:6">
      <c r="A31" s="216" t="s">
        <v>34</v>
      </c>
      <c r="B31" s="218">
        <v>1198029.19</v>
      </c>
      <c r="C31" s="218">
        <v>4236240.27</v>
      </c>
      <c r="D31" s="218">
        <v>3742743.54</v>
      </c>
      <c r="E31" s="218">
        <v>3837557.81</v>
      </c>
      <c r="F31" s="218">
        <v>12971879.5</v>
      </c>
    </row>
    <row r="32" spans="1:6">
      <c r="A32" s="216" t="s">
        <v>35</v>
      </c>
      <c r="B32" s="217" t="s">
        <v>12</v>
      </c>
      <c r="C32" s="217">
        <v>4236240.27</v>
      </c>
      <c r="D32" s="217">
        <v>3742743.54</v>
      </c>
      <c r="E32" s="217">
        <v>3837557.81</v>
      </c>
      <c r="F32" s="217">
        <v>10566968.65</v>
      </c>
    </row>
    <row r="33" spans="1:6">
      <c r="A33" s="216" t="s">
        <v>36</v>
      </c>
      <c r="B33" s="218" t="s">
        <v>12</v>
      </c>
      <c r="C33" s="218">
        <v>3615570.36</v>
      </c>
      <c r="D33" s="218">
        <v>3171383.2</v>
      </c>
      <c r="E33" s="218">
        <v>3108219.54</v>
      </c>
      <c r="F33" s="218">
        <v>10566968.65</v>
      </c>
    </row>
    <row r="34" spans="1:6">
      <c r="A34" s="216" t="s">
        <v>37</v>
      </c>
      <c r="B34" s="217" t="s">
        <v>12</v>
      </c>
      <c r="C34" s="217">
        <v>295998.83</v>
      </c>
      <c r="D34" s="217">
        <v>239100.61</v>
      </c>
      <c r="E34" s="217">
        <v>283854.66</v>
      </c>
      <c r="F34" s="217" t="s">
        <v>12</v>
      </c>
    </row>
    <row r="35" spans="1:6">
      <c r="A35" s="216" t="s">
        <v>38</v>
      </c>
      <c r="B35" s="218" t="s">
        <v>12</v>
      </c>
      <c r="C35" s="218">
        <v>262167.45</v>
      </c>
      <c r="D35" s="218">
        <v>238841.74</v>
      </c>
      <c r="E35" s="218">
        <v>260930.54</v>
      </c>
      <c r="F35" s="218" t="s">
        <v>12</v>
      </c>
    </row>
    <row r="36" spans="1:6">
      <c r="A36" s="216" t="s">
        <v>39</v>
      </c>
      <c r="B36" s="217" t="s">
        <v>12</v>
      </c>
      <c r="C36" s="217" t="s">
        <v>12</v>
      </c>
      <c r="D36" s="217">
        <v>30755.11</v>
      </c>
      <c r="E36" s="217">
        <v>84601.73</v>
      </c>
      <c r="F36" s="217" t="s">
        <v>12</v>
      </c>
    </row>
    <row r="37" spans="1:6">
      <c r="A37" s="216" t="s">
        <v>40</v>
      </c>
      <c r="B37" s="218" t="s">
        <v>12</v>
      </c>
      <c r="C37" s="218" t="s">
        <v>12</v>
      </c>
      <c r="D37" s="218" t="s">
        <v>12</v>
      </c>
      <c r="E37" s="218" t="s">
        <v>12</v>
      </c>
      <c r="F37" s="218">
        <v>6762250.37</v>
      </c>
    </row>
    <row r="38" spans="1:6">
      <c r="A38" s="216" t="s">
        <v>41</v>
      </c>
      <c r="B38" s="217" t="s">
        <v>12</v>
      </c>
      <c r="C38" s="217" t="s">
        <v>12</v>
      </c>
      <c r="D38" s="217" t="s">
        <v>12</v>
      </c>
      <c r="E38" s="217" t="s">
        <v>12</v>
      </c>
      <c r="F38" s="217">
        <v>5311059.67</v>
      </c>
    </row>
    <row r="39" spans="1:6">
      <c r="A39" s="216" t="s">
        <v>42</v>
      </c>
      <c r="B39" s="218" t="s">
        <v>12</v>
      </c>
      <c r="C39" s="218" t="s">
        <v>12</v>
      </c>
      <c r="D39" s="218" t="s">
        <v>12</v>
      </c>
      <c r="E39" s="218" t="s">
        <v>12</v>
      </c>
      <c r="F39" s="218">
        <v>712975.01</v>
      </c>
    </row>
    <row r="40" spans="1:6">
      <c r="A40" s="216" t="s">
        <v>43</v>
      </c>
      <c r="B40" s="217" t="s">
        <v>12</v>
      </c>
      <c r="C40" s="217">
        <v>62503.62</v>
      </c>
      <c r="D40" s="217">
        <v>62662.88</v>
      </c>
      <c r="E40" s="217">
        <v>99951.35</v>
      </c>
      <c r="F40" s="217">
        <v>738215.7</v>
      </c>
    </row>
    <row r="41" spans="1:6">
      <c r="A41" s="216" t="s">
        <v>44</v>
      </c>
      <c r="B41" s="218" t="s">
        <v>12</v>
      </c>
      <c r="C41" s="218" t="s">
        <v>12</v>
      </c>
      <c r="D41" s="218" t="s">
        <v>12</v>
      </c>
      <c r="E41" s="218" t="s">
        <v>12</v>
      </c>
      <c r="F41" s="218">
        <v>2461830.28</v>
      </c>
    </row>
    <row r="42" spans="1:6">
      <c r="A42" s="216" t="s">
        <v>45</v>
      </c>
      <c r="B42" s="217" t="s">
        <v>12</v>
      </c>
      <c r="C42" s="217">
        <v>4236240.27</v>
      </c>
      <c r="D42" s="217">
        <v>3742743.54</v>
      </c>
      <c r="E42" s="217">
        <v>3837557.81</v>
      </c>
      <c r="F42" s="217">
        <v>333692.79</v>
      </c>
    </row>
    <row r="43" spans="1:6">
      <c r="A43" s="216" t="s">
        <v>46</v>
      </c>
      <c r="B43" s="218" t="s">
        <v>12</v>
      </c>
      <c r="C43" s="218">
        <v>4173736.64</v>
      </c>
      <c r="D43" s="218">
        <v>3680080.66</v>
      </c>
      <c r="E43" s="218">
        <v>3737606.47</v>
      </c>
      <c r="F43" s="218">
        <v>171752.68</v>
      </c>
    </row>
    <row r="44" spans="1:6">
      <c r="A44" s="216" t="s">
        <v>47</v>
      </c>
      <c r="B44" s="217" t="s">
        <v>12</v>
      </c>
      <c r="C44" s="217">
        <v>1242761.5</v>
      </c>
      <c r="D44" s="217">
        <v>1141995.05</v>
      </c>
      <c r="E44" s="217">
        <v>1187499</v>
      </c>
      <c r="F44" s="217" t="s">
        <v>12</v>
      </c>
    </row>
    <row r="45" spans="1:6">
      <c r="A45" s="216" t="s">
        <v>48</v>
      </c>
      <c r="B45" s="218" t="s">
        <v>12</v>
      </c>
      <c r="C45" s="218">
        <v>1172963.34</v>
      </c>
      <c r="D45" s="218">
        <v>1055620.6</v>
      </c>
      <c r="E45" s="218">
        <v>1160969.98</v>
      </c>
      <c r="F45" s="218">
        <v>837442.53</v>
      </c>
    </row>
    <row r="46" spans="1:6">
      <c r="A46" s="216" t="s">
        <v>49</v>
      </c>
      <c r="B46" s="217" t="s">
        <v>12</v>
      </c>
      <c r="C46" s="217">
        <v>1758011.8</v>
      </c>
      <c r="D46" s="217">
        <v>1482465.01</v>
      </c>
      <c r="E46" s="217">
        <v>1389137.48</v>
      </c>
      <c r="F46" s="217">
        <v>10566968.65</v>
      </c>
    </row>
    <row r="47" spans="1:6">
      <c r="A47" s="216" t="s">
        <v>50</v>
      </c>
      <c r="B47" s="218" t="s">
        <v>12</v>
      </c>
      <c r="C47" s="218">
        <v>62503.62</v>
      </c>
      <c r="D47" s="218">
        <v>62662.88</v>
      </c>
      <c r="E47" s="218">
        <v>99951.35</v>
      </c>
      <c r="F47" s="218">
        <v>5861145.3</v>
      </c>
    </row>
    <row r="48" spans="1:6">
      <c r="A48" s="216" t="s">
        <v>51</v>
      </c>
      <c r="B48" s="217">
        <v>14449.11</v>
      </c>
      <c r="C48" s="217">
        <v>51157.02</v>
      </c>
      <c r="D48" s="217">
        <v>42007.24</v>
      </c>
      <c r="E48" s="217">
        <v>25103.96</v>
      </c>
      <c r="F48" s="217">
        <v>3868380.82</v>
      </c>
    </row>
    <row r="49" spans="1:6">
      <c r="A49" s="216" t="s">
        <v>52</v>
      </c>
      <c r="B49" s="218">
        <v>449659.39</v>
      </c>
      <c r="C49" s="218">
        <v>1552186.25</v>
      </c>
      <c r="D49" s="218">
        <v>1411431.65</v>
      </c>
      <c r="E49" s="218">
        <v>1325833.42</v>
      </c>
      <c r="F49" s="218">
        <v>837442.53</v>
      </c>
    </row>
    <row r="50" spans="1:6">
      <c r="A50" s="216" t="s">
        <v>53</v>
      </c>
      <c r="B50" s="217">
        <v>75228.38</v>
      </c>
      <c r="C50" s="217">
        <v>331704.87</v>
      </c>
      <c r="D50" s="217">
        <v>345666.6</v>
      </c>
      <c r="E50" s="217">
        <v>345616.39</v>
      </c>
      <c r="F50" s="217">
        <v>80959.62</v>
      </c>
    </row>
    <row r="51" spans="1:6">
      <c r="A51" s="216" t="s">
        <v>54</v>
      </c>
      <c r="B51" s="218">
        <v>4135.48</v>
      </c>
      <c r="C51" s="218">
        <v>11348.53</v>
      </c>
      <c r="D51" s="218">
        <v>2387.97</v>
      </c>
      <c r="E51" s="218">
        <v>29716.28</v>
      </c>
      <c r="F51" s="218">
        <v>1473391.74</v>
      </c>
    </row>
    <row r="52" spans="1:6">
      <c r="A52" s="216" t="s">
        <v>55</v>
      </c>
      <c r="B52" s="217">
        <v>1802.58</v>
      </c>
      <c r="C52" s="217">
        <v>5062.34</v>
      </c>
      <c r="D52" s="217">
        <v>4570.02</v>
      </c>
      <c r="E52" s="217">
        <v>1362.08</v>
      </c>
      <c r="F52" s="217">
        <v>749825.51</v>
      </c>
    </row>
    <row r="53" spans="1:6">
      <c r="A53" s="216" t="s">
        <v>56</v>
      </c>
      <c r="B53" s="218"/>
      <c r="C53" s="218">
        <v>14.17</v>
      </c>
      <c r="D53" s="218"/>
      <c r="E53" s="218"/>
      <c r="F53" s="218">
        <v>25132.69</v>
      </c>
    </row>
    <row r="54" spans="1:6">
      <c r="A54" s="216" t="s">
        <v>57</v>
      </c>
      <c r="B54" s="217"/>
      <c r="C54" s="217">
        <v>14.17</v>
      </c>
      <c r="D54" s="217"/>
      <c r="E54" s="217"/>
      <c r="F54" s="217">
        <v>34981.82</v>
      </c>
    </row>
    <row r="55" spans="1:6">
      <c r="A55" s="216" t="s">
        <v>58</v>
      </c>
      <c r="B55" s="218"/>
      <c r="C55" s="218"/>
      <c r="D55" s="218"/>
      <c r="E55" s="218"/>
      <c r="F55" s="218">
        <v>40619.47</v>
      </c>
    </row>
    <row r="56" spans="1:6">
      <c r="A56" s="216" t="s">
        <v>59</v>
      </c>
      <c r="B56" s="217"/>
      <c r="C56" s="217"/>
      <c r="D56" s="217"/>
      <c r="E56" s="217"/>
      <c r="F56" s="217">
        <v>40452.69</v>
      </c>
    </row>
    <row r="57" spans="1:6">
      <c r="A57" s="216" t="s">
        <v>60</v>
      </c>
      <c r="B57" s="218"/>
      <c r="C57" s="218"/>
      <c r="D57" s="218"/>
      <c r="E57" s="218"/>
      <c r="F57" s="218">
        <v>166.78</v>
      </c>
    </row>
    <row r="58" spans="1:6">
      <c r="A58" s="216" t="s">
        <v>61</v>
      </c>
      <c r="B58" s="217"/>
      <c r="C58" s="217"/>
      <c r="D58" s="217"/>
      <c r="E58" s="217"/>
      <c r="F58" s="217"/>
    </row>
    <row r="59" spans="1:6">
      <c r="A59" s="216" t="s">
        <v>62</v>
      </c>
      <c r="B59" s="218"/>
      <c r="C59" s="218"/>
      <c r="D59" s="218"/>
      <c r="E59" s="218"/>
      <c r="F59" s="218"/>
    </row>
    <row r="60" spans="1:6">
      <c r="A60" s="216" t="s">
        <v>63</v>
      </c>
      <c r="B60" s="217"/>
      <c r="C60" s="217"/>
      <c r="D60" s="217"/>
      <c r="E60" s="217"/>
      <c r="F60" s="217"/>
    </row>
    <row r="61" spans="1:6">
      <c r="A61" s="216" t="s">
        <v>64</v>
      </c>
      <c r="B61" s="218">
        <v>7269.36</v>
      </c>
      <c r="C61" s="218">
        <v>13467.93</v>
      </c>
      <c r="D61" s="218">
        <v>39926.1</v>
      </c>
      <c r="E61" s="218">
        <v>18634.75</v>
      </c>
      <c r="F61" s="218"/>
    </row>
    <row r="62" spans="1:6">
      <c r="A62" s="216" t="s">
        <v>65</v>
      </c>
      <c r="B62" s="217"/>
      <c r="C62" s="217"/>
      <c r="D62" s="217"/>
      <c r="E62" s="217"/>
      <c r="F62" s="217"/>
    </row>
    <row r="63" spans="1:6">
      <c r="A63" s="216" t="s">
        <v>66</v>
      </c>
      <c r="B63" s="218">
        <v>7269.36</v>
      </c>
      <c r="C63" s="218">
        <v>13467.93</v>
      </c>
      <c r="D63" s="218">
        <v>39926.1</v>
      </c>
      <c r="E63" s="218">
        <v>18634.75</v>
      </c>
      <c r="F63" s="218">
        <v>85833.17</v>
      </c>
    </row>
    <row r="64" spans="1:6">
      <c r="A64" s="216" t="s">
        <v>67</v>
      </c>
      <c r="B64" s="217">
        <v>5665.69</v>
      </c>
      <c r="C64" s="217">
        <v>8655.78</v>
      </c>
      <c r="D64" s="217">
        <v>-759.65</v>
      </c>
      <c r="E64" s="217">
        <v>577.79</v>
      </c>
      <c r="F64" s="217">
        <v>-65279.05</v>
      </c>
    </row>
    <row r="65" spans="1:6">
      <c r="A65" s="216" t="s">
        <v>68</v>
      </c>
      <c r="B65" s="218"/>
      <c r="C65" s="218"/>
      <c r="D65" s="218"/>
      <c r="E65" s="218"/>
      <c r="F65" s="218">
        <v>151112.22</v>
      </c>
    </row>
    <row r="66" spans="1:6">
      <c r="A66" s="216" t="s">
        <v>69</v>
      </c>
      <c r="B66" s="217">
        <v>-256.21</v>
      </c>
      <c r="C66" s="217">
        <v>1217.82</v>
      </c>
      <c r="D66" s="217"/>
      <c r="E66" s="217"/>
      <c r="F66" s="217">
        <v>9473.91</v>
      </c>
    </row>
    <row r="67" spans="1:6">
      <c r="A67" s="216" t="s">
        <v>70</v>
      </c>
      <c r="B67" s="218">
        <v>11217.58</v>
      </c>
      <c r="C67" s="218">
        <v>78801.38</v>
      </c>
      <c r="D67" s="218"/>
      <c r="E67" s="218"/>
      <c r="F67" s="218"/>
    </row>
    <row r="68" spans="1:6">
      <c r="A68" s="216" t="s">
        <v>71</v>
      </c>
      <c r="B68" s="217"/>
      <c r="C68" s="217"/>
      <c r="D68" s="217"/>
      <c r="E68" s="217"/>
      <c r="F68" s="217"/>
    </row>
    <row r="69" spans="1:6">
      <c r="A69" s="216" t="s">
        <v>72</v>
      </c>
      <c r="B69" s="218"/>
      <c r="C69" s="218"/>
      <c r="D69" s="218"/>
      <c r="E69" s="218"/>
      <c r="F69" s="218"/>
    </row>
    <row r="70" spans="1:6">
      <c r="A70" s="216" t="s">
        <v>73</v>
      </c>
      <c r="B70" s="217">
        <v>250233.23</v>
      </c>
      <c r="C70" s="217">
        <v>711591.12</v>
      </c>
      <c r="D70" s="217">
        <v>552041.22</v>
      </c>
      <c r="E70" s="217">
        <v>489432.2</v>
      </c>
      <c r="F70" s="217"/>
    </row>
    <row r="71" spans="1:6">
      <c r="A71" s="216" t="s">
        <v>74</v>
      </c>
      <c r="B71" s="218">
        <v>1385.8</v>
      </c>
      <c r="C71" s="218">
        <v>8559.78</v>
      </c>
      <c r="D71" s="218">
        <v>117878.15</v>
      </c>
      <c r="E71" s="218">
        <v>71227.15</v>
      </c>
      <c r="F71" s="218"/>
    </row>
    <row r="72" spans="1:6">
      <c r="A72" s="216" t="s">
        <v>75</v>
      </c>
      <c r="B72" s="217">
        <v>1471.77</v>
      </c>
      <c r="C72" s="217">
        <v>12753.56</v>
      </c>
      <c r="D72" s="217">
        <v>6712.17</v>
      </c>
      <c r="E72" s="217">
        <v>8306</v>
      </c>
      <c r="F72" s="217">
        <v>1345050.37</v>
      </c>
    </row>
    <row r="73" spans="1:6">
      <c r="A73" s="216" t="s">
        <v>76</v>
      </c>
      <c r="B73" s="218"/>
      <c r="C73" s="218"/>
      <c r="D73" s="218">
        <v>4350.55</v>
      </c>
      <c r="E73" s="218">
        <v>2713.85</v>
      </c>
      <c r="F73" s="218">
        <v>105706.92</v>
      </c>
    </row>
    <row r="74" spans="1:6">
      <c r="A74" s="216" t="s">
        <v>77</v>
      </c>
      <c r="B74" s="217"/>
      <c r="C74" s="217"/>
      <c r="D74" s="217"/>
      <c r="E74" s="217"/>
      <c r="F74" s="217">
        <v>51688.83</v>
      </c>
    </row>
    <row r="75" spans="1:6">
      <c r="A75" s="216" t="s">
        <v>78</v>
      </c>
      <c r="B75" s="218"/>
      <c r="C75" s="218"/>
      <c r="D75" s="218"/>
      <c r="E75" s="218"/>
      <c r="F75" s="218">
        <v>27039.13</v>
      </c>
    </row>
    <row r="76" spans="1:6">
      <c r="A76" s="216" t="s">
        <v>79</v>
      </c>
      <c r="B76" s="217">
        <v>250147.27</v>
      </c>
      <c r="C76" s="217">
        <v>707397.33</v>
      </c>
      <c r="D76" s="217">
        <v>663207.2</v>
      </c>
      <c r="E76" s="217">
        <v>552353.35</v>
      </c>
      <c r="F76" s="217"/>
    </row>
    <row r="77" spans="1:6">
      <c r="A77" s="216" t="s">
        <v>80</v>
      </c>
      <c r="B77" s="218">
        <v>39523.09</v>
      </c>
      <c r="C77" s="218">
        <v>107115.84</v>
      </c>
      <c r="D77" s="218">
        <v>96303.68</v>
      </c>
      <c r="E77" s="218">
        <v>86910.84</v>
      </c>
      <c r="F77" s="218"/>
    </row>
    <row r="78" spans="1:6">
      <c r="A78" s="216" t="s">
        <v>81</v>
      </c>
      <c r="B78" s="217"/>
      <c r="C78" s="217"/>
      <c r="D78" s="217"/>
      <c r="E78" s="217"/>
      <c r="F78" s="217">
        <v>1399068.46</v>
      </c>
    </row>
    <row r="79" spans="1:6">
      <c r="A79" s="216" t="s">
        <v>82</v>
      </c>
      <c r="B79" s="218"/>
      <c r="C79" s="218"/>
      <c r="D79" s="218"/>
      <c r="E79" s="218"/>
      <c r="F79" s="218">
        <v>234435.59</v>
      </c>
    </row>
    <row r="80" spans="1:6">
      <c r="A80" s="216" t="s">
        <v>83</v>
      </c>
      <c r="B80" s="217"/>
      <c r="C80" s="217"/>
      <c r="D80" s="217"/>
      <c r="E80" s="217"/>
      <c r="F80" s="217"/>
    </row>
    <row r="81" spans="1:6">
      <c r="A81" s="216" t="s">
        <v>84</v>
      </c>
      <c r="B81" s="218">
        <v>210624.17</v>
      </c>
      <c r="C81" s="218">
        <v>600281.5</v>
      </c>
      <c r="D81" s="218">
        <v>566903.52</v>
      </c>
      <c r="E81" s="218">
        <v>465442.51</v>
      </c>
      <c r="F81" s="218"/>
    </row>
    <row r="82" spans="1:6">
      <c r="A82" s="216" t="s">
        <v>85</v>
      </c>
      <c r="B82" s="217">
        <v>210624.17</v>
      </c>
      <c r="C82" s="217">
        <v>600281.5</v>
      </c>
      <c r="D82" s="217"/>
      <c r="E82" s="217"/>
      <c r="F82" s="217"/>
    </row>
    <row r="83" spans="1:6">
      <c r="A83" s="216" t="s">
        <v>86</v>
      </c>
      <c r="B83" s="218"/>
      <c r="C83" s="218"/>
      <c r="D83" s="218"/>
      <c r="E83" s="218"/>
      <c r="F83" s="218">
        <v>1164632.87</v>
      </c>
    </row>
    <row r="84" spans="1:6">
      <c r="A84" s="216" t="s">
        <v>87</v>
      </c>
      <c r="B84" s="217">
        <v>600.62</v>
      </c>
      <c r="C84" s="217">
        <v>193</v>
      </c>
      <c r="D84" s="217">
        <v>722.75</v>
      </c>
      <c r="E84" s="217">
        <v>2263.33</v>
      </c>
      <c r="F84" s="217"/>
    </row>
    <row r="85" spans="1:6">
      <c r="A85" s="216" t="s">
        <v>88</v>
      </c>
      <c r="B85" s="218">
        <v>210023.55</v>
      </c>
      <c r="C85" s="218">
        <v>600088.49</v>
      </c>
      <c r="D85" s="218">
        <v>566180.77</v>
      </c>
      <c r="E85" s="218">
        <v>463179.18</v>
      </c>
      <c r="F85" s="218"/>
    </row>
    <row r="86" spans="1:6">
      <c r="A86" s="216" t="s">
        <v>89</v>
      </c>
      <c r="B86" s="217">
        <v>-5216.16</v>
      </c>
      <c r="C86" s="217">
        <v>-43334.33</v>
      </c>
      <c r="D86" s="217">
        <v>16506.94</v>
      </c>
      <c r="E86" s="217">
        <v>17428.28</v>
      </c>
      <c r="F86" s="217">
        <v>114410.84</v>
      </c>
    </row>
    <row r="87" spans="1:6">
      <c r="A87" s="216" t="s">
        <v>90</v>
      </c>
      <c r="B87" s="218">
        <v>205408.02</v>
      </c>
      <c r="C87" s="218">
        <v>556947.16</v>
      </c>
      <c r="D87" s="218">
        <v>583410.47</v>
      </c>
      <c r="E87" s="218">
        <v>482870.79</v>
      </c>
      <c r="F87" s="218">
        <v>1050222.03</v>
      </c>
    </row>
    <row r="88" spans="1:6">
      <c r="A88" s="216" t="s">
        <v>91</v>
      </c>
      <c r="B88" s="217">
        <v>600.62</v>
      </c>
      <c r="C88" s="217">
        <v>193</v>
      </c>
      <c r="D88" s="217">
        <v>722.75</v>
      </c>
      <c r="E88" s="217">
        <v>2263.33</v>
      </c>
      <c r="F88" s="217">
        <v>-59646.48</v>
      </c>
    </row>
    <row r="89" spans="1:6">
      <c r="A89" s="216" t="s">
        <v>92</v>
      </c>
      <c r="B89" s="218">
        <v>204807.39</v>
      </c>
      <c r="C89" s="218">
        <v>556754.16</v>
      </c>
      <c r="D89" s="218">
        <v>582687.72</v>
      </c>
      <c r="E89" s="218">
        <v>480607.47</v>
      </c>
      <c r="F89" s="218">
        <v>1104986.39</v>
      </c>
    </row>
    <row r="90" spans="1:6">
      <c r="A90" s="216" t="s">
        <v>93</v>
      </c>
      <c r="B90" s="217"/>
      <c r="C90" s="217"/>
      <c r="D90" s="217"/>
      <c r="E90" s="217"/>
      <c r="F90" s="217">
        <v>104221.26</v>
      </c>
    </row>
    <row r="91" spans="1:6">
      <c r="A91" s="216" t="s">
        <v>94</v>
      </c>
      <c r="B91" s="218">
        <v>0.35</v>
      </c>
      <c r="C91" s="218">
        <v>0.99</v>
      </c>
      <c r="D91" s="218">
        <v>0.93</v>
      </c>
      <c r="E91" s="218">
        <v>0.76</v>
      </c>
      <c r="F91" s="218">
        <v>1000765.13</v>
      </c>
    </row>
    <row r="92" spans="1:6">
      <c r="A92" s="216" t="s">
        <v>95</v>
      </c>
      <c r="B92" s="217">
        <v>0.34</v>
      </c>
      <c r="C92" s="217">
        <v>0.99</v>
      </c>
      <c r="D92" s="217">
        <v>0.93</v>
      </c>
      <c r="E92" s="217">
        <v>0.76</v>
      </c>
      <c r="F92" s="217"/>
    </row>
    <row r="93" spans="1:6">
      <c r="A93" s="216" t="s">
        <v>96</v>
      </c>
      <c r="B93" s="220" t="s">
        <v>97</v>
      </c>
      <c r="C93" s="220" t="s">
        <v>97</v>
      </c>
      <c r="D93" s="220" t="s">
        <v>97</v>
      </c>
      <c r="E93" s="220" t="s">
        <v>97</v>
      </c>
      <c r="F93" s="218">
        <v>2.49</v>
      </c>
    </row>
    <row r="94" spans="1:6">
      <c r="A94" s="216" t="s">
        <v>98</v>
      </c>
      <c r="B94" s="219" t="s">
        <v>97</v>
      </c>
      <c r="C94" s="219" t="s">
        <v>97</v>
      </c>
      <c r="D94" s="219" t="s">
        <v>97</v>
      </c>
      <c r="E94" s="219" t="s">
        <v>97</v>
      </c>
      <c r="F94" s="217">
        <v>2.49</v>
      </c>
    </row>
    <row r="95" spans="1:6">
      <c r="A95" s="216" t="s">
        <v>99</v>
      </c>
      <c r="B95" s="220">
        <v>1</v>
      </c>
      <c r="C95" s="220">
        <v>1</v>
      </c>
      <c r="D95" s="220">
        <v>1</v>
      </c>
      <c r="E95" s="220">
        <v>1</v>
      </c>
      <c r="F95" s="220" t="s">
        <v>97</v>
      </c>
    </row>
    <row r="96" spans="1:6">
      <c r="A96" s="216" t="s">
        <v>100</v>
      </c>
      <c r="B96" s="222" t="s">
        <v>101</v>
      </c>
      <c r="C96" s="222" t="s">
        <v>101</v>
      </c>
      <c r="D96" s="222" t="s">
        <v>101</v>
      </c>
      <c r="E96" s="222" t="s">
        <v>101</v>
      </c>
      <c r="F96" s="219" t="s">
        <v>97</v>
      </c>
    </row>
    <row r="97" spans="1:6">
      <c r="A97" s="216" t="s">
        <v>102</v>
      </c>
      <c r="B97" s="221"/>
      <c r="C97" s="221" t="s">
        <v>103</v>
      </c>
      <c r="D97" s="221" t="s">
        <v>103</v>
      </c>
      <c r="E97" s="221" t="s">
        <v>103</v>
      </c>
      <c r="F97" s="220">
        <v>1</v>
      </c>
    </row>
    <row r="98" spans="1:6">
      <c r="A98" s="216" t="s">
        <v>104</v>
      </c>
      <c r="B98" s="222"/>
      <c r="C98" s="222"/>
      <c r="D98" s="222"/>
      <c r="E98" s="222"/>
      <c r="F98" s="222" t="s">
        <v>101</v>
      </c>
    </row>
    <row r="99" spans="1:6">
      <c r="A99" s="216" t="s">
        <v>105</v>
      </c>
      <c r="B99" s="221">
        <v>43217</v>
      </c>
      <c r="C99" s="221">
        <v>43217</v>
      </c>
      <c r="D99" s="221">
        <v>42825</v>
      </c>
      <c r="E99" s="221">
        <v>42460</v>
      </c>
      <c r="F99" s="221" t="s">
        <v>103</v>
      </c>
    </row>
    <row r="100" spans="1:6">
      <c r="A100" s="216" t="s">
        <v>106</v>
      </c>
      <c r="B100" s="222" t="s">
        <v>107</v>
      </c>
      <c r="C100" s="222" t="s">
        <v>107</v>
      </c>
      <c r="D100" s="222" t="s">
        <v>107</v>
      </c>
      <c r="E100" s="222" t="s">
        <v>107</v>
      </c>
      <c r="F100" s="222"/>
    </row>
    <row r="101" spans="1:6">
      <c r="A101" s="216" t="s">
        <v>105</v>
      </c>
      <c r="B101" s="221">
        <v>43218</v>
      </c>
      <c r="C101" s="221">
        <v>43190</v>
      </c>
      <c r="D101" s="221">
        <v>42825</v>
      </c>
      <c r="E101" s="221">
        <v>42455</v>
      </c>
      <c r="F101" s="221">
        <v>42094</v>
      </c>
    </row>
    <row r="102" spans="1:6">
      <c r="A102" s="216" t="s">
        <v>106</v>
      </c>
      <c r="B102" s="222" t="s">
        <v>107</v>
      </c>
      <c r="C102" s="222" t="s">
        <v>107</v>
      </c>
      <c r="D102" s="222" t="s">
        <v>107</v>
      </c>
      <c r="E102" s="222" t="s">
        <v>107</v>
      </c>
      <c r="F102" s="222" t="s">
        <v>107</v>
      </c>
    </row>
  </sheetData>
  <pageMargins left="0.699305555555556" right="0.699305555555556"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E19" sqref="E19"/>
    </sheetView>
  </sheetViews>
  <sheetFormatPr defaultColWidth="9" defaultRowHeight="13.5"/>
  <cols>
    <col min="2" max="2" width="15.5" style="2" customWidth="1"/>
    <col min="3" max="5" width="12.75" customWidth="1"/>
    <col min="6" max="11" width="11.625" customWidth="1"/>
  </cols>
  <sheetData>
    <row r="1" spans="1:29">
      <c r="A1" s="3"/>
      <c r="B1" s="4"/>
      <c r="C1" s="5"/>
      <c r="D1" s="5"/>
      <c r="E1" s="5"/>
      <c r="F1" s="5"/>
      <c r="G1" s="5"/>
      <c r="H1" s="5"/>
      <c r="I1" s="5"/>
      <c r="J1" s="5"/>
      <c r="K1" s="5"/>
      <c r="L1" s="5"/>
      <c r="M1" s="5"/>
      <c r="N1" s="5"/>
      <c r="O1" s="5"/>
      <c r="P1" s="5"/>
      <c r="Q1" s="5"/>
      <c r="R1" s="5"/>
      <c r="S1" s="5"/>
      <c r="T1" s="5"/>
      <c r="U1" s="10"/>
      <c r="V1" s="10"/>
      <c r="W1" s="10"/>
      <c r="X1" s="5"/>
      <c r="Y1" s="5"/>
      <c r="Z1" s="5"/>
      <c r="AA1" s="5"/>
      <c r="AB1" s="5"/>
      <c r="AC1" s="5"/>
    </row>
    <row r="2" spans="1:29">
      <c r="A2" s="3"/>
      <c r="B2" s="4"/>
      <c r="C2" s="5"/>
      <c r="D2" s="5"/>
      <c r="E2" s="5"/>
      <c r="F2" s="5"/>
      <c r="G2" s="5"/>
      <c r="H2" s="5"/>
      <c r="I2" s="5"/>
      <c r="J2" s="5"/>
      <c r="K2" s="5"/>
      <c r="L2" s="5"/>
      <c r="M2" s="5"/>
      <c r="N2" s="5"/>
      <c r="O2" s="5"/>
      <c r="P2" s="5"/>
      <c r="Q2" s="5"/>
      <c r="R2" s="5"/>
      <c r="S2" s="5"/>
      <c r="T2" s="5"/>
      <c r="U2" s="5"/>
      <c r="V2" s="5"/>
      <c r="W2" s="5"/>
      <c r="X2" s="5"/>
      <c r="Y2" s="5"/>
      <c r="Z2" s="5"/>
      <c r="AA2" s="5"/>
      <c r="AB2" s="5"/>
      <c r="AC2" s="5"/>
    </row>
    <row r="6" spans="3:5">
      <c r="C6" s="5">
        <v>2015</v>
      </c>
      <c r="D6" s="5">
        <v>2016</v>
      </c>
      <c r="E6" s="5">
        <v>2017</v>
      </c>
    </row>
    <row r="7" ht="27" spans="1:5">
      <c r="A7" s="6" t="s">
        <v>421</v>
      </c>
      <c r="B7" s="7" t="s">
        <v>422</v>
      </c>
      <c r="C7" s="8">
        <v>45.36</v>
      </c>
      <c r="D7" s="8">
        <v>43.23</v>
      </c>
      <c r="E7" s="8">
        <v>38.1</v>
      </c>
    </row>
    <row r="8" ht="27" spans="1:5">
      <c r="A8" s="6"/>
      <c r="B8" s="7" t="s">
        <v>423</v>
      </c>
      <c r="C8" s="8">
        <v>3.26</v>
      </c>
      <c r="D8" s="8">
        <v>3.42</v>
      </c>
      <c r="E8" s="8">
        <v>3.62</v>
      </c>
    </row>
    <row r="9" ht="40.5" spans="1:5">
      <c r="A9" s="6"/>
      <c r="B9" s="7" t="s">
        <v>424</v>
      </c>
      <c r="C9" s="8">
        <v>6.76</v>
      </c>
      <c r="D9" s="8">
        <v>5.83</v>
      </c>
      <c r="E9" s="8">
        <v>6.05</v>
      </c>
    </row>
    <row r="10" spans="1:5">
      <c r="A10" s="6"/>
      <c r="B10" s="7"/>
      <c r="C10" s="5">
        <v>2015</v>
      </c>
      <c r="D10" s="5">
        <v>2016</v>
      </c>
      <c r="E10" s="5">
        <v>2017</v>
      </c>
    </row>
    <row r="11" ht="27" spans="1:5">
      <c r="A11" s="6" t="s">
        <v>425</v>
      </c>
      <c r="B11" s="7" t="s">
        <v>426</v>
      </c>
      <c r="C11" s="8">
        <v>20.81</v>
      </c>
      <c r="D11" s="8">
        <v>21.02</v>
      </c>
      <c r="E11" s="8">
        <v>22.12</v>
      </c>
    </row>
    <row r="12" ht="27" spans="1:5">
      <c r="A12" s="6"/>
      <c r="B12" s="7" t="s">
        <v>427</v>
      </c>
      <c r="C12" s="8">
        <v>7.78</v>
      </c>
      <c r="D12" s="8">
        <v>9.4</v>
      </c>
      <c r="E12" s="8">
        <v>8.89</v>
      </c>
    </row>
    <row r="13" ht="27" spans="1:5">
      <c r="A13" s="6" t="s">
        <v>428</v>
      </c>
      <c r="B13" s="7" t="s">
        <v>429</v>
      </c>
      <c r="C13">
        <v>49.17</v>
      </c>
      <c r="D13">
        <v>40.82</v>
      </c>
      <c r="E13">
        <v>48.8</v>
      </c>
    </row>
    <row r="14" spans="1:5">
      <c r="A14" s="6"/>
      <c r="B14" s="9" t="s">
        <v>430</v>
      </c>
      <c r="C14">
        <v>1.97</v>
      </c>
      <c r="D14">
        <v>1.69</v>
      </c>
      <c r="E14">
        <v>1.95</v>
      </c>
    </row>
    <row r="15" spans="1:5">
      <c r="A15" t="s">
        <v>431</v>
      </c>
      <c r="B15" s="7" t="s">
        <v>432</v>
      </c>
      <c r="C15">
        <v>0.83</v>
      </c>
      <c r="D15">
        <v>1.06</v>
      </c>
      <c r="E15">
        <v>1.06</v>
      </c>
    </row>
    <row r="16" ht="54" spans="2:5">
      <c r="B16" s="7" t="s">
        <v>433</v>
      </c>
      <c r="C16">
        <v>15.93</v>
      </c>
      <c r="D16">
        <v>21.25</v>
      </c>
      <c r="E16">
        <v>10.37</v>
      </c>
    </row>
  </sheetData>
  <mergeCells count="3">
    <mergeCell ref="A7:A9"/>
    <mergeCell ref="A11:A12"/>
    <mergeCell ref="A13:A14"/>
  </mergeCells>
  <pageMargins left="0.699305555555556" right="0.699305555555556"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5"/>
  <sheetViews>
    <sheetView workbookViewId="0">
      <selection activeCell="M31" sqref="M31"/>
    </sheetView>
  </sheetViews>
  <sheetFormatPr defaultColWidth="9" defaultRowHeight="13.5" outlineLevelRow="4" outlineLevelCol="5"/>
  <sheetData>
    <row r="5" spans="6:6">
      <c r="F5" s="1" t="s">
        <v>434</v>
      </c>
    </row>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4"/>
  <sheetViews>
    <sheetView workbookViewId="0">
      <pane xSplit="1" ySplit="5" topLeftCell="B6" activePane="bottomRight" state="frozen"/>
      <selection/>
      <selection pane="topRight"/>
      <selection pane="bottomLeft"/>
      <selection pane="bottomRight" activeCell="J26" sqref="J26"/>
    </sheetView>
  </sheetViews>
  <sheetFormatPr defaultColWidth="9" defaultRowHeight="13.5" outlineLevelCol="5"/>
  <cols>
    <col min="1" max="1" width="46.375" customWidth="1"/>
    <col min="2" max="6" width="15" customWidth="1"/>
  </cols>
  <sheetData>
    <row r="1" spans="1:2">
      <c r="A1" s="208" t="s">
        <v>0</v>
      </c>
      <c r="B1" s="209" t="s">
        <v>1</v>
      </c>
    </row>
    <row r="2" spans="1:2">
      <c r="A2" s="208" t="s">
        <v>2</v>
      </c>
      <c r="B2" s="210" t="e">
        <f>[3]!S_INFO_NAME($B$1)</f>
        <v>#NAME?</v>
      </c>
    </row>
    <row r="3" spans="1:1">
      <c r="A3" s="211" t="e">
        <f>[3]!WFR(B1,"2014:2018","Func=Rpt.BS3","rptType=1","singleSeason=0","unit=10000","currencyType=ORIG","order=LEFT","rate=HISTORY","version=1","quarterindic=0","showcurrency=1","reportPeriod=24","cols=4;rows=130")</f>
        <v>#NAME?</v>
      </c>
    </row>
    <row r="4" spans="1:6">
      <c r="A4" s="212" t="s">
        <v>108</v>
      </c>
      <c r="B4" s="213"/>
      <c r="C4" s="213"/>
      <c r="D4" s="213"/>
      <c r="E4" s="213"/>
      <c r="F4" s="213"/>
    </row>
    <row r="5" spans="1:6">
      <c r="A5" s="214" t="s">
        <v>4</v>
      </c>
      <c r="B5" s="215">
        <v>43190</v>
      </c>
      <c r="C5" s="215">
        <v>43100</v>
      </c>
      <c r="D5" s="215">
        <v>42735</v>
      </c>
      <c r="E5" s="215">
        <v>42369</v>
      </c>
      <c r="F5" s="215">
        <v>42004</v>
      </c>
    </row>
    <row r="6" spans="1:6">
      <c r="A6" s="216" t="s">
        <v>5</v>
      </c>
      <c r="B6" s="217" t="s">
        <v>6</v>
      </c>
      <c r="C6" s="217" t="s">
        <v>7</v>
      </c>
      <c r="D6" s="217" t="s">
        <v>7</v>
      </c>
      <c r="E6" s="217" t="s">
        <v>7</v>
      </c>
      <c r="F6" s="217" t="s">
        <v>7</v>
      </c>
    </row>
    <row r="7" spans="1:6">
      <c r="A7" s="216" t="s">
        <v>8</v>
      </c>
      <c r="B7" s="218" t="s">
        <v>9</v>
      </c>
      <c r="C7" s="218" t="s">
        <v>9</v>
      </c>
      <c r="D7" s="218" t="s">
        <v>9</v>
      </c>
      <c r="E7" s="218" t="s">
        <v>9</v>
      </c>
      <c r="F7" s="218" t="s">
        <v>9</v>
      </c>
    </row>
    <row r="8" spans="1:6">
      <c r="A8" s="216" t="s">
        <v>109</v>
      </c>
      <c r="B8" s="217"/>
      <c r="C8" s="217"/>
      <c r="D8" s="217"/>
      <c r="E8" s="217"/>
      <c r="F8" s="217"/>
    </row>
    <row r="9" spans="1:6">
      <c r="A9" s="216" t="s">
        <v>110</v>
      </c>
      <c r="B9" s="218">
        <v>1946838.21</v>
      </c>
      <c r="C9" s="218">
        <v>2182306.62</v>
      </c>
      <c r="D9" s="218">
        <v>1382365.43</v>
      </c>
      <c r="E9" s="218">
        <v>1308366.7</v>
      </c>
      <c r="F9" s="218">
        <v>620328.28</v>
      </c>
    </row>
    <row r="10" spans="1:6">
      <c r="A10" s="216" t="s">
        <v>111</v>
      </c>
      <c r="B10" s="217"/>
      <c r="C10" s="217"/>
      <c r="D10" s="217"/>
      <c r="E10" s="217"/>
      <c r="F10" s="217"/>
    </row>
    <row r="11" spans="1:6">
      <c r="A11" s="216" t="s">
        <v>112</v>
      </c>
      <c r="B11" s="218"/>
      <c r="C11" s="218"/>
      <c r="D11" s="218"/>
      <c r="E11" s="218"/>
      <c r="F11" s="218">
        <v>16251.38</v>
      </c>
    </row>
    <row r="12" spans="1:6">
      <c r="A12" s="216" t="s">
        <v>113</v>
      </c>
      <c r="B12" s="217">
        <v>28839.5</v>
      </c>
      <c r="C12" s="217">
        <v>16359.7</v>
      </c>
      <c r="D12" s="217">
        <v>11436</v>
      </c>
      <c r="E12" s="217">
        <v>14717.35</v>
      </c>
      <c r="F12" s="217">
        <v>1709723.34</v>
      </c>
    </row>
    <row r="13" spans="1:6">
      <c r="A13" s="216" t="s">
        <v>114</v>
      </c>
      <c r="B13" s="218">
        <v>99072.33</v>
      </c>
      <c r="C13" s="218">
        <v>78614.02</v>
      </c>
      <c r="D13" s="218">
        <v>57213.74</v>
      </c>
      <c r="E13" s="218">
        <v>57217.7</v>
      </c>
      <c r="F13" s="218">
        <v>936210.28</v>
      </c>
    </row>
    <row r="14" spans="1:6">
      <c r="A14" s="216" t="s">
        <v>115</v>
      </c>
      <c r="B14" s="217">
        <v>143392.11</v>
      </c>
      <c r="C14" s="217">
        <v>119243.42</v>
      </c>
      <c r="D14" s="217">
        <v>55839.04</v>
      </c>
      <c r="E14" s="217">
        <v>61452.43</v>
      </c>
      <c r="F14" s="217">
        <v>141447.05</v>
      </c>
    </row>
    <row r="15" spans="1:6">
      <c r="A15" s="216" t="s">
        <v>116</v>
      </c>
      <c r="B15" s="218">
        <v>15376</v>
      </c>
      <c r="C15" s="218">
        <v>18844.7</v>
      </c>
      <c r="D15" s="218">
        <v>3513.83</v>
      </c>
      <c r="E15" s="218">
        <v>7119.37</v>
      </c>
      <c r="F15" s="218"/>
    </row>
    <row r="16" spans="1:6">
      <c r="A16" s="216" t="s">
        <v>117</v>
      </c>
      <c r="B16" s="217">
        <v>3471.23</v>
      </c>
      <c r="C16" s="217">
        <v>4466.18</v>
      </c>
      <c r="D16" s="217">
        <v>3893.14</v>
      </c>
      <c r="E16" s="217">
        <v>4987.12</v>
      </c>
      <c r="F16" s="217">
        <v>118076.75</v>
      </c>
    </row>
    <row r="17" spans="1:6">
      <c r="A17" s="216" t="s">
        <v>118</v>
      </c>
      <c r="B17" s="218"/>
      <c r="C17" s="218"/>
      <c r="D17" s="218"/>
      <c r="E17" s="218"/>
      <c r="F17" s="218">
        <v>4594.32</v>
      </c>
    </row>
    <row r="18" spans="1:6">
      <c r="A18" s="216" t="s">
        <v>119</v>
      </c>
      <c r="B18" s="217"/>
      <c r="C18" s="217"/>
      <c r="D18" s="217"/>
      <c r="E18" s="217"/>
      <c r="F18" s="217"/>
    </row>
    <row r="19" spans="1:6">
      <c r="A19" s="216" t="s">
        <v>120</v>
      </c>
      <c r="B19" s="218">
        <v>424255.96</v>
      </c>
      <c r="C19" s="218">
        <v>463999.39</v>
      </c>
      <c r="D19" s="218">
        <v>432578.09</v>
      </c>
      <c r="E19" s="218">
        <v>466312.87</v>
      </c>
      <c r="F19" s="218">
        <v>1502003.03</v>
      </c>
    </row>
    <row r="20" spans="1:6">
      <c r="A20" s="216" t="s">
        <v>121</v>
      </c>
      <c r="B20" s="217"/>
      <c r="C20" s="217"/>
      <c r="D20" s="217"/>
      <c r="E20" s="217"/>
      <c r="F20" s="217"/>
    </row>
    <row r="21" spans="1:6">
      <c r="A21" s="216" t="s">
        <v>122</v>
      </c>
      <c r="B21" s="218"/>
      <c r="C21" s="218"/>
      <c r="D21" s="218"/>
      <c r="E21" s="218"/>
      <c r="F21" s="218"/>
    </row>
    <row r="22" spans="1:6">
      <c r="A22" s="216" t="s">
        <v>123</v>
      </c>
      <c r="B22" s="217"/>
      <c r="C22" s="217"/>
      <c r="D22" s="217">
        <v>3380.99</v>
      </c>
      <c r="E22" s="217"/>
      <c r="F22" s="217"/>
    </row>
    <row r="23" spans="1:6">
      <c r="A23" s="216" t="s">
        <v>124</v>
      </c>
      <c r="B23" s="218"/>
      <c r="C23" s="218"/>
      <c r="D23" s="218"/>
      <c r="E23" s="218"/>
      <c r="F23" s="218"/>
    </row>
    <row r="24" spans="1:6">
      <c r="A24" s="216" t="s">
        <v>125</v>
      </c>
      <c r="B24" s="217">
        <v>184562.82</v>
      </c>
      <c r="C24" s="217">
        <v>100739.16</v>
      </c>
      <c r="D24" s="217">
        <v>69049.6</v>
      </c>
      <c r="E24" s="217">
        <v>58441.7</v>
      </c>
      <c r="F24" s="217">
        <v>2659389.25</v>
      </c>
    </row>
    <row r="25" spans="1:6">
      <c r="A25" s="216" t="s">
        <v>126</v>
      </c>
      <c r="B25" s="218"/>
      <c r="C25" s="218"/>
      <c r="D25" s="218"/>
      <c r="E25" s="218"/>
      <c r="F25" s="218"/>
    </row>
    <row r="26" spans="1:6">
      <c r="A26" s="216" t="s">
        <v>127</v>
      </c>
      <c r="B26" s="217"/>
      <c r="C26" s="217"/>
      <c r="D26" s="217"/>
      <c r="E26" s="217"/>
      <c r="F26" s="217"/>
    </row>
    <row r="27" spans="1:6">
      <c r="A27" s="216" t="s">
        <v>128</v>
      </c>
      <c r="B27" s="218"/>
      <c r="C27" s="218"/>
      <c r="D27" s="218"/>
      <c r="E27" s="218"/>
      <c r="F27" s="218"/>
    </row>
    <row r="28" spans="1:6">
      <c r="A28" s="216" t="s">
        <v>129</v>
      </c>
      <c r="B28" s="217"/>
      <c r="C28" s="217"/>
      <c r="D28" s="217"/>
      <c r="E28" s="217"/>
      <c r="F28" s="217"/>
    </row>
    <row r="29" spans="1:6">
      <c r="A29" s="216" t="s">
        <v>130</v>
      </c>
      <c r="B29" s="218"/>
      <c r="C29" s="218"/>
      <c r="D29" s="218"/>
      <c r="E29" s="218"/>
      <c r="F29" s="218"/>
    </row>
    <row r="30" spans="1:6">
      <c r="A30" s="216" t="s">
        <v>131</v>
      </c>
      <c r="B30" s="217"/>
      <c r="C30" s="217"/>
      <c r="D30" s="217"/>
      <c r="E30" s="217"/>
      <c r="F30" s="217"/>
    </row>
    <row r="31" spans="1:6">
      <c r="A31" s="216" t="s">
        <v>132</v>
      </c>
      <c r="B31" s="218"/>
      <c r="C31" s="218"/>
      <c r="D31" s="218"/>
      <c r="E31" s="218"/>
      <c r="F31" s="218">
        <v>934683.79</v>
      </c>
    </row>
    <row r="32" spans="1:6">
      <c r="A32" s="216" t="s">
        <v>133</v>
      </c>
      <c r="B32" s="217"/>
      <c r="C32" s="217"/>
      <c r="D32" s="217"/>
      <c r="E32" s="217"/>
      <c r="F32" s="217"/>
    </row>
    <row r="33" spans="1:6">
      <c r="A33" s="216" t="s">
        <v>134</v>
      </c>
      <c r="B33" s="218">
        <v>2845808.16</v>
      </c>
      <c r="C33" s="218">
        <v>2984573.19</v>
      </c>
      <c r="D33" s="218">
        <v>2019269.86</v>
      </c>
      <c r="E33" s="218">
        <v>1978615.24</v>
      </c>
      <c r="F33" s="218">
        <v>8642707.46</v>
      </c>
    </row>
    <row r="34" spans="1:6">
      <c r="A34" s="216" t="s">
        <v>135</v>
      </c>
      <c r="B34" s="217"/>
      <c r="C34" s="217"/>
      <c r="D34" s="217"/>
      <c r="E34" s="217"/>
      <c r="F34" s="217"/>
    </row>
    <row r="35" spans="1:6">
      <c r="A35" s="216" t="s">
        <v>136</v>
      </c>
      <c r="B35" s="218"/>
      <c r="C35" s="218"/>
      <c r="D35" s="218"/>
      <c r="E35" s="218"/>
      <c r="F35" s="218"/>
    </row>
    <row r="36" spans="1:6">
      <c r="A36" s="216" t="s">
        <v>137</v>
      </c>
      <c r="B36" s="217">
        <v>93935.48</v>
      </c>
      <c r="C36" s="217">
        <v>65181.96</v>
      </c>
      <c r="D36" s="217">
        <v>61236.43</v>
      </c>
      <c r="E36" s="217">
        <v>98542.4</v>
      </c>
      <c r="F36" s="217">
        <v>165549.47</v>
      </c>
    </row>
    <row r="37" spans="1:6">
      <c r="A37" s="216" t="s">
        <v>138</v>
      </c>
      <c r="B37" s="218"/>
      <c r="C37" s="218"/>
      <c r="D37" s="218"/>
      <c r="E37" s="218"/>
      <c r="F37" s="218"/>
    </row>
    <row r="38" spans="1:6">
      <c r="A38" s="216" t="s">
        <v>139</v>
      </c>
      <c r="B38" s="217"/>
      <c r="C38" s="217"/>
      <c r="D38" s="217"/>
      <c r="E38" s="217">
        <v>264.01</v>
      </c>
      <c r="F38" s="217"/>
    </row>
    <row r="39" spans="1:6">
      <c r="A39" s="216" t="s">
        <v>140</v>
      </c>
      <c r="B39" s="218">
        <v>182184.2</v>
      </c>
      <c r="C39" s="218">
        <v>176518.51</v>
      </c>
      <c r="D39" s="218">
        <v>163110.04</v>
      </c>
      <c r="E39" s="218">
        <v>12187.92</v>
      </c>
      <c r="F39" s="218">
        <v>95187.44</v>
      </c>
    </row>
    <row r="40" spans="1:6">
      <c r="A40" s="216" t="s">
        <v>141</v>
      </c>
      <c r="B40" s="217"/>
      <c r="C40" s="217"/>
      <c r="D40" s="217"/>
      <c r="E40" s="217"/>
      <c r="F40" s="217">
        <v>17163.49</v>
      </c>
    </row>
    <row r="41" spans="1:6">
      <c r="A41" s="216" t="s">
        <v>142</v>
      </c>
      <c r="B41" s="218">
        <v>1399012.1</v>
      </c>
      <c r="C41" s="218">
        <v>1325639.03</v>
      </c>
      <c r="D41" s="218">
        <v>1313746.2</v>
      </c>
      <c r="E41" s="218">
        <v>1455860.01</v>
      </c>
      <c r="F41" s="218">
        <v>1952181.41</v>
      </c>
    </row>
    <row r="42" spans="1:6">
      <c r="A42" s="216" t="s">
        <v>143</v>
      </c>
      <c r="B42" s="217">
        <v>102065.49</v>
      </c>
      <c r="C42" s="217">
        <v>188785.73</v>
      </c>
      <c r="D42" s="217">
        <v>134359.68</v>
      </c>
      <c r="E42" s="217">
        <v>77626.92</v>
      </c>
      <c r="F42" s="217">
        <v>66188.23</v>
      </c>
    </row>
    <row r="43" spans="1:6">
      <c r="A43" s="216" t="s">
        <v>144</v>
      </c>
      <c r="B43" s="218">
        <v>842.13</v>
      </c>
      <c r="C43" s="218">
        <v>1420.83</v>
      </c>
      <c r="D43" s="218">
        <v>5189.73</v>
      </c>
      <c r="E43" s="218">
        <v>668.53</v>
      </c>
      <c r="F43" s="218"/>
    </row>
    <row r="44" spans="1:6">
      <c r="A44" s="216" t="s">
        <v>145</v>
      </c>
      <c r="B44" s="217"/>
      <c r="C44" s="217"/>
      <c r="D44" s="217"/>
      <c r="E44" s="217"/>
      <c r="F44" s="217"/>
    </row>
    <row r="45" spans="1:6">
      <c r="A45" s="216" t="s">
        <v>146</v>
      </c>
      <c r="B45" s="218"/>
      <c r="C45" s="218"/>
      <c r="D45" s="218"/>
      <c r="E45" s="218">
        <v>129853.9</v>
      </c>
      <c r="F45" s="218"/>
    </row>
    <row r="46" spans="1:6">
      <c r="A46" s="216" t="s">
        <v>147</v>
      </c>
      <c r="B46" s="217"/>
      <c r="C46" s="217"/>
      <c r="D46" s="217"/>
      <c r="E46" s="217"/>
      <c r="F46" s="217"/>
    </row>
    <row r="47" spans="1:6">
      <c r="A47" s="216" t="s">
        <v>148</v>
      </c>
      <c r="B47" s="218">
        <v>51404.7</v>
      </c>
      <c r="C47" s="218">
        <v>51436.12</v>
      </c>
      <c r="D47" s="218">
        <v>99088.21</v>
      </c>
      <c r="E47" s="218">
        <v>95642.6</v>
      </c>
      <c r="F47" s="218">
        <v>343195.81</v>
      </c>
    </row>
    <row r="48" spans="1:6">
      <c r="A48" s="216" t="s">
        <v>149</v>
      </c>
      <c r="B48" s="217"/>
      <c r="C48" s="217"/>
      <c r="D48" s="217"/>
      <c r="E48" s="217"/>
      <c r="F48" s="217"/>
    </row>
    <row r="49" spans="1:6">
      <c r="A49" s="216" t="s">
        <v>150</v>
      </c>
      <c r="B49" s="218">
        <v>1067.86</v>
      </c>
      <c r="C49" s="218">
        <v>1067.86</v>
      </c>
      <c r="D49" s="218">
        <v>1067.86</v>
      </c>
      <c r="E49" s="218">
        <v>1067.86</v>
      </c>
      <c r="F49" s="218">
        <v>293179.14</v>
      </c>
    </row>
    <row r="50" spans="1:6">
      <c r="A50" s="216" t="s">
        <v>151</v>
      </c>
      <c r="B50" s="217">
        <v>6608.45</v>
      </c>
      <c r="C50" s="217">
        <v>6919.5</v>
      </c>
      <c r="D50" s="217">
        <v>10984.31</v>
      </c>
      <c r="E50" s="217">
        <v>21637.67</v>
      </c>
      <c r="F50" s="217">
        <v>75857.61</v>
      </c>
    </row>
    <row r="51" spans="1:6">
      <c r="A51" s="216" t="s">
        <v>152</v>
      </c>
      <c r="B51" s="218">
        <v>55317.68</v>
      </c>
      <c r="C51" s="218">
        <v>55994.61</v>
      </c>
      <c r="D51" s="218">
        <v>51857.65</v>
      </c>
      <c r="E51" s="218">
        <v>41167.13</v>
      </c>
      <c r="F51" s="218">
        <v>377998.76</v>
      </c>
    </row>
    <row r="52" spans="1:6">
      <c r="A52" s="216" t="s">
        <v>153</v>
      </c>
      <c r="B52" s="217">
        <v>160222.76</v>
      </c>
      <c r="C52" s="217">
        <v>72498.19</v>
      </c>
      <c r="D52" s="217">
        <v>66317.31</v>
      </c>
      <c r="E52" s="217">
        <v>49962.64</v>
      </c>
      <c r="F52" s="217"/>
    </row>
    <row r="53" spans="1:6">
      <c r="A53" s="216" t="s">
        <v>154</v>
      </c>
      <c r="B53" s="218"/>
      <c r="C53" s="218"/>
      <c r="D53" s="218"/>
      <c r="E53" s="218"/>
      <c r="F53" s="218"/>
    </row>
    <row r="54" spans="1:6">
      <c r="A54" s="216" t="s">
        <v>155</v>
      </c>
      <c r="B54" s="217"/>
      <c r="C54" s="217"/>
      <c r="D54" s="217"/>
      <c r="E54" s="217"/>
      <c r="F54" s="217"/>
    </row>
    <row r="55" spans="1:6">
      <c r="A55" s="216" t="s">
        <v>156</v>
      </c>
      <c r="B55" s="218">
        <v>2052660.85</v>
      </c>
      <c r="C55" s="218">
        <v>1945462.35</v>
      </c>
      <c r="D55" s="218">
        <v>1906957.43</v>
      </c>
      <c r="E55" s="218">
        <v>1984481.58</v>
      </c>
      <c r="F55" s="218">
        <v>3386501.35</v>
      </c>
    </row>
    <row r="56" spans="1:6">
      <c r="A56" s="216" t="s">
        <v>157</v>
      </c>
      <c r="B56" s="217"/>
      <c r="C56" s="217"/>
      <c r="D56" s="217"/>
      <c r="E56" s="217"/>
      <c r="F56" s="217"/>
    </row>
    <row r="57" spans="1:6">
      <c r="A57" s="216" t="s">
        <v>158</v>
      </c>
      <c r="B57" s="218"/>
      <c r="C57" s="218"/>
      <c r="D57" s="218"/>
      <c r="E57" s="218"/>
      <c r="F57" s="218"/>
    </row>
    <row r="58" spans="1:6">
      <c r="A58" s="216" t="s">
        <v>159</v>
      </c>
      <c r="B58" s="217">
        <v>4898469.01</v>
      </c>
      <c r="C58" s="217">
        <v>4930035.53</v>
      </c>
      <c r="D58" s="217">
        <v>3926227.29</v>
      </c>
      <c r="E58" s="217">
        <v>3963096.82</v>
      </c>
      <c r="F58" s="217">
        <v>12029208.82</v>
      </c>
    </row>
    <row r="59" spans="1:6">
      <c r="A59" s="216" t="s">
        <v>160</v>
      </c>
      <c r="B59" s="218"/>
      <c r="C59" s="218"/>
      <c r="D59" s="218"/>
      <c r="E59" s="218"/>
      <c r="F59" s="218"/>
    </row>
    <row r="60" spans="1:6">
      <c r="A60" s="216" t="s">
        <v>161</v>
      </c>
      <c r="B60" s="217">
        <v>606000</v>
      </c>
      <c r="C60" s="217">
        <v>786000</v>
      </c>
      <c r="D60" s="217">
        <v>15000</v>
      </c>
      <c r="E60" s="217">
        <v>619000</v>
      </c>
      <c r="F60" s="217">
        <v>607087.9</v>
      </c>
    </row>
    <row r="61" spans="1:6">
      <c r="A61" s="216" t="s">
        <v>162</v>
      </c>
      <c r="B61" s="218"/>
      <c r="C61" s="218"/>
      <c r="D61" s="218"/>
      <c r="E61" s="218"/>
      <c r="F61" s="218"/>
    </row>
    <row r="62" spans="1:6">
      <c r="A62" s="216" t="s">
        <v>163</v>
      </c>
      <c r="B62" s="217"/>
      <c r="C62" s="217"/>
      <c r="D62" s="217"/>
      <c r="E62" s="217"/>
      <c r="F62" s="217">
        <v>7496.07</v>
      </c>
    </row>
    <row r="63" spans="1:6">
      <c r="A63" s="216" t="s">
        <v>164</v>
      </c>
      <c r="B63" s="218">
        <v>12163.48</v>
      </c>
      <c r="C63" s="218">
        <v>21527.68</v>
      </c>
      <c r="D63" s="218">
        <v>33761.99</v>
      </c>
      <c r="E63" s="218">
        <v>56310.97</v>
      </c>
      <c r="F63" s="218">
        <v>1264849.7</v>
      </c>
    </row>
    <row r="64" spans="1:6">
      <c r="A64" s="216" t="s">
        <v>165</v>
      </c>
      <c r="B64" s="217">
        <v>767660.6</v>
      </c>
      <c r="C64" s="217">
        <v>725387.95</v>
      </c>
      <c r="D64" s="217">
        <v>675291.16</v>
      </c>
      <c r="E64" s="217">
        <v>607884.83</v>
      </c>
      <c r="F64" s="217">
        <v>2013745.45</v>
      </c>
    </row>
    <row r="65" spans="1:6">
      <c r="A65" s="216" t="s">
        <v>166</v>
      </c>
      <c r="B65" s="218">
        <v>316075.55</v>
      </c>
      <c r="C65" s="218">
        <v>412557.11</v>
      </c>
      <c r="D65" s="218">
        <v>359166.83</v>
      </c>
      <c r="E65" s="218">
        <v>203553.43</v>
      </c>
      <c r="F65" s="218">
        <v>399254.05</v>
      </c>
    </row>
    <row r="66" spans="1:6">
      <c r="A66" s="216" t="s">
        <v>167</v>
      </c>
      <c r="B66" s="217"/>
      <c r="C66" s="217"/>
      <c r="D66" s="217"/>
      <c r="E66" s="217"/>
      <c r="F66" s="217"/>
    </row>
    <row r="67" spans="1:6">
      <c r="A67" s="216" t="s">
        <v>168</v>
      </c>
      <c r="B67" s="218">
        <v>229360.22</v>
      </c>
      <c r="C67" s="218">
        <v>260361.74</v>
      </c>
      <c r="D67" s="218">
        <v>231517.45</v>
      </c>
      <c r="E67" s="218">
        <v>169201.04</v>
      </c>
      <c r="F67" s="218">
        <v>219977.7</v>
      </c>
    </row>
    <row r="68" spans="1:6">
      <c r="A68" s="216" t="s">
        <v>169</v>
      </c>
      <c r="B68" s="217">
        <v>65769.05</v>
      </c>
      <c r="C68" s="217">
        <v>40409.08</v>
      </c>
      <c r="D68" s="217">
        <v>49022.82</v>
      </c>
      <c r="E68" s="217">
        <v>36801.91</v>
      </c>
      <c r="F68" s="217">
        <v>328015.07</v>
      </c>
    </row>
    <row r="69" spans="1:6">
      <c r="A69" s="216" t="s">
        <v>170</v>
      </c>
      <c r="B69" s="218">
        <v>730.03</v>
      </c>
      <c r="C69" s="218">
        <v>932.68</v>
      </c>
      <c r="D69" s="218">
        <v>6.74</v>
      </c>
      <c r="E69" s="218">
        <v>293.17</v>
      </c>
      <c r="F69" s="218">
        <v>2291.22</v>
      </c>
    </row>
    <row r="70" spans="1:6">
      <c r="A70" s="216" t="s">
        <v>171</v>
      </c>
      <c r="B70" s="217">
        <v>6878.9</v>
      </c>
      <c r="C70" s="217">
        <v>7313.12</v>
      </c>
      <c r="D70" s="217">
        <v>4993.04</v>
      </c>
      <c r="E70" s="217">
        <v>3964.77</v>
      </c>
      <c r="F70" s="217">
        <v>9379.9</v>
      </c>
    </row>
    <row r="71" spans="1:6">
      <c r="A71" s="216" t="s">
        <v>172</v>
      </c>
      <c r="B71" s="218">
        <v>127841.99</v>
      </c>
      <c r="C71" s="218">
        <v>126900.93</v>
      </c>
      <c r="D71" s="218">
        <v>115515.4</v>
      </c>
      <c r="E71" s="218">
        <v>114775.91</v>
      </c>
      <c r="F71" s="218">
        <v>122354.88</v>
      </c>
    </row>
    <row r="72" spans="1:6">
      <c r="A72" s="216" t="s">
        <v>173</v>
      </c>
      <c r="B72" s="217"/>
      <c r="C72" s="217"/>
      <c r="D72" s="217"/>
      <c r="E72" s="217"/>
      <c r="F72" s="217"/>
    </row>
    <row r="73" spans="1:6">
      <c r="A73" s="216" t="s">
        <v>174</v>
      </c>
      <c r="B73" s="218">
        <v>2754.92</v>
      </c>
      <c r="C73" s="218">
        <v>2419.15</v>
      </c>
      <c r="D73" s="218"/>
      <c r="E73" s="218"/>
      <c r="F73" s="218">
        <v>61190</v>
      </c>
    </row>
    <row r="74" spans="1:6">
      <c r="A74" s="216" t="s">
        <v>175</v>
      </c>
      <c r="B74" s="217"/>
      <c r="C74" s="217"/>
      <c r="D74" s="217"/>
      <c r="E74" s="217"/>
      <c r="F74" s="217"/>
    </row>
    <row r="75" spans="1:6">
      <c r="A75" s="216" t="s">
        <v>176</v>
      </c>
      <c r="B75" s="218"/>
      <c r="C75" s="218"/>
      <c r="D75" s="218"/>
      <c r="E75" s="218"/>
      <c r="F75" s="218"/>
    </row>
    <row r="76" spans="1:6">
      <c r="A76" s="216" t="s">
        <v>177</v>
      </c>
      <c r="B76" s="217"/>
      <c r="C76" s="217"/>
      <c r="D76" s="217"/>
      <c r="E76" s="217"/>
      <c r="F76" s="217"/>
    </row>
    <row r="77" spans="1:6">
      <c r="A77" s="216" t="s">
        <v>178</v>
      </c>
      <c r="B77" s="218">
        <v>1291.28</v>
      </c>
      <c r="C77" s="218">
        <v>1193.1</v>
      </c>
      <c r="D77" s="218">
        <v>6470.05</v>
      </c>
      <c r="E77" s="218">
        <v>8416.31</v>
      </c>
      <c r="F77" s="218">
        <v>2277893.61</v>
      </c>
    </row>
    <row r="78" spans="1:6">
      <c r="A78" s="216" t="s">
        <v>179</v>
      </c>
      <c r="B78" s="217"/>
      <c r="C78" s="217"/>
      <c r="D78" s="217"/>
      <c r="E78" s="217"/>
      <c r="F78" s="217">
        <v>749.38</v>
      </c>
    </row>
    <row r="79" spans="1:6">
      <c r="A79" s="216" t="s">
        <v>180</v>
      </c>
      <c r="B79" s="218"/>
      <c r="C79" s="218"/>
      <c r="D79" s="218"/>
      <c r="E79" s="218"/>
      <c r="F79" s="218"/>
    </row>
    <row r="80" spans="1:6">
      <c r="A80" s="216" t="s">
        <v>181</v>
      </c>
      <c r="B80" s="217"/>
      <c r="C80" s="217"/>
      <c r="D80" s="217"/>
      <c r="E80" s="217"/>
      <c r="F80" s="217">
        <v>749.38</v>
      </c>
    </row>
    <row r="81" spans="1:6">
      <c r="A81" s="216" t="s">
        <v>182</v>
      </c>
      <c r="B81" s="218"/>
      <c r="C81" s="218"/>
      <c r="D81" s="218"/>
      <c r="E81" s="218"/>
      <c r="F81" s="218"/>
    </row>
    <row r="82" spans="1:6">
      <c r="A82" s="216" t="s">
        <v>183</v>
      </c>
      <c r="B82" s="217"/>
      <c r="C82" s="217"/>
      <c r="D82" s="217"/>
      <c r="E82" s="217"/>
      <c r="F82" s="217"/>
    </row>
    <row r="83" spans="1:6">
      <c r="A83" s="216" t="s">
        <v>184</v>
      </c>
      <c r="B83" s="218"/>
      <c r="C83" s="218"/>
      <c r="D83" s="218"/>
      <c r="E83" s="218"/>
      <c r="F83" s="218"/>
    </row>
    <row r="84" spans="1:6">
      <c r="A84" s="216" t="s">
        <v>185</v>
      </c>
      <c r="B84" s="217"/>
      <c r="C84" s="217"/>
      <c r="D84" s="217"/>
      <c r="E84" s="217"/>
      <c r="F84" s="217"/>
    </row>
    <row r="85" spans="1:6">
      <c r="A85" s="216" t="s">
        <v>186</v>
      </c>
      <c r="B85" s="218"/>
      <c r="C85" s="218"/>
      <c r="D85" s="218"/>
      <c r="E85" s="218"/>
      <c r="F85" s="218"/>
    </row>
    <row r="86" spans="1:6">
      <c r="A86" s="216" t="s">
        <v>187</v>
      </c>
      <c r="B86" s="217"/>
      <c r="C86" s="217"/>
      <c r="D86" s="217"/>
      <c r="E86" s="217"/>
      <c r="F86" s="217"/>
    </row>
    <row r="87" spans="1:6">
      <c r="A87" s="216" t="s">
        <v>188</v>
      </c>
      <c r="B87" s="218"/>
      <c r="C87" s="218"/>
      <c r="D87" s="218"/>
      <c r="E87" s="218"/>
      <c r="F87" s="218"/>
    </row>
    <row r="88" spans="1:6">
      <c r="A88" s="216" t="s">
        <v>189</v>
      </c>
      <c r="B88" s="217"/>
      <c r="C88" s="217"/>
      <c r="D88" s="217"/>
      <c r="E88" s="217"/>
      <c r="F88" s="217"/>
    </row>
    <row r="89" spans="1:6">
      <c r="A89" s="216" t="s">
        <v>190</v>
      </c>
      <c r="B89" s="218">
        <v>2136526</v>
      </c>
      <c r="C89" s="218">
        <v>2385002.53</v>
      </c>
      <c r="D89" s="218">
        <v>1490745.47</v>
      </c>
      <c r="E89" s="218">
        <v>1820202.33</v>
      </c>
      <c r="F89" s="218">
        <v>7314284.91</v>
      </c>
    </row>
    <row r="90" spans="1:6">
      <c r="A90" s="216" t="s">
        <v>191</v>
      </c>
      <c r="B90" s="217"/>
      <c r="C90" s="217"/>
      <c r="D90" s="217"/>
      <c r="E90" s="217"/>
      <c r="F90" s="217"/>
    </row>
    <row r="91" spans="1:6">
      <c r="A91" s="216" t="s">
        <v>192</v>
      </c>
      <c r="B91" s="218">
        <v>28.9</v>
      </c>
      <c r="C91" s="218">
        <v>28.9</v>
      </c>
      <c r="D91" s="218">
        <v>28.9</v>
      </c>
      <c r="E91" s="218">
        <v>28.9</v>
      </c>
      <c r="F91" s="218">
        <v>1920.5</v>
      </c>
    </row>
    <row r="92" spans="1:6">
      <c r="A92" s="216" t="s">
        <v>193</v>
      </c>
      <c r="B92" s="217"/>
      <c r="C92" s="217"/>
      <c r="D92" s="217"/>
      <c r="E92" s="217"/>
      <c r="F92" s="217">
        <v>15302.63</v>
      </c>
    </row>
    <row r="93" spans="1:6">
      <c r="A93" s="216" t="s">
        <v>194</v>
      </c>
      <c r="B93" s="218">
        <v>9301.94</v>
      </c>
      <c r="C93" s="218">
        <v>6403.73</v>
      </c>
      <c r="D93" s="218"/>
      <c r="E93" s="218"/>
      <c r="F93" s="218"/>
    </row>
    <row r="94" spans="1:6">
      <c r="A94" s="216" t="s">
        <v>195</v>
      </c>
      <c r="B94" s="217"/>
      <c r="C94" s="217"/>
      <c r="D94" s="217"/>
      <c r="E94" s="217"/>
      <c r="F94" s="217"/>
    </row>
    <row r="95" spans="1:6">
      <c r="A95" s="216" t="s">
        <v>196</v>
      </c>
      <c r="B95" s="218"/>
      <c r="C95" s="218"/>
      <c r="D95" s="218"/>
      <c r="E95" s="218">
        <v>14330.08</v>
      </c>
      <c r="F95" s="218">
        <v>85182.55</v>
      </c>
    </row>
    <row r="96" spans="1:6">
      <c r="A96" s="216" t="s">
        <v>197</v>
      </c>
      <c r="B96" s="217"/>
      <c r="C96" s="217"/>
      <c r="D96" s="217"/>
      <c r="E96" s="217"/>
      <c r="F96" s="217">
        <v>2557.38</v>
      </c>
    </row>
    <row r="97" spans="1:6">
      <c r="A97" s="216" t="s">
        <v>198</v>
      </c>
      <c r="B97" s="218">
        <v>6946.88</v>
      </c>
      <c r="C97" s="218"/>
      <c r="D97" s="218"/>
      <c r="E97" s="218"/>
      <c r="F97" s="218">
        <v>2591.72</v>
      </c>
    </row>
    <row r="98" spans="1:6">
      <c r="A98" s="216" t="s">
        <v>199</v>
      </c>
      <c r="B98" s="217">
        <v>14365.03</v>
      </c>
      <c r="C98" s="217">
        <v>14618.62</v>
      </c>
      <c r="D98" s="217">
        <v>111864.13</v>
      </c>
      <c r="E98" s="217">
        <v>113943.88</v>
      </c>
      <c r="F98" s="217">
        <v>34223.59</v>
      </c>
    </row>
    <row r="99" spans="1:6">
      <c r="A99" s="216" t="s">
        <v>200</v>
      </c>
      <c r="B99" s="218"/>
      <c r="C99" s="218"/>
      <c r="D99" s="218"/>
      <c r="E99" s="218"/>
      <c r="F99" s="218"/>
    </row>
    <row r="100" spans="1:6">
      <c r="A100" s="216" t="s">
        <v>201</v>
      </c>
      <c r="B100" s="217"/>
      <c r="C100" s="217"/>
      <c r="D100" s="217"/>
      <c r="E100" s="217"/>
      <c r="F100" s="217"/>
    </row>
    <row r="101" spans="1:6">
      <c r="A101" s="216" t="s">
        <v>202</v>
      </c>
      <c r="B101" s="218"/>
      <c r="C101" s="218"/>
      <c r="D101" s="218"/>
      <c r="E101" s="218"/>
      <c r="F101" s="218"/>
    </row>
    <row r="102" spans="1:6">
      <c r="A102" s="216" t="s">
        <v>203</v>
      </c>
      <c r="B102" s="217">
        <v>30642.75</v>
      </c>
      <c r="C102" s="217">
        <v>21051.25</v>
      </c>
      <c r="D102" s="217">
        <v>111893.03</v>
      </c>
      <c r="E102" s="217">
        <v>128302.86</v>
      </c>
      <c r="F102" s="217">
        <v>141778.38</v>
      </c>
    </row>
    <row r="103" spans="1:6">
      <c r="A103" s="216" t="s">
        <v>204</v>
      </c>
      <c r="B103" s="218"/>
      <c r="C103" s="218"/>
      <c r="D103" s="218"/>
      <c r="E103" s="218"/>
      <c r="F103" s="218"/>
    </row>
    <row r="104" spans="1:6">
      <c r="A104" s="216" t="s">
        <v>205</v>
      </c>
      <c r="B104" s="217"/>
      <c r="C104" s="217"/>
      <c r="D104" s="217"/>
      <c r="E104" s="217"/>
      <c r="F104" s="217"/>
    </row>
    <row r="105" spans="1:6">
      <c r="A105" s="216" t="s">
        <v>206</v>
      </c>
      <c r="B105" s="218">
        <v>2167168.74</v>
      </c>
      <c r="C105" s="218">
        <v>2406053.78</v>
      </c>
      <c r="D105" s="218">
        <v>1602638.5</v>
      </c>
      <c r="E105" s="218">
        <v>1948505.19</v>
      </c>
      <c r="F105" s="218">
        <v>7456063.29</v>
      </c>
    </row>
    <row r="106" spans="1:6">
      <c r="A106" s="216" t="s">
        <v>207</v>
      </c>
      <c r="B106" s="217"/>
      <c r="C106" s="217"/>
      <c r="D106" s="217"/>
      <c r="E106" s="217"/>
      <c r="F106" s="217"/>
    </row>
    <row r="107" spans="1:6">
      <c r="A107" s="216" t="s">
        <v>208</v>
      </c>
      <c r="B107" s="218">
        <v>607849.26</v>
      </c>
      <c r="C107" s="218">
        <v>607849.26</v>
      </c>
      <c r="D107" s="218">
        <v>606480.01</v>
      </c>
      <c r="E107" s="218">
        <v>606480.01</v>
      </c>
      <c r="F107" s="218">
        <v>421580.85</v>
      </c>
    </row>
    <row r="108" spans="1:6">
      <c r="A108" s="216" t="s">
        <v>209</v>
      </c>
      <c r="B108" s="217"/>
      <c r="C108" s="217"/>
      <c r="D108" s="217"/>
      <c r="E108" s="217"/>
      <c r="F108" s="217"/>
    </row>
    <row r="109" spans="1:6">
      <c r="A109" s="216" t="s">
        <v>210</v>
      </c>
      <c r="B109" s="218"/>
      <c r="C109" s="218"/>
      <c r="D109" s="218"/>
      <c r="E109" s="218"/>
      <c r="F109" s="218"/>
    </row>
    <row r="110" spans="1:6">
      <c r="A110" s="216" t="s">
        <v>211</v>
      </c>
      <c r="B110" s="217">
        <v>278879.91</v>
      </c>
      <c r="C110" s="217">
        <v>276553.46</v>
      </c>
      <c r="D110" s="217">
        <v>247636.01</v>
      </c>
      <c r="E110" s="217">
        <v>247670.79</v>
      </c>
      <c r="F110" s="217">
        <v>1302488.32</v>
      </c>
    </row>
    <row r="111" spans="1:6">
      <c r="A111" s="216" t="s">
        <v>212</v>
      </c>
      <c r="B111" s="218">
        <v>20169.05</v>
      </c>
      <c r="C111" s="218">
        <v>20169.05</v>
      </c>
      <c r="D111" s="218"/>
      <c r="E111" s="218"/>
      <c r="F111" s="218"/>
    </row>
    <row r="112" spans="1:6">
      <c r="A112" s="216" t="s">
        <v>213</v>
      </c>
      <c r="B112" s="217">
        <v>-12355.49</v>
      </c>
      <c r="C112" s="217">
        <v>-7139.33</v>
      </c>
      <c r="D112" s="217">
        <v>36195</v>
      </c>
      <c r="E112" s="217">
        <v>19688.06</v>
      </c>
      <c r="F112" s="217">
        <v>-77429.88</v>
      </c>
    </row>
    <row r="113" spans="1:6">
      <c r="A113" s="216" t="s">
        <v>214</v>
      </c>
      <c r="B113" s="218"/>
      <c r="C113" s="218"/>
      <c r="D113" s="218"/>
      <c r="E113" s="218"/>
      <c r="F113" s="218"/>
    </row>
    <row r="114" spans="1:6">
      <c r="A114" s="216" t="s">
        <v>215</v>
      </c>
      <c r="B114" s="217">
        <v>242265.39</v>
      </c>
      <c r="C114" s="217">
        <v>242265.39</v>
      </c>
      <c r="D114" s="217">
        <v>188590.18</v>
      </c>
      <c r="E114" s="217">
        <v>145489.78</v>
      </c>
      <c r="F114" s="217">
        <v>118979.13</v>
      </c>
    </row>
    <row r="115" spans="1:6">
      <c r="A115" s="216" t="s">
        <v>216</v>
      </c>
      <c r="B115" s="218"/>
      <c r="C115" s="218"/>
      <c r="D115" s="218"/>
      <c r="E115" s="218"/>
      <c r="F115" s="218"/>
    </row>
    <row r="116" spans="1:6">
      <c r="A116" s="216" t="s">
        <v>217</v>
      </c>
      <c r="B116" s="217">
        <v>1621002.75</v>
      </c>
      <c r="C116" s="217">
        <v>1410979.19</v>
      </c>
      <c r="D116" s="217">
        <v>1229275.47</v>
      </c>
      <c r="E116" s="217">
        <v>979111.1</v>
      </c>
      <c r="F116" s="217">
        <v>2181431.57</v>
      </c>
    </row>
    <row r="117" spans="1:6">
      <c r="A117" s="216" t="s">
        <v>218</v>
      </c>
      <c r="B117" s="218"/>
      <c r="C117" s="218"/>
      <c r="D117" s="218"/>
      <c r="E117" s="218"/>
      <c r="F117" s="218"/>
    </row>
    <row r="118" spans="1:6">
      <c r="A118" s="216" t="s">
        <v>219</v>
      </c>
      <c r="B118" s="217"/>
      <c r="C118" s="217"/>
      <c r="D118" s="217"/>
      <c r="E118" s="217"/>
      <c r="F118" s="217"/>
    </row>
    <row r="119" spans="1:6">
      <c r="A119" s="216" t="s">
        <v>220</v>
      </c>
      <c r="B119" s="218"/>
      <c r="C119" s="218"/>
      <c r="D119" s="218"/>
      <c r="E119" s="218"/>
      <c r="F119" s="218"/>
    </row>
    <row r="120" spans="1:6">
      <c r="A120" s="216" t="s">
        <v>221</v>
      </c>
      <c r="B120" s="217"/>
      <c r="C120" s="217"/>
      <c r="D120" s="217"/>
      <c r="E120" s="217"/>
      <c r="F120" s="217"/>
    </row>
    <row r="121" spans="1:6">
      <c r="A121" s="216" t="s">
        <v>222</v>
      </c>
      <c r="B121" s="218">
        <v>2717472.77</v>
      </c>
      <c r="C121" s="218">
        <v>2510338.92</v>
      </c>
      <c r="D121" s="218">
        <v>2308176.67</v>
      </c>
      <c r="E121" s="218">
        <v>1998439.74</v>
      </c>
      <c r="F121" s="218">
        <v>3947049.98</v>
      </c>
    </row>
    <row r="122" spans="1:6">
      <c r="A122" s="216" t="s">
        <v>223</v>
      </c>
      <c r="B122" s="217">
        <v>13827.49</v>
      </c>
      <c r="C122" s="217">
        <v>13642.83</v>
      </c>
      <c r="D122" s="217">
        <v>15412.12</v>
      </c>
      <c r="E122" s="217">
        <v>16151.89</v>
      </c>
      <c r="F122" s="217">
        <v>626095.54</v>
      </c>
    </row>
    <row r="123" spans="1:6">
      <c r="A123" s="216" t="s">
        <v>224</v>
      </c>
      <c r="B123" s="218">
        <v>2731300.27</v>
      </c>
      <c r="C123" s="218">
        <v>2523981.75</v>
      </c>
      <c r="D123" s="218">
        <v>2323588.79</v>
      </c>
      <c r="E123" s="218">
        <v>2014591.63</v>
      </c>
      <c r="F123" s="218">
        <v>4573145.52</v>
      </c>
    </row>
    <row r="124" spans="1:6">
      <c r="A124" s="216" t="s">
        <v>225</v>
      </c>
      <c r="B124" s="217"/>
      <c r="C124" s="217"/>
      <c r="D124" s="217"/>
      <c r="E124" s="217"/>
      <c r="F124" s="217"/>
    </row>
    <row r="125" spans="1:6">
      <c r="A125" s="216" t="s">
        <v>226</v>
      </c>
      <c r="B125" s="218"/>
      <c r="C125" s="218"/>
      <c r="D125" s="218"/>
      <c r="E125" s="218"/>
      <c r="F125" s="218"/>
    </row>
    <row r="126" spans="1:6">
      <c r="A126" s="216" t="s">
        <v>227</v>
      </c>
      <c r="B126" s="217">
        <v>4898469.01</v>
      </c>
      <c r="C126" s="217">
        <v>4930035.53</v>
      </c>
      <c r="D126" s="217">
        <v>3926227.29</v>
      </c>
      <c r="E126" s="217">
        <v>3963096.82</v>
      </c>
      <c r="F126" s="217">
        <v>12029208.82</v>
      </c>
    </row>
    <row r="127" spans="1:6">
      <c r="A127" s="216" t="s">
        <v>96</v>
      </c>
      <c r="B127" s="220" t="s">
        <v>97</v>
      </c>
      <c r="C127" s="220" t="s">
        <v>97</v>
      </c>
      <c r="D127" s="220" t="s">
        <v>97</v>
      </c>
      <c r="E127" s="220" t="s">
        <v>97</v>
      </c>
      <c r="F127" s="220" t="s">
        <v>97</v>
      </c>
    </row>
    <row r="128" spans="1:6">
      <c r="A128" s="216" t="s">
        <v>98</v>
      </c>
      <c r="B128" s="219" t="s">
        <v>97</v>
      </c>
      <c r="C128" s="219" t="s">
        <v>97</v>
      </c>
      <c r="D128" s="219" t="s">
        <v>97</v>
      </c>
      <c r="E128" s="219" t="s">
        <v>97</v>
      </c>
      <c r="F128" s="219" t="s">
        <v>97</v>
      </c>
    </row>
    <row r="129" spans="1:6">
      <c r="A129" s="216" t="s">
        <v>99</v>
      </c>
      <c r="B129" s="220">
        <v>1</v>
      </c>
      <c r="C129" s="220">
        <v>1</v>
      </c>
      <c r="D129" s="220">
        <v>1</v>
      </c>
      <c r="E129" s="220">
        <v>1</v>
      </c>
      <c r="F129" s="220">
        <v>1</v>
      </c>
    </row>
    <row r="130" spans="1:6">
      <c r="A130" s="216" t="s">
        <v>100</v>
      </c>
      <c r="B130" s="222" t="s">
        <v>101</v>
      </c>
      <c r="C130" s="222" t="s">
        <v>101</v>
      </c>
      <c r="D130" s="222" t="s">
        <v>101</v>
      </c>
      <c r="E130" s="222" t="s">
        <v>101</v>
      </c>
      <c r="F130" s="222" t="s">
        <v>101</v>
      </c>
    </row>
    <row r="131" spans="1:6">
      <c r="A131" s="216" t="s">
        <v>102</v>
      </c>
      <c r="B131" s="221"/>
      <c r="C131" s="221" t="s">
        <v>103</v>
      </c>
      <c r="D131" s="221" t="s">
        <v>103</v>
      </c>
      <c r="E131" s="221" t="s">
        <v>103</v>
      </c>
      <c r="F131" s="221" t="s">
        <v>103</v>
      </c>
    </row>
    <row r="132" spans="1:6">
      <c r="A132" s="216" t="s">
        <v>104</v>
      </c>
      <c r="B132" s="222"/>
      <c r="C132" s="222"/>
      <c r="D132" s="222"/>
      <c r="E132" s="222"/>
      <c r="F132" s="222"/>
    </row>
    <row r="133" spans="1:6">
      <c r="A133" s="216" t="s">
        <v>105</v>
      </c>
      <c r="B133" s="221">
        <v>43217</v>
      </c>
      <c r="C133" s="221">
        <v>43217</v>
      </c>
      <c r="D133" s="221">
        <v>42825</v>
      </c>
      <c r="E133" s="221">
        <v>42460</v>
      </c>
      <c r="F133" s="221">
        <v>42094</v>
      </c>
    </row>
    <row r="134" spans="1:6">
      <c r="A134" s="216" t="s">
        <v>106</v>
      </c>
      <c r="B134" s="222" t="s">
        <v>107</v>
      </c>
      <c r="C134" s="222" t="s">
        <v>107</v>
      </c>
      <c r="D134" s="222" t="s">
        <v>107</v>
      </c>
      <c r="E134" s="222" t="s">
        <v>107</v>
      </c>
      <c r="F134" s="222" t="s">
        <v>107</v>
      </c>
    </row>
  </sheetData>
  <pageMargins left="0.699305555555556" right="0.699305555555556"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3"/>
  <sheetViews>
    <sheetView workbookViewId="0">
      <pane xSplit="1" ySplit="5" topLeftCell="B6" activePane="bottomRight" state="frozen"/>
      <selection/>
      <selection pane="topRight"/>
      <selection pane="bottomLeft"/>
      <selection pane="bottomRight" activeCell="B6" sqref="B6"/>
    </sheetView>
  </sheetViews>
  <sheetFormatPr defaultColWidth="9" defaultRowHeight="13.5" outlineLevelCol="5"/>
  <cols>
    <col min="1" max="1" width="46.375" customWidth="1"/>
    <col min="2" max="2" width="13.875" customWidth="1"/>
    <col min="3" max="6" width="15" customWidth="1"/>
  </cols>
  <sheetData>
    <row r="1" spans="1:2">
      <c r="A1" s="208" t="s">
        <v>0</v>
      </c>
      <c r="B1" s="209" t="s">
        <v>1</v>
      </c>
    </row>
    <row r="2" spans="1:2">
      <c r="A2" s="208" t="s">
        <v>2</v>
      </c>
      <c r="B2" s="210" t="e">
        <f>[3]!S_INFO_NAME($B$1)</f>
        <v>#NAME?</v>
      </c>
    </row>
    <row r="3" spans="1:1">
      <c r="A3" s="211" t="e">
        <f>[3]!WFR(B1,"2014:2018","Func=F90159","rptType=1","singleSeason=0","unit=10000","currencyType=ORIG","order=LEFT","rate=HISTORY","version=1","quarterindic=0","showcurrency=1","reportPeriod=24","cols=4;rows=119")</f>
        <v>#NAME?</v>
      </c>
    </row>
    <row r="4" spans="1:6">
      <c r="A4" s="212" t="s">
        <v>228</v>
      </c>
      <c r="B4" s="213"/>
      <c r="C4" s="213"/>
      <c r="D4" s="213"/>
      <c r="E4" s="213"/>
      <c r="F4" s="213"/>
    </row>
    <row r="5" spans="1:6">
      <c r="A5" s="214" t="s">
        <v>4</v>
      </c>
      <c r="B5" s="215">
        <v>43190</v>
      </c>
      <c r="C5" s="215">
        <v>43100</v>
      </c>
      <c r="D5" s="215">
        <v>42735</v>
      </c>
      <c r="E5" s="215">
        <v>42369</v>
      </c>
      <c r="F5" s="215">
        <v>42004</v>
      </c>
    </row>
    <row r="6" spans="1:6">
      <c r="A6" s="216" t="s">
        <v>5</v>
      </c>
      <c r="B6" s="217" t="s">
        <v>6</v>
      </c>
      <c r="C6" s="217" t="s">
        <v>7</v>
      </c>
      <c r="D6" s="217" t="s">
        <v>7</v>
      </c>
      <c r="E6" s="217" t="s">
        <v>7</v>
      </c>
      <c r="F6" s="217" t="s">
        <v>7</v>
      </c>
    </row>
    <row r="7" spans="1:6">
      <c r="A7" s="216" t="s">
        <v>8</v>
      </c>
      <c r="B7" s="218" t="s">
        <v>9</v>
      </c>
      <c r="C7" s="218" t="s">
        <v>9</v>
      </c>
      <c r="D7" s="218" t="s">
        <v>9</v>
      </c>
      <c r="E7" s="218" t="s">
        <v>9</v>
      </c>
      <c r="F7" s="218" t="s">
        <v>9</v>
      </c>
    </row>
    <row r="8" spans="1:6">
      <c r="A8" s="216" t="s">
        <v>229</v>
      </c>
      <c r="B8" s="217"/>
      <c r="C8" s="217"/>
      <c r="D8" s="217"/>
      <c r="E8" s="217"/>
      <c r="F8" s="217"/>
    </row>
    <row r="9" spans="1:6">
      <c r="A9" s="216" t="s">
        <v>230</v>
      </c>
      <c r="B9" s="218">
        <v>2072475.5</v>
      </c>
      <c r="C9" s="218">
        <v>7569902.75</v>
      </c>
      <c r="D9" s="218">
        <v>6761509.52</v>
      </c>
      <c r="E9" s="218">
        <v>6892160.45</v>
      </c>
      <c r="F9" s="218">
        <v>10549909.67</v>
      </c>
    </row>
    <row r="10" spans="1:6">
      <c r="A10" s="216" t="s">
        <v>231</v>
      </c>
      <c r="B10" s="217"/>
      <c r="C10" s="217">
        <v>205.81</v>
      </c>
      <c r="D10" s="217">
        <v>170.15</v>
      </c>
      <c r="E10" s="217">
        <v>3.08</v>
      </c>
      <c r="F10" s="217">
        <v>366166.7</v>
      </c>
    </row>
    <row r="11" spans="1:6">
      <c r="A11" s="216" t="s">
        <v>232</v>
      </c>
      <c r="B11" s="218">
        <v>26914.81</v>
      </c>
      <c r="C11" s="218">
        <v>143724.17</v>
      </c>
      <c r="D11" s="218">
        <v>145253.79</v>
      </c>
      <c r="E11" s="218">
        <v>101948.32</v>
      </c>
      <c r="F11" s="218">
        <v>249418.53</v>
      </c>
    </row>
    <row r="12" spans="1:6">
      <c r="A12" s="216" t="s">
        <v>233</v>
      </c>
      <c r="B12" s="217">
        <v>20191.8</v>
      </c>
      <c r="C12" s="217">
        <v>37604.9</v>
      </c>
      <c r="D12" s="217">
        <v>33711.77</v>
      </c>
      <c r="E12" s="217">
        <v>49446.06</v>
      </c>
      <c r="F12" s="217">
        <v>56051.66</v>
      </c>
    </row>
    <row r="13" spans="1:6">
      <c r="A13" s="216" t="s">
        <v>234</v>
      </c>
      <c r="B13" s="218"/>
      <c r="C13" s="218"/>
      <c r="D13" s="218"/>
      <c r="E13" s="218"/>
      <c r="F13" s="218"/>
    </row>
    <row r="14" spans="1:6">
      <c r="A14" s="216" t="s">
        <v>235</v>
      </c>
      <c r="B14" s="217"/>
      <c r="C14" s="217"/>
      <c r="D14" s="217"/>
      <c r="E14" s="217"/>
      <c r="F14" s="217">
        <v>743.28</v>
      </c>
    </row>
    <row r="15" spans="1:6">
      <c r="A15" s="216" t="s">
        <v>236</v>
      </c>
      <c r="B15" s="218"/>
      <c r="C15" s="218"/>
      <c r="D15" s="218"/>
      <c r="E15" s="218"/>
      <c r="F15" s="218">
        <v>-8970.8</v>
      </c>
    </row>
    <row r="16" spans="1:6">
      <c r="A16" s="216" t="s">
        <v>237</v>
      </c>
      <c r="B16" s="217"/>
      <c r="C16" s="217"/>
      <c r="D16" s="217"/>
      <c r="E16" s="217"/>
      <c r="F16" s="217"/>
    </row>
    <row r="17" spans="1:6">
      <c r="A17" s="216" t="s">
        <v>238</v>
      </c>
      <c r="B17" s="218">
        <v>20191.8</v>
      </c>
      <c r="C17" s="218">
        <v>37604.9</v>
      </c>
      <c r="D17" s="218">
        <v>33711.77</v>
      </c>
      <c r="E17" s="218">
        <v>49446.06</v>
      </c>
      <c r="F17" s="218">
        <v>64279.19</v>
      </c>
    </row>
    <row r="18" spans="1:6">
      <c r="A18" s="216" t="s">
        <v>239</v>
      </c>
      <c r="B18" s="217"/>
      <c r="C18" s="217"/>
      <c r="D18" s="217"/>
      <c r="E18" s="217"/>
      <c r="F18" s="217"/>
    </row>
    <row r="19" spans="1:6">
      <c r="A19" s="216" t="s">
        <v>240</v>
      </c>
      <c r="B19" s="218"/>
      <c r="C19" s="218"/>
      <c r="D19" s="218"/>
      <c r="E19" s="218"/>
      <c r="F19" s="218"/>
    </row>
    <row r="20" spans="1:6">
      <c r="A20" s="216" t="s">
        <v>241</v>
      </c>
      <c r="B20" s="217"/>
      <c r="C20" s="217"/>
      <c r="D20" s="217"/>
      <c r="E20" s="217"/>
      <c r="F20" s="217"/>
    </row>
    <row r="21" spans="1:6">
      <c r="A21" s="216" t="s">
        <v>242</v>
      </c>
      <c r="B21" s="218"/>
      <c r="C21" s="218"/>
      <c r="D21" s="218"/>
      <c r="E21" s="218"/>
      <c r="F21" s="218"/>
    </row>
    <row r="22" spans="1:6">
      <c r="A22" s="216" t="s">
        <v>243</v>
      </c>
      <c r="B22" s="217"/>
      <c r="C22" s="217"/>
      <c r="D22" s="217"/>
      <c r="E22" s="217"/>
      <c r="F22" s="217"/>
    </row>
    <row r="23" spans="1:6">
      <c r="A23" s="216" t="s">
        <v>244</v>
      </c>
      <c r="B23" s="218"/>
      <c r="C23" s="218"/>
      <c r="D23" s="218"/>
      <c r="E23" s="218"/>
      <c r="F23" s="218"/>
    </row>
    <row r="24" spans="1:6">
      <c r="A24" s="216" t="s">
        <v>245</v>
      </c>
      <c r="B24" s="217"/>
      <c r="C24" s="217"/>
      <c r="D24" s="217"/>
      <c r="E24" s="217"/>
      <c r="F24" s="217"/>
    </row>
    <row r="25" spans="1:6">
      <c r="A25" s="216" t="s">
        <v>246</v>
      </c>
      <c r="B25" s="218">
        <v>2119582.1</v>
      </c>
      <c r="C25" s="218">
        <v>7751437.63</v>
      </c>
      <c r="D25" s="218">
        <v>6940645.23</v>
      </c>
      <c r="E25" s="218">
        <v>7043557.92</v>
      </c>
      <c r="F25" s="218">
        <v>11221546.56</v>
      </c>
    </row>
    <row r="26" spans="1:6">
      <c r="A26" s="216" t="s">
        <v>247</v>
      </c>
      <c r="B26" s="217">
        <v>1615033.69</v>
      </c>
      <c r="C26" s="217">
        <v>5793473.94</v>
      </c>
      <c r="D26" s="217">
        <v>4598671.08</v>
      </c>
      <c r="E26" s="217">
        <v>5084315.71</v>
      </c>
      <c r="F26" s="217">
        <v>5128077.16</v>
      </c>
    </row>
    <row r="27" spans="1:6">
      <c r="A27" s="216" t="s">
        <v>248</v>
      </c>
      <c r="B27" s="218">
        <v>208539.06</v>
      </c>
      <c r="C27" s="218">
        <v>596926.52</v>
      </c>
      <c r="D27" s="218">
        <v>600151.47</v>
      </c>
      <c r="E27" s="218">
        <v>633662.33</v>
      </c>
      <c r="F27" s="218">
        <v>1042638.1</v>
      </c>
    </row>
    <row r="28" spans="1:6">
      <c r="A28" s="216" t="s">
        <v>249</v>
      </c>
      <c r="B28" s="217">
        <v>110582.81</v>
      </c>
      <c r="C28" s="217">
        <v>462934.07</v>
      </c>
      <c r="D28" s="217">
        <v>392174.42</v>
      </c>
      <c r="E28" s="217">
        <v>365451.03</v>
      </c>
      <c r="F28" s="217">
        <v>846541.33</v>
      </c>
    </row>
    <row r="29" spans="1:6">
      <c r="A29" s="216" t="s">
        <v>250</v>
      </c>
      <c r="B29" s="218">
        <v>24072.26</v>
      </c>
      <c r="C29" s="218">
        <v>139611.04</v>
      </c>
      <c r="D29" s="218">
        <v>109104.74</v>
      </c>
      <c r="E29" s="218">
        <v>102781.88</v>
      </c>
      <c r="F29" s="218">
        <v>1560617.2</v>
      </c>
    </row>
    <row r="30" spans="1:6">
      <c r="A30" s="216" t="s">
        <v>251</v>
      </c>
      <c r="B30" s="217">
        <v>-5652.2</v>
      </c>
      <c r="C30" s="217">
        <v>57862.34</v>
      </c>
      <c r="D30" s="217">
        <v>-41189.07</v>
      </c>
      <c r="E30" s="217">
        <v>-96302.89</v>
      </c>
      <c r="F30" s="217">
        <v>164821.65</v>
      </c>
    </row>
    <row r="31" spans="1:6">
      <c r="A31" s="216" t="s">
        <v>252</v>
      </c>
      <c r="B31" s="218"/>
      <c r="C31" s="218"/>
      <c r="D31" s="218"/>
      <c r="E31" s="218"/>
      <c r="F31" s="218">
        <v>88418.34</v>
      </c>
    </row>
    <row r="32" spans="1:6">
      <c r="A32" s="216" t="s">
        <v>253</v>
      </c>
      <c r="B32" s="217">
        <v>-5652.2</v>
      </c>
      <c r="C32" s="217">
        <v>57848.17</v>
      </c>
      <c r="D32" s="217">
        <v>-41189.07</v>
      </c>
      <c r="E32" s="217">
        <v>-96302.89</v>
      </c>
      <c r="F32" s="217">
        <v>35783.84</v>
      </c>
    </row>
    <row r="33" spans="1:6">
      <c r="A33" s="216" t="s">
        <v>254</v>
      </c>
      <c r="B33" s="218"/>
      <c r="C33" s="218"/>
      <c r="D33" s="218"/>
      <c r="E33" s="218"/>
      <c r="F33" s="218"/>
    </row>
    <row r="34" spans="1:6">
      <c r="A34" s="216" t="s">
        <v>255</v>
      </c>
      <c r="B34" s="217"/>
      <c r="C34" s="217">
        <v>14.17</v>
      </c>
      <c r="D34" s="217"/>
      <c r="E34" s="217"/>
      <c r="F34" s="217">
        <v>40619.47</v>
      </c>
    </row>
    <row r="35" spans="1:6">
      <c r="A35" s="216" t="s">
        <v>256</v>
      </c>
      <c r="B35" s="218"/>
      <c r="C35" s="218"/>
      <c r="D35" s="218"/>
      <c r="E35" s="218"/>
      <c r="F35" s="218"/>
    </row>
    <row r="36" spans="1:6">
      <c r="A36" s="216" t="s">
        <v>257</v>
      </c>
      <c r="B36" s="217"/>
      <c r="C36" s="217"/>
      <c r="D36" s="217"/>
      <c r="E36" s="217"/>
      <c r="F36" s="217"/>
    </row>
    <row r="37" spans="1:6">
      <c r="A37" s="216" t="s">
        <v>258</v>
      </c>
      <c r="B37" s="218"/>
      <c r="C37" s="218"/>
      <c r="D37" s="218"/>
      <c r="E37" s="218"/>
      <c r="F37" s="218"/>
    </row>
    <row r="38" spans="1:6">
      <c r="A38" s="216" t="s">
        <v>259</v>
      </c>
      <c r="B38" s="217">
        <v>1952575.62</v>
      </c>
      <c r="C38" s="217">
        <v>7050807.91</v>
      </c>
      <c r="D38" s="217">
        <v>5658912.65</v>
      </c>
      <c r="E38" s="217">
        <v>6089908.06</v>
      </c>
      <c r="F38" s="217">
        <v>8742695.45</v>
      </c>
    </row>
    <row r="39" spans="1:6">
      <c r="A39" s="216" t="s">
        <v>260</v>
      </c>
      <c r="B39" s="218"/>
      <c r="C39" s="218"/>
      <c r="D39" s="218"/>
      <c r="E39" s="218"/>
      <c r="F39" s="218"/>
    </row>
    <row r="40" spans="1:6">
      <c r="A40" s="216" t="s">
        <v>261</v>
      </c>
      <c r="B40" s="217">
        <v>167006.49</v>
      </c>
      <c r="C40" s="217">
        <v>700629.72</v>
      </c>
      <c r="D40" s="217">
        <v>1281732.58</v>
      </c>
      <c r="E40" s="217">
        <v>953649.86</v>
      </c>
      <c r="F40" s="217">
        <v>2478851.11</v>
      </c>
    </row>
    <row r="41" spans="1:6">
      <c r="A41" s="216" t="s">
        <v>262</v>
      </c>
      <c r="B41" s="218"/>
      <c r="C41" s="218"/>
      <c r="D41" s="218"/>
      <c r="E41" s="218"/>
      <c r="F41" s="218"/>
    </row>
    <row r="42" spans="1:6">
      <c r="A42" s="216" t="s">
        <v>263</v>
      </c>
      <c r="B42" s="217">
        <v>1367.59</v>
      </c>
      <c r="C42" s="217">
        <v>1452.22</v>
      </c>
      <c r="D42" s="217">
        <v>42064.75</v>
      </c>
      <c r="E42" s="217">
        <v>18994.47</v>
      </c>
      <c r="F42" s="217"/>
    </row>
    <row r="43" spans="1:6">
      <c r="A43" s="216" t="s">
        <v>264</v>
      </c>
      <c r="B43" s="218">
        <v>1590.29</v>
      </c>
      <c r="C43" s="218">
        <v>5313.81</v>
      </c>
      <c r="D43" s="218">
        <v>13321.07</v>
      </c>
      <c r="E43" s="218">
        <v>6353.92</v>
      </c>
      <c r="F43" s="218">
        <v>134543.43</v>
      </c>
    </row>
    <row r="44" spans="1:6">
      <c r="A44" s="216" t="s">
        <v>265</v>
      </c>
      <c r="B44" s="217">
        <v>2024.94</v>
      </c>
      <c r="C44" s="217">
        <v>7280.2</v>
      </c>
      <c r="D44" s="217">
        <v>2287.58</v>
      </c>
      <c r="E44" s="217">
        <v>2636.18</v>
      </c>
      <c r="F44" s="217">
        <v>127349.08</v>
      </c>
    </row>
    <row r="45" spans="1:6">
      <c r="A45" s="216" t="s">
        <v>266</v>
      </c>
      <c r="B45" s="218"/>
      <c r="C45" s="218"/>
      <c r="D45" s="218">
        <v>122790.1</v>
      </c>
      <c r="E45" s="218">
        <v>4479.51</v>
      </c>
      <c r="F45" s="218"/>
    </row>
    <row r="46" spans="1:6">
      <c r="A46" s="216" t="s">
        <v>267</v>
      </c>
      <c r="B46" s="217"/>
      <c r="C46" s="217">
        <v>13908.57</v>
      </c>
      <c r="D46" s="217"/>
      <c r="E46" s="217"/>
      <c r="F46" s="217"/>
    </row>
    <row r="47" spans="1:6">
      <c r="A47" s="216" t="s">
        <v>268</v>
      </c>
      <c r="B47" s="218"/>
      <c r="C47" s="218"/>
      <c r="D47" s="218"/>
      <c r="E47" s="218"/>
      <c r="F47" s="218"/>
    </row>
    <row r="48" spans="1:6">
      <c r="A48" s="216" t="s">
        <v>269</v>
      </c>
      <c r="B48" s="217"/>
      <c r="C48" s="217"/>
      <c r="D48" s="217"/>
      <c r="E48" s="217"/>
      <c r="F48" s="217"/>
    </row>
    <row r="49" spans="1:6">
      <c r="A49" s="216" t="s">
        <v>270</v>
      </c>
      <c r="B49" s="218">
        <v>4982.81</v>
      </c>
      <c r="C49" s="218">
        <v>27954.81</v>
      </c>
      <c r="D49" s="218">
        <v>180463.5</v>
      </c>
      <c r="E49" s="218">
        <v>32464.08</v>
      </c>
      <c r="F49" s="218">
        <v>261892.51</v>
      </c>
    </row>
    <row r="50" spans="1:6">
      <c r="A50" s="216" t="s">
        <v>271</v>
      </c>
      <c r="B50" s="217">
        <v>140992.69</v>
      </c>
      <c r="C50" s="217">
        <v>335135.95</v>
      </c>
      <c r="D50" s="217">
        <v>341900.72</v>
      </c>
      <c r="E50" s="217">
        <v>365213.16</v>
      </c>
      <c r="F50" s="217">
        <v>267817.91</v>
      </c>
    </row>
    <row r="51" spans="1:6">
      <c r="A51" s="216" t="s">
        <v>272</v>
      </c>
      <c r="B51" s="218">
        <v>2500</v>
      </c>
      <c r="C51" s="218">
        <v>4500</v>
      </c>
      <c r="D51" s="218">
        <v>148923.81</v>
      </c>
      <c r="E51" s="218">
        <v>15944.8</v>
      </c>
      <c r="F51" s="218">
        <v>2880077.54</v>
      </c>
    </row>
    <row r="52" spans="1:6">
      <c r="A52" s="216" t="s">
        <v>273</v>
      </c>
      <c r="B52" s="217"/>
      <c r="C52" s="217"/>
      <c r="D52" s="217"/>
      <c r="E52" s="217"/>
      <c r="F52" s="217">
        <v>236.81</v>
      </c>
    </row>
    <row r="53" spans="1:6">
      <c r="A53" s="216" t="s">
        <v>274</v>
      </c>
      <c r="B53" s="218">
        <v>67.65</v>
      </c>
      <c r="C53" s="218"/>
      <c r="D53" s="218">
        <v>13960.19</v>
      </c>
      <c r="E53" s="218"/>
      <c r="F53" s="218"/>
    </row>
    <row r="54" spans="1:6">
      <c r="A54" s="216" t="s">
        <v>275</v>
      </c>
      <c r="B54" s="217"/>
      <c r="C54" s="217"/>
      <c r="D54" s="217"/>
      <c r="E54" s="217"/>
      <c r="F54" s="217"/>
    </row>
    <row r="55" spans="1:6">
      <c r="A55" s="216" t="s">
        <v>276</v>
      </c>
      <c r="B55" s="218"/>
      <c r="C55" s="218"/>
      <c r="D55" s="218"/>
      <c r="E55" s="218"/>
      <c r="F55" s="218"/>
    </row>
    <row r="56" spans="1:6">
      <c r="A56" s="216" t="s">
        <v>277</v>
      </c>
      <c r="B56" s="217">
        <v>143560.34</v>
      </c>
      <c r="C56" s="217">
        <v>339635.95</v>
      </c>
      <c r="D56" s="217">
        <v>504784.71</v>
      </c>
      <c r="E56" s="217">
        <v>381157.96</v>
      </c>
      <c r="F56" s="217">
        <v>3148132.26</v>
      </c>
    </row>
    <row r="57" spans="1:6">
      <c r="A57" s="216" t="s">
        <v>278</v>
      </c>
      <c r="B57" s="218"/>
      <c r="C57" s="218"/>
      <c r="D57" s="218"/>
      <c r="E57" s="218"/>
      <c r="F57" s="218"/>
    </row>
    <row r="58" spans="1:6">
      <c r="A58" s="216" t="s">
        <v>279</v>
      </c>
      <c r="B58" s="217">
        <v>-138577.52</v>
      </c>
      <c r="C58" s="217">
        <v>-311681.14</v>
      </c>
      <c r="D58" s="217">
        <v>-324321.21</v>
      </c>
      <c r="E58" s="217">
        <v>-348693.87</v>
      </c>
      <c r="F58" s="217">
        <v>-2886239.75</v>
      </c>
    </row>
    <row r="59" spans="1:6">
      <c r="A59" s="216" t="s">
        <v>280</v>
      </c>
      <c r="B59" s="218"/>
      <c r="C59" s="218"/>
      <c r="D59" s="218"/>
      <c r="E59" s="218"/>
      <c r="F59" s="218"/>
    </row>
    <row r="60" spans="1:6">
      <c r="A60" s="216" t="s">
        <v>281</v>
      </c>
      <c r="B60" s="217">
        <v>1800</v>
      </c>
      <c r="C60" s="217">
        <v>21768.6</v>
      </c>
      <c r="D60" s="217"/>
      <c r="E60" s="217"/>
      <c r="F60" s="217">
        <v>792.79</v>
      </c>
    </row>
    <row r="61" spans="1:6">
      <c r="A61" s="216" t="s">
        <v>282</v>
      </c>
      <c r="B61" s="218">
        <v>1800</v>
      </c>
      <c r="C61" s="218"/>
      <c r="D61" s="218"/>
      <c r="E61" s="218"/>
      <c r="F61" s="218">
        <v>792.79</v>
      </c>
    </row>
    <row r="62" spans="1:6">
      <c r="A62" s="216" t="s">
        <v>283</v>
      </c>
      <c r="B62" s="217">
        <v>180000</v>
      </c>
      <c r="C62" s="217">
        <v>846000</v>
      </c>
      <c r="D62" s="217">
        <v>55000</v>
      </c>
      <c r="E62" s="217">
        <v>1082082.47</v>
      </c>
      <c r="F62" s="217">
        <v>3728884.61</v>
      </c>
    </row>
    <row r="63" spans="1:6">
      <c r="A63" s="216" t="s">
        <v>284</v>
      </c>
      <c r="B63" s="218"/>
      <c r="C63" s="218"/>
      <c r="D63" s="218"/>
      <c r="E63" s="218"/>
      <c r="F63" s="218"/>
    </row>
    <row r="64" spans="1:6">
      <c r="A64" s="216" t="s">
        <v>285</v>
      </c>
      <c r="B64" s="217"/>
      <c r="C64" s="217"/>
      <c r="D64" s="217"/>
      <c r="E64" s="217"/>
      <c r="F64" s="217"/>
    </row>
    <row r="65" spans="1:6">
      <c r="A65" s="216" t="s">
        <v>286</v>
      </c>
      <c r="B65" s="218"/>
      <c r="C65" s="218"/>
      <c r="D65" s="218"/>
      <c r="E65" s="218"/>
      <c r="F65" s="218"/>
    </row>
    <row r="66" spans="1:6">
      <c r="A66" s="216" t="s">
        <v>287</v>
      </c>
      <c r="B66" s="217"/>
      <c r="C66" s="217"/>
      <c r="D66" s="217"/>
      <c r="E66" s="217"/>
      <c r="F66" s="217"/>
    </row>
    <row r="67" spans="1:6">
      <c r="A67" s="216" t="s">
        <v>288</v>
      </c>
      <c r="B67" s="218">
        <v>181800</v>
      </c>
      <c r="C67" s="218">
        <v>867768.6</v>
      </c>
      <c r="D67" s="218">
        <v>55000</v>
      </c>
      <c r="E67" s="218">
        <v>1082082.47</v>
      </c>
      <c r="F67" s="218">
        <v>3729677.4</v>
      </c>
    </row>
    <row r="68" spans="1:6">
      <c r="A68" s="216" t="s">
        <v>289</v>
      </c>
      <c r="B68" s="217">
        <v>360000</v>
      </c>
      <c r="C68" s="217">
        <v>75000</v>
      </c>
      <c r="D68" s="217">
        <v>658800</v>
      </c>
      <c r="E68" s="217">
        <v>1340649.39</v>
      </c>
      <c r="F68" s="217">
        <v>3965430.9</v>
      </c>
    </row>
    <row r="69" spans="1:6">
      <c r="A69" s="216" t="s">
        <v>290</v>
      </c>
      <c r="B69" s="218">
        <v>7815.3</v>
      </c>
      <c r="C69" s="218">
        <v>384542.89</v>
      </c>
      <c r="D69" s="218">
        <v>277623.31</v>
      </c>
      <c r="E69" s="218">
        <v>265896.93</v>
      </c>
      <c r="F69" s="218">
        <v>405259.5</v>
      </c>
    </row>
    <row r="70" spans="1:6">
      <c r="A70" s="216" t="s">
        <v>291</v>
      </c>
      <c r="B70" s="217">
        <v>434.22</v>
      </c>
      <c r="C70" s="217">
        <v>1528.07</v>
      </c>
      <c r="D70" s="217">
        <v>1722.56</v>
      </c>
      <c r="E70" s="217">
        <v>2984.15</v>
      </c>
      <c r="F70" s="217">
        <v>53005.21</v>
      </c>
    </row>
    <row r="71" spans="1:6">
      <c r="A71" s="216" t="s">
        <v>292</v>
      </c>
      <c r="B71" s="218"/>
      <c r="C71" s="218">
        <v>2945.05</v>
      </c>
      <c r="D71" s="218">
        <v>30</v>
      </c>
      <c r="E71" s="218">
        <v>103437.73</v>
      </c>
      <c r="F71" s="218"/>
    </row>
    <row r="72" spans="1:6">
      <c r="A72" s="216" t="s">
        <v>293</v>
      </c>
      <c r="B72" s="217"/>
      <c r="C72" s="217"/>
      <c r="D72" s="217"/>
      <c r="E72" s="217"/>
      <c r="F72" s="217">
        <v>100000</v>
      </c>
    </row>
    <row r="73" spans="1:6">
      <c r="A73" s="216" t="s">
        <v>294</v>
      </c>
      <c r="B73" s="218"/>
      <c r="C73" s="218"/>
      <c r="D73" s="218"/>
      <c r="E73" s="218"/>
      <c r="F73" s="218"/>
    </row>
    <row r="74" spans="1:6">
      <c r="A74" s="216" t="s">
        <v>295</v>
      </c>
      <c r="B74" s="217">
        <v>367815.3</v>
      </c>
      <c r="C74" s="217">
        <v>462487.94</v>
      </c>
      <c r="D74" s="217">
        <v>936453.31</v>
      </c>
      <c r="E74" s="217">
        <v>1709984.05</v>
      </c>
      <c r="F74" s="217">
        <v>4470690.39</v>
      </c>
    </row>
    <row r="75" spans="1:6">
      <c r="A75" s="216" t="s">
        <v>296</v>
      </c>
      <c r="B75" s="218"/>
      <c r="C75" s="218"/>
      <c r="D75" s="218"/>
      <c r="E75" s="218"/>
      <c r="F75" s="218"/>
    </row>
    <row r="76" spans="1:6">
      <c r="A76" s="216" t="s">
        <v>297</v>
      </c>
      <c r="B76" s="217">
        <v>-186015.3</v>
      </c>
      <c r="C76" s="217">
        <v>405280.66</v>
      </c>
      <c r="D76" s="217">
        <v>-881453.31</v>
      </c>
      <c r="E76" s="217">
        <v>-627901.58</v>
      </c>
      <c r="F76" s="217">
        <v>-741012.99</v>
      </c>
    </row>
    <row r="77" spans="1:6">
      <c r="A77" s="216" t="s">
        <v>298</v>
      </c>
      <c r="B77" s="218">
        <v>-22863.41</v>
      </c>
      <c r="C77" s="218">
        <v>-39771.77</v>
      </c>
      <c r="D77" s="218">
        <v>23510.42</v>
      </c>
      <c r="E77" s="218">
        <v>-1446.3</v>
      </c>
      <c r="F77" s="218">
        <v>-761.92</v>
      </c>
    </row>
    <row r="78" spans="1:6">
      <c r="A78" s="216" t="s">
        <v>299</v>
      </c>
      <c r="B78" s="217"/>
      <c r="C78" s="217"/>
      <c r="D78" s="217"/>
      <c r="E78" s="217"/>
      <c r="F78" s="217"/>
    </row>
    <row r="79" spans="1:6">
      <c r="A79" s="216" t="s">
        <v>300</v>
      </c>
      <c r="B79" s="218"/>
      <c r="C79" s="218"/>
      <c r="D79" s="218"/>
      <c r="E79" s="218"/>
      <c r="F79" s="218"/>
    </row>
    <row r="80" spans="1:6">
      <c r="A80" s="216" t="s">
        <v>301</v>
      </c>
      <c r="B80" s="217">
        <v>-180449.75</v>
      </c>
      <c r="C80" s="217">
        <v>754457.47</v>
      </c>
      <c r="D80" s="217">
        <v>99468.48</v>
      </c>
      <c r="E80" s="217">
        <v>-24391.89</v>
      </c>
      <c r="F80" s="217">
        <v>-1149163.54</v>
      </c>
    </row>
    <row r="81" spans="1:6">
      <c r="A81" s="216" t="s">
        <v>302</v>
      </c>
      <c r="B81" s="218">
        <v>2075597.99</v>
      </c>
      <c r="C81" s="218">
        <v>1321140.52</v>
      </c>
      <c r="D81" s="218">
        <v>1221672.03</v>
      </c>
      <c r="E81" s="218">
        <v>1246063.92</v>
      </c>
      <c r="F81" s="218">
        <v>1676387.38</v>
      </c>
    </row>
    <row r="82" spans="1:6">
      <c r="A82" s="216" t="s">
        <v>303</v>
      </c>
      <c r="B82" s="217">
        <v>1895148.24</v>
      </c>
      <c r="C82" s="217">
        <v>2075597.99</v>
      </c>
      <c r="D82" s="217">
        <v>1321140.52</v>
      </c>
      <c r="E82" s="217">
        <v>1221672.03</v>
      </c>
      <c r="F82" s="217">
        <v>527223.83</v>
      </c>
    </row>
    <row r="83" spans="1:6">
      <c r="A83" s="216" t="s">
        <v>304</v>
      </c>
      <c r="B83" s="218"/>
      <c r="C83" s="218"/>
      <c r="D83" s="218"/>
      <c r="E83" s="218"/>
      <c r="F83" s="218"/>
    </row>
    <row r="84" spans="1:6">
      <c r="A84" s="216" t="s">
        <v>305</v>
      </c>
      <c r="B84" s="217"/>
      <c r="C84" s="217">
        <v>600281.5</v>
      </c>
      <c r="D84" s="217">
        <v>566903.52</v>
      </c>
      <c r="E84" s="217">
        <v>465442.51</v>
      </c>
      <c r="F84" s="217">
        <v>1164632.87</v>
      </c>
    </row>
    <row r="85" spans="1:6">
      <c r="A85" s="216" t="s">
        <v>306</v>
      </c>
      <c r="B85" s="218"/>
      <c r="C85" s="218">
        <v>5062.34</v>
      </c>
      <c r="D85" s="218">
        <v>4570.02</v>
      </c>
      <c r="E85" s="218">
        <v>1362.08</v>
      </c>
      <c r="F85" s="218">
        <v>34981.82</v>
      </c>
    </row>
    <row r="86" spans="1:6">
      <c r="A86" s="216" t="s">
        <v>307</v>
      </c>
      <c r="B86" s="217"/>
      <c r="C86" s="217">
        <v>140838.79</v>
      </c>
      <c r="D86" s="217">
        <v>152606.96</v>
      </c>
      <c r="E86" s="217">
        <v>169821.28</v>
      </c>
      <c r="F86" s="217">
        <v>235944.53</v>
      </c>
    </row>
    <row r="87" spans="1:6">
      <c r="A87" s="216" t="s">
        <v>308</v>
      </c>
      <c r="B87" s="218"/>
      <c r="C87" s="218">
        <v>1628.3</v>
      </c>
      <c r="D87" s="218">
        <v>2730.18</v>
      </c>
      <c r="E87" s="218">
        <v>2614.37</v>
      </c>
      <c r="F87" s="218">
        <v>13341.27</v>
      </c>
    </row>
    <row r="88" spans="1:6">
      <c r="A88" s="216" t="s">
        <v>309</v>
      </c>
      <c r="B88" s="217"/>
      <c r="C88" s="217">
        <v>1925.67</v>
      </c>
      <c r="D88" s="217">
        <v>5840.95</v>
      </c>
      <c r="E88" s="217">
        <v>5648.44</v>
      </c>
      <c r="F88" s="217">
        <v>82755.51</v>
      </c>
    </row>
    <row r="89" spans="1:6">
      <c r="A89" s="216" t="s">
        <v>310</v>
      </c>
      <c r="B89" s="218"/>
      <c r="C89" s="218"/>
      <c r="D89" s="218"/>
      <c r="E89" s="218"/>
      <c r="F89" s="218"/>
    </row>
    <row r="90" spans="1:6">
      <c r="A90" s="216" t="s">
        <v>311</v>
      </c>
      <c r="B90" s="217"/>
      <c r="C90" s="217"/>
      <c r="D90" s="217"/>
      <c r="E90" s="217"/>
      <c r="F90" s="217"/>
    </row>
    <row r="91" spans="1:6">
      <c r="A91" s="216" t="s">
        <v>312</v>
      </c>
      <c r="B91" s="218"/>
      <c r="C91" s="218">
        <v>2648.03</v>
      </c>
      <c r="D91" s="218">
        <v>718.71</v>
      </c>
      <c r="E91" s="218">
        <v>4178.7</v>
      </c>
      <c r="F91" s="218">
        <v>21678.9</v>
      </c>
    </row>
    <row r="92" spans="1:6">
      <c r="A92" s="216" t="s">
        <v>313</v>
      </c>
      <c r="B92" s="217"/>
      <c r="C92" s="217">
        <v>2123.05</v>
      </c>
      <c r="D92" s="217">
        <v>2933.71</v>
      </c>
      <c r="E92" s="217">
        <v>1881.19</v>
      </c>
      <c r="F92" s="217"/>
    </row>
    <row r="93" spans="1:6">
      <c r="A93" s="216" t="s">
        <v>314</v>
      </c>
      <c r="B93" s="218"/>
      <c r="C93" s="218"/>
      <c r="D93" s="218"/>
      <c r="E93" s="218"/>
      <c r="F93" s="218">
        <v>65279.05</v>
      </c>
    </row>
    <row r="94" spans="1:6">
      <c r="A94" s="216" t="s">
        <v>54</v>
      </c>
      <c r="B94" s="217"/>
      <c r="C94" s="217">
        <v>20840.03</v>
      </c>
      <c r="D94" s="217">
        <v>6766.33</v>
      </c>
      <c r="E94" s="217">
        <v>31571.5</v>
      </c>
      <c r="F94" s="217">
        <v>10006.91</v>
      </c>
    </row>
    <row r="95" spans="1:6">
      <c r="A95" s="216" t="s">
        <v>315</v>
      </c>
      <c r="B95" s="218"/>
      <c r="C95" s="218">
        <v>-13467.93</v>
      </c>
      <c r="D95" s="218">
        <v>-39926.1</v>
      </c>
      <c r="E95" s="218">
        <v>-18634.75</v>
      </c>
      <c r="F95" s="218">
        <v>-151112.22</v>
      </c>
    </row>
    <row r="96" spans="1:6">
      <c r="A96" s="216" t="s">
        <v>316</v>
      </c>
      <c r="B96" s="217"/>
      <c r="C96" s="217">
        <v>-4158.74</v>
      </c>
      <c r="D96" s="217">
        <v>-11072.81</v>
      </c>
      <c r="E96" s="217">
        <v>27616.98</v>
      </c>
      <c r="F96" s="217">
        <v>-119842.54</v>
      </c>
    </row>
    <row r="97" spans="1:6">
      <c r="A97" s="216" t="s">
        <v>317</v>
      </c>
      <c r="B97" s="218"/>
      <c r="C97" s="218"/>
      <c r="D97" s="218"/>
      <c r="E97" s="218"/>
      <c r="F97" s="218">
        <v>-9771.54</v>
      </c>
    </row>
    <row r="98" spans="1:6">
      <c r="A98" s="216" t="s">
        <v>318</v>
      </c>
      <c r="B98" s="217"/>
      <c r="C98" s="217">
        <v>-33002.4</v>
      </c>
      <c r="D98" s="217">
        <v>-23463.51</v>
      </c>
      <c r="E98" s="217">
        <v>34432.84</v>
      </c>
      <c r="F98" s="217">
        <v>11872.92</v>
      </c>
    </row>
    <row r="99" spans="1:6">
      <c r="A99" s="216" t="s">
        <v>319</v>
      </c>
      <c r="B99" s="218"/>
      <c r="C99" s="218">
        <v>-168051.54</v>
      </c>
      <c r="D99" s="218">
        <v>290601.27</v>
      </c>
      <c r="E99" s="218">
        <v>68257.4</v>
      </c>
      <c r="F99" s="218">
        <v>-785636.77</v>
      </c>
    </row>
    <row r="100" spans="1:6">
      <c r="A100" s="216" t="s">
        <v>320</v>
      </c>
      <c r="B100" s="217"/>
      <c r="C100" s="217">
        <v>143962.62</v>
      </c>
      <c r="D100" s="217">
        <v>328869.19</v>
      </c>
      <c r="E100" s="217">
        <v>159457.32</v>
      </c>
      <c r="F100" s="217">
        <v>2019515.25</v>
      </c>
    </row>
    <row r="101" spans="1:6">
      <c r="A101" s="216" t="s">
        <v>219</v>
      </c>
      <c r="B101" s="218"/>
      <c r="C101" s="218"/>
      <c r="D101" s="218"/>
      <c r="E101" s="218"/>
      <c r="F101" s="218"/>
    </row>
    <row r="102" spans="1:6">
      <c r="A102" s="216" t="s">
        <v>321</v>
      </c>
      <c r="B102" s="217"/>
      <c r="C102" s="217"/>
      <c r="D102" s="217">
        <v>-6345.85</v>
      </c>
      <c r="E102" s="217"/>
      <c r="F102" s="217">
        <v>17634.86</v>
      </c>
    </row>
    <row r="103" spans="1:6">
      <c r="A103" s="216" t="s">
        <v>322</v>
      </c>
      <c r="B103" s="218"/>
      <c r="C103" s="218"/>
      <c r="D103" s="218"/>
      <c r="E103" s="218"/>
      <c r="F103" s="218">
        <v>-132429.7</v>
      </c>
    </row>
    <row r="104" spans="1:6">
      <c r="A104" s="216" t="s">
        <v>323</v>
      </c>
      <c r="B104" s="217"/>
      <c r="C104" s="217"/>
      <c r="D104" s="217"/>
      <c r="E104" s="217"/>
      <c r="F104" s="217"/>
    </row>
    <row r="105" spans="1:6">
      <c r="A105" s="216" t="s">
        <v>324</v>
      </c>
      <c r="B105" s="218"/>
      <c r="C105" s="218">
        <v>700629.72</v>
      </c>
      <c r="D105" s="218">
        <v>1281732.58</v>
      </c>
      <c r="E105" s="218">
        <v>953649.86</v>
      </c>
      <c r="F105" s="218">
        <v>2478851.11</v>
      </c>
    </row>
    <row r="106" spans="1:6">
      <c r="A106" s="216" t="s">
        <v>325</v>
      </c>
      <c r="B106" s="217"/>
      <c r="C106" s="217"/>
      <c r="D106" s="217"/>
      <c r="E106" s="217"/>
      <c r="F106" s="217"/>
    </row>
    <row r="107" spans="1:6">
      <c r="A107" s="216" t="s">
        <v>326</v>
      </c>
      <c r="B107" s="218"/>
      <c r="C107" s="218"/>
      <c r="D107" s="218"/>
      <c r="E107" s="218"/>
      <c r="F107" s="218"/>
    </row>
    <row r="108" spans="1:6">
      <c r="A108" s="216" t="s">
        <v>327</v>
      </c>
      <c r="B108" s="217"/>
      <c r="C108" s="217"/>
      <c r="D108" s="217"/>
      <c r="E108" s="217"/>
      <c r="F108" s="217"/>
    </row>
    <row r="109" spans="1:6">
      <c r="A109" s="216" t="s">
        <v>328</v>
      </c>
      <c r="B109" s="218"/>
      <c r="C109" s="218">
        <v>2075597.99</v>
      </c>
      <c r="D109" s="218">
        <v>1321140.52</v>
      </c>
      <c r="E109" s="218">
        <v>1221672.03</v>
      </c>
      <c r="F109" s="218">
        <v>527223.83</v>
      </c>
    </row>
    <row r="110" spans="1:6">
      <c r="A110" s="216" t="s">
        <v>329</v>
      </c>
      <c r="B110" s="217"/>
      <c r="C110" s="217">
        <v>1321140.52</v>
      </c>
      <c r="D110" s="217">
        <v>1221672.03</v>
      </c>
      <c r="E110" s="217">
        <v>1246063.92</v>
      </c>
      <c r="F110" s="217">
        <v>1676387.38</v>
      </c>
    </row>
    <row r="111" spans="1:6">
      <c r="A111" s="216" t="s">
        <v>330</v>
      </c>
      <c r="B111" s="218"/>
      <c r="C111" s="218"/>
      <c r="D111" s="218"/>
      <c r="E111" s="218"/>
      <c r="F111" s="218"/>
    </row>
    <row r="112" spans="1:6">
      <c r="A112" s="216" t="s">
        <v>331</v>
      </c>
      <c r="B112" s="217"/>
      <c r="C112" s="217"/>
      <c r="D112" s="217"/>
      <c r="E112" s="217"/>
      <c r="F112" s="217"/>
    </row>
    <row r="113" spans="1:6">
      <c r="A113" s="216" t="s">
        <v>332</v>
      </c>
      <c r="B113" s="218"/>
      <c r="C113" s="218"/>
      <c r="D113" s="218"/>
      <c r="E113" s="218"/>
      <c r="F113" s="218"/>
    </row>
    <row r="114" spans="1:6">
      <c r="A114" s="216" t="s">
        <v>333</v>
      </c>
      <c r="B114" s="217"/>
      <c r="C114" s="217"/>
      <c r="D114" s="217"/>
      <c r="E114" s="217"/>
      <c r="F114" s="217"/>
    </row>
    <row r="115" spans="1:6">
      <c r="A115" s="216" t="s">
        <v>334</v>
      </c>
      <c r="B115" s="218"/>
      <c r="C115" s="218">
        <v>754457.47</v>
      </c>
      <c r="D115" s="218">
        <v>99468.48</v>
      </c>
      <c r="E115" s="218">
        <v>-24391.89</v>
      </c>
      <c r="F115" s="218">
        <v>-1149163.54</v>
      </c>
    </row>
    <row r="116" spans="1:6">
      <c r="A116" s="216" t="s">
        <v>96</v>
      </c>
      <c r="B116" s="219" t="s">
        <v>97</v>
      </c>
      <c r="C116" s="219" t="s">
        <v>97</v>
      </c>
      <c r="D116" s="219" t="s">
        <v>97</v>
      </c>
      <c r="E116" s="219" t="s">
        <v>97</v>
      </c>
      <c r="F116" s="219" t="s">
        <v>97</v>
      </c>
    </row>
    <row r="117" spans="1:6">
      <c r="A117" s="216" t="s">
        <v>98</v>
      </c>
      <c r="B117" s="220" t="s">
        <v>97</v>
      </c>
      <c r="C117" s="220" t="s">
        <v>97</v>
      </c>
      <c r="D117" s="220" t="s">
        <v>97</v>
      </c>
      <c r="E117" s="220" t="s">
        <v>97</v>
      </c>
      <c r="F117" s="220" t="s">
        <v>97</v>
      </c>
    </row>
    <row r="118" spans="1:6">
      <c r="A118" s="216" t="s">
        <v>99</v>
      </c>
      <c r="B118" s="219">
        <v>1</v>
      </c>
      <c r="C118" s="219">
        <v>1</v>
      </c>
      <c r="D118" s="219">
        <v>1</v>
      </c>
      <c r="E118" s="219">
        <v>1</v>
      </c>
      <c r="F118" s="219">
        <v>1</v>
      </c>
    </row>
    <row r="119" spans="1:6">
      <c r="A119" s="216" t="s">
        <v>100</v>
      </c>
      <c r="B119" s="221" t="s">
        <v>101</v>
      </c>
      <c r="C119" s="221" t="s">
        <v>101</v>
      </c>
      <c r="D119" s="221" t="s">
        <v>101</v>
      </c>
      <c r="E119" s="221" t="s">
        <v>101</v>
      </c>
      <c r="F119" s="221" t="s">
        <v>101</v>
      </c>
    </row>
    <row r="120" spans="1:6">
      <c r="A120" s="216" t="s">
        <v>102</v>
      </c>
      <c r="B120" s="222"/>
      <c r="C120" s="222" t="s">
        <v>103</v>
      </c>
      <c r="D120" s="222" t="s">
        <v>103</v>
      </c>
      <c r="E120" s="222" t="s">
        <v>103</v>
      </c>
      <c r="F120" s="222" t="s">
        <v>103</v>
      </c>
    </row>
    <row r="121" spans="1:6">
      <c r="A121" s="216" t="s">
        <v>104</v>
      </c>
      <c r="B121" s="221"/>
      <c r="C121" s="221"/>
      <c r="D121" s="221"/>
      <c r="E121" s="221"/>
      <c r="F121" s="221"/>
    </row>
    <row r="122" spans="1:6">
      <c r="A122" s="216" t="s">
        <v>105</v>
      </c>
      <c r="B122" s="222">
        <v>43217</v>
      </c>
      <c r="C122" s="222">
        <v>43217</v>
      </c>
      <c r="D122" s="222">
        <v>42825</v>
      </c>
      <c r="E122" s="222">
        <v>42460</v>
      </c>
      <c r="F122" s="222">
        <v>42094</v>
      </c>
    </row>
    <row r="123" spans="1:6">
      <c r="A123" s="216" t="s">
        <v>106</v>
      </c>
      <c r="B123" s="221" t="s">
        <v>107</v>
      </c>
      <c r="C123" s="221" t="s">
        <v>107</v>
      </c>
      <c r="D123" s="221" t="s">
        <v>107</v>
      </c>
      <c r="E123" s="221" t="s">
        <v>107</v>
      </c>
      <c r="F123" s="221" t="s">
        <v>107</v>
      </c>
    </row>
  </sheetData>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E41"/>
  <sheetViews>
    <sheetView tabSelected="1" topLeftCell="G1" workbookViewId="0">
      <pane ySplit="3" topLeftCell="A4" activePane="bottomLeft" state="frozen"/>
      <selection/>
      <selection pane="bottomLeft" activeCell="Q50" sqref="Q50"/>
    </sheetView>
  </sheetViews>
  <sheetFormatPr defaultColWidth="9" defaultRowHeight="13.5"/>
  <cols>
    <col min="1" max="1" width="19.625" customWidth="1"/>
    <col min="4" max="4" width="14.25" customWidth="1"/>
    <col min="5" max="7" width="19" customWidth="1"/>
    <col min="8" max="8" width="18.625" customWidth="1"/>
    <col min="9" max="13" width="19" customWidth="1"/>
  </cols>
  <sheetData>
    <row r="1" s="26" customFormat="1" ht="14.25" spans="1:13">
      <c r="A1" s="74" t="s">
        <v>335</v>
      </c>
      <c r="B1" s="74"/>
      <c r="C1" s="74"/>
      <c r="D1" s="75"/>
      <c r="E1" s="76" t="s">
        <v>336</v>
      </c>
      <c r="F1" s="76"/>
      <c r="G1" s="77"/>
      <c r="H1" s="78" t="s">
        <v>337</v>
      </c>
      <c r="I1" s="83" t="s">
        <v>338</v>
      </c>
      <c r="J1" s="84"/>
      <c r="K1" s="84"/>
      <c r="L1" s="84"/>
      <c r="M1" s="84"/>
    </row>
    <row r="2" s="26" customFormat="1" ht="14.25" spans="1:13">
      <c r="A2" s="74"/>
      <c r="B2" s="74"/>
      <c r="C2" s="74"/>
      <c r="D2" s="136" t="s">
        <v>339</v>
      </c>
      <c r="E2" s="137">
        <v>2015</v>
      </c>
      <c r="F2" s="137">
        <v>2016</v>
      </c>
      <c r="G2" s="138">
        <v>2017</v>
      </c>
      <c r="H2" s="139" t="s">
        <v>340</v>
      </c>
      <c r="I2" s="137" t="s">
        <v>341</v>
      </c>
      <c r="J2" s="137" t="s">
        <v>342</v>
      </c>
      <c r="K2" s="137" t="s">
        <v>343</v>
      </c>
      <c r="L2" s="137" t="s">
        <v>344</v>
      </c>
      <c r="M2" s="137" t="s">
        <v>345</v>
      </c>
    </row>
    <row r="3" spans="1:21">
      <c r="A3" s="140"/>
      <c r="B3" s="140"/>
      <c r="C3" s="140"/>
      <c r="D3" s="42"/>
      <c r="E3" s="141"/>
      <c r="F3" s="141"/>
      <c r="G3" s="141"/>
      <c r="H3" s="42"/>
      <c r="I3" s="42"/>
      <c r="J3" s="42"/>
      <c r="K3" s="42"/>
      <c r="L3" s="42"/>
      <c r="M3" s="42"/>
      <c r="N3" s="42"/>
      <c r="O3" s="42"/>
      <c r="P3" s="174"/>
      <c r="Q3" s="184"/>
      <c r="R3" s="185"/>
      <c r="S3" s="185"/>
      <c r="T3" s="185"/>
      <c r="U3" s="185"/>
    </row>
    <row r="4" ht="16.15" customHeight="1" spans="1:21">
      <c r="A4" s="142" t="s">
        <v>346</v>
      </c>
      <c r="B4" s="142"/>
      <c r="C4" s="142"/>
      <c r="E4" s="143"/>
      <c r="F4" s="143"/>
      <c r="G4" s="143"/>
      <c r="P4" s="174"/>
      <c r="Q4" s="185"/>
      <c r="R4" s="185"/>
      <c r="S4" s="185"/>
      <c r="T4" s="185"/>
      <c r="U4" s="185"/>
    </row>
    <row r="5" ht="16.15" customHeight="1" spans="1:21">
      <c r="A5" s="95" t="s">
        <v>347</v>
      </c>
      <c r="B5" s="41"/>
      <c r="C5" s="41"/>
      <c r="E5" s="97">
        <v>4715138.65</v>
      </c>
      <c r="F5" s="97">
        <v>4952229.85</v>
      </c>
      <c r="G5" s="97">
        <v>5576620.58</v>
      </c>
      <c r="I5" s="27">
        <f>G5*(1+I6)</f>
        <v>6379653.94352</v>
      </c>
      <c r="J5" s="27">
        <f>I5*(1+J6)</f>
        <v>7349361.34293504</v>
      </c>
      <c r="K5" s="27">
        <f>J5*(1+K6)</f>
        <v>8532608.51914758</v>
      </c>
      <c r="L5" s="27">
        <f>K5*(1+L6)</f>
        <v>9983151.96740267</v>
      </c>
      <c r="M5" s="27">
        <f>L5*(1+M6)</f>
        <v>11780119.3215352</v>
      </c>
      <c r="P5" s="174"/>
      <c r="Q5" s="185"/>
      <c r="R5" s="185"/>
      <c r="S5" s="185"/>
      <c r="T5" s="185"/>
      <c r="U5" s="185"/>
    </row>
    <row r="6" s="73" customFormat="1" ht="16.15" customHeight="1" spans="1:21">
      <c r="A6" s="98" t="s">
        <v>348</v>
      </c>
      <c r="B6" s="98"/>
      <c r="C6" s="98"/>
      <c r="D6" s="81"/>
      <c r="E6" s="144"/>
      <c r="F6" s="144"/>
      <c r="G6" s="144"/>
      <c r="H6" s="145">
        <v>0.0875</v>
      </c>
      <c r="I6" s="145">
        <v>0.144</v>
      </c>
      <c r="J6" s="145">
        <v>0.152</v>
      </c>
      <c r="K6" s="145">
        <v>0.161</v>
      </c>
      <c r="L6" s="145">
        <v>0.17</v>
      </c>
      <c r="M6" s="145">
        <v>0.18</v>
      </c>
      <c r="P6" s="175"/>
      <c r="Q6" s="186"/>
      <c r="R6" s="186"/>
      <c r="S6" s="186"/>
      <c r="T6" s="186"/>
      <c r="U6" s="186"/>
    </row>
    <row r="7" ht="16.15" customHeight="1" spans="1:21">
      <c r="A7" s="95" t="s">
        <v>349</v>
      </c>
      <c r="B7" s="41"/>
      <c r="C7" s="41"/>
      <c r="E7" s="97">
        <v>644719.73</v>
      </c>
      <c r="F7" s="97">
        <v>545571.35</v>
      </c>
      <c r="G7" s="97">
        <v>642838.34</v>
      </c>
      <c r="H7" s="146"/>
      <c r="I7" s="176">
        <f>G7*(1+I8)</f>
        <v>728978.67756</v>
      </c>
      <c r="J7" s="176">
        <f>I7*(1+J8)</f>
        <v>827390.7990306</v>
      </c>
      <c r="K7" s="176">
        <f>J7*(1+K8)</f>
        <v>948189.855689067</v>
      </c>
      <c r="L7" s="176">
        <f>K7*(1+L8)</f>
        <v>1102744.80216639</v>
      </c>
      <c r="M7" s="176">
        <f>L7*(1+M8)</f>
        <v>1290211.41853467</v>
      </c>
      <c r="P7" s="174"/>
      <c r="Q7" s="185"/>
      <c r="R7" s="185"/>
      <c r="S7" s="185"/>
      <c r="T7" s="185"/>
      <c r="U7" s="185"/>
    </row>
    <row r="8" s="73" customFormat="1" ht="16.15" customHeight="1" spans="1:21">
      <c r="A8" s="98" t="s">
        <v>348</v>
      </c>
      <c r="B8" s="98"/>
      <c r="C8" s="98"/>
      <c r="D8" s="81"/>
      <c r="E8" s="144"/>
      <c r="F8" s="144"/>
      <c r="G8" s="144"/>
      <c r="H8" s="145">
        <v>-0.0015</v>
      </c>
      <c r="I8" s="145">
        <v>0.134</v>
      </c>
      <c r="J8" s="145">
        <v>0.135</v>
      </c>
      <c r="K8" s="145">
        <v>0.146</v>
      </c>
      <c r="L8" s="145">
        <v>0.163</v>
      </c>
      <c r="M8" s="145">
        <v>0.17</v>
      </c>
      <c r="P8" s="175"/>
      <c r="Q8" s="186"/>
      <c r="R8" s="186"/>
      <c r="S8" s="186"/>
      <c r="T8" s="186"/>
      <c r="U8" s="186"/>
    </row>
    <row r="9" ht="16.15" customHeight="1" spans="1:21">
      <c r="A9" s="95" t="s">
        <v>350</v>
      </c>
      <c r="B9" s="41"/>
      <c r="C9" s="41"/>
      <c r="E9" s="97">
        <v>409782.25</v>
      </c>
      <c r="F9" s="97">
        <v>419415.85</v>
      </c>
      <c r="G9" s="97">
        <v>460606.75</v>
      </c>
      <c r="H9" s="146"/>
      <c r="I9" s="176">
        <f>G9*(1+I10)</f>
        <v>506667.425</v>
      </c>
      <c r="J9" s="176">
        <f>I9*(1+J10)</f>
        <v>556320.83265</v>
      </c>
      <c r="K9" s="176">
        <f>J9*(1+K10)</f>
        <v>611952.915915</v>
      </c>
      <c r="L9" s="176">
        <f>K9*(1+L10)</f>
        <v>674372.11333833</v>
      </c>
      <c r="M9" s="176">
        <f>L9*(1+M10)</f>
        <v>745181.185238855</v>
      </c>
      <c r="P9" s="174"/>
      <c r="Q9" s="185"/>
      <c r="R9" s="185"/>
      <c r="S9" s="185"/>
      <c r="T9" s="185"/>
      <c r="U9" s="185"/>
    </row>
    <row r="10" s="73" customFormat="1" ht="16.15" customHeight="1" spans="1:21">
      <c r="A10" s="98" t="s">
        <v>348</v>
      </c>
      <c r="B10" s="98"/>
      <c r="C10" s="98"/>
      <c r="D10" s="81"/>
      <c r="E10" s="144"/>
      <c r="F10" s="144"/>
      <c r="G10" s="144"/>
      <c r="H10" s="145">
        <v>0.0602</v>
      </c>
      <c r="I10" s="145">
        <v>0.1</v>
      </c>
      <c r="J10" s="145">
        <v>0.098</v>
      </c>
      <c r="K10" s="145">
        <v>0.1</v>
      </c>
      <c r="L10" s="145">
        <v>0.102</v>
      </c>
      <c r="M10" s="145">
        <v>0.105</v>
      </c>
      <c r="P10" s="175"/>
      <c r="Q10" s="187"/>
      <c r="R10" s="186"/>
      <c r="S10" s="186"/>
      <c r="T10" s="186"/>
      <c r="U10" s="186"/>
    </row>
    <row r="11" ht="16.15" customHeight="1" spans="1:21">
      <c r="A11" s="147" t="s">
        <v>351</v>
      </c>
      <c r="B11" s="148"/>
      <c r="C11" s="148"/>
      <c r="D11" s="149"/>
      <c r="E11" s="150">
        <v>266346.76</v>
      </c>
      <c r="F11" s="150">
        <v>143705.11</v>
      </c>
      <c r="G11" s="150">
        <v>125751.77</v>
      </c>
      <c r="H11" s="146">
        <v>-0.3129</v>
      </c>
      <c r="I11" s="177">
        <f>G11*(1-10%)</f>
        <v>113176.593</v>
      </c>
      <c r="J11" s="178">
        <f>I11*(1-10%)</f>
        <v>101858.9337</v>
      </c>
      <c r="K11" s="178">
        <f>J11*(1-10%)</f>
        <v>91673.04033</v>
      </c>
      <c r="L11" s="178">
        <f>K11*(1-10%)</f>
        <v>82505.736297</v>
      </c>
      <c r="M11" s="178">
        <f>L11*(1-10%)</f>
        <v>74255.1626673</v>
      </c>
      <c r="N11" s="149"/>
      <c r="O11" s="149"/>
      <c r="P11" s="174"/>
      <c r="Q11" s="185"/>
      <c r="R11" s="185"/>
      <c r="S11" s="185"/>
      <c r="T11" s="185"/>
      <c r="U11" s="185"/>
    </row>
    <row r="12" ht="16.15" customHeight="1" spans="1:21">
      <c r="A12" s="151" t="s">
        <v>352</v>
      </c>
      <c r="B12" s="151"/>
      <c r="C12" s="151"/>
      <c r="D12" s="102"/>
      <c r="E12" s="114">
        <f>SUM(E5:E11)</f>
        <v>6035987.39</v>
      </c>
      <c r="F12" s="114">
        <f>SUM(F5:F11)</f>
        <v>6060922.16</v>
      </c>
      <c r="G12" s="114">
        <f>SUM(G5:G11)</f>
        <v>6805817.44</v>
      </c>
      <c r="H12" s="102"/>
      <c r="I12" s="114">
        <f>I5+I7+I9+I11</f>
        <v>7728476.63908</v>
      </c>
      <c r="J12" s="114">
        <f>J5+J7+J9+J11</f>
        <v>8834931.90831564</v>
      </c>
      <c r="K12" s="114">
        <f>K5+K7+K9+K11</f>
        <v>10184424.3310816</v>
      </c>
      <c r="L12" s="114">
        <f>L5+L7+L9+L11</f>
        <v>11842774.6192044</v>
      </c>
      <c r="M12" s="114">
        <f>M5+M7+M9+M11</f>
        <v>13889767.087976</v>
      </c>
      <c r="P12" s="174"/>
      <c r="Q12" s="185"/>
      <c r="R12" s="185"/>
      <c r="S12" s="185"/>
      <c r="T12" s="185"/>
      <c r="U12" s="185"/>
    </row>
    <row r="13" ht="16.15" customHeight="1" spans="1:21">
      <c r="A13" s="152" t="s">
        <v>353</v>
      </c>
      <c r="B13" s="152"/>
      <c r="C13" s="152"/>
      <c r="D13" s="102"/>
      <c r="E13" s="102"/>
      <c r="F13" s="115">
        <f>F12/E12-1</f>
        <v>0.00413101757656231</v>
      </c>
      <c r="G13" s="115">
        <f>G12/F12-1</f>
        <v>0.122901311110057</v>
      </c>
      <c r="H13" s="115"/>
      <c r="I13" s="115">
        <f>I12/G12-1</f>
        <v>0.135569196090573</v>
      </c>
      <c r="J13" s="115">
        <f>J12/I12-1</f>
        <v>0.143166023643096</v>
      </c>
      <c r="K13" s="115">
        <f>K12/J12-1</f>
        <v>0.152745084712632</v>
      </c>
      <c r="L13" s="115">
        <f>L12/K12-1</f>
        <v>0.162832010353462</v>
      </c>
      <c r="M13" s="115">
        <f>M12/L12-1</f>
        <v>0.172847371886328</v>
      </c>
      <c r="P13" s="174"/>
      <c r="Q13" s="185"/>
      <c r="R13" s="185"/>
      <c r="S13" s="185"/>
      <c r="T13" s="185"/>
      <c r="U13" s="185"/>
    </row>
    <row r="14" ht="16.15" customHeight="1" spans="16:21">
      <c r="P14" s="174"/>
      <c r="Q14" s="188"/>
      <c r="R14" s="189"/>
      <c r="S14" s="189"/>
      <c r="T14" s="189"/>
      <c r="U14" s="189"/>
    </row>
    <row r="15" ht="16.15" customHeight="1" spans="16:21">
      <c r="P15" s="174"/>
      <c r="Q15" s="189"/>
      <c r="R15" s="189"/>
      <c r="S15" s="189"/>
      <c r="T15" s="189"/>
      <c r="U15" s="189"/>
    </row>
    <row r="16" ht="16.15" customHeight="1" spans="1:21">
      <c r="A16" s="142" t="s">
        <v>354</v>
      </c>
      <c r="B16" s="142"/>
      <c r="C16" s="142"/>
      <c r="P16" s="174"/>
      <c r="Q16" s="188"/>
      <c r="R16" s="189"/>
      <c r="S16" s="189"/>
      <c r="T16" s="189"/>
      <c r="U16" s="189"/>
    </row>
    <row r="17" ht="16.15" customHeight="1" spans="1:83">
      <c r="A17" s="95" t="s">
        <v>355</v>
      </c>
      <c r="B17" s="41"/>
      <c r="C17" s="41"/>
      <c r="E17" s="153">
        <v>3837557.81</v>
      </c>
      <c r="F17" s="153">
        <v>3742743.54</v>
      </c>
      <c r="G17" s="153">
        <v>4236240.27</v>
      </c>
      <c r="I17" s="176">
        <f>I12*I18</f>
        <v>4637085.983448</v>
      </c>
      <c r="J17" s="176">
        <f>J12*J18</f>
        <v>5212609.82590623</v>
      </c>
      <c r="K17" s="176">
        <f>K12*K18</f>
        <v>5906966.11202736</v>
      </c>
      <c r="L17" s="176">
        <f>L12*L18</f>
        <v>6750381.5329465</v>
      </c>
      <c r="M17" s="176">
        <f>M12*M18</f>
        <v>7778269.56926655</v>
      </c>
      <c r="N17" s="96"/>
      <c r="O17" s="96"/>
      <c r="P17" s="174"/>
      <c r="Q17" s="189"/>
      <c r="R17" s="189"/>
      <c r="S17" s="189"/>
      <c r="T17" s="189"/>
      <c r="U17" s="189"/>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96"/>
      <c r="CA17" s="96"/>
      <c r="CB17" s="96"/>
      <c r="CC17" s="96"/>
      <c r="CD17" s="96"/>
      <c r="CE17" s="96"/>
    </row>
    <row r="18" s="81" customFormat="1" ht="16.15" customHeight="1" spans="1:83">
      <c r="A18" s="154" t="s">
        <v>356</v>
      </c>
      <c r="B18" s="154"/>
      <c r="C18" s="154"/>
      <c r="E18" s="89">
        <f>E17/E12</f>
        <v>0.635779626769565</v>
      </c>
      <c r="F18" s="89">
        <f>F17/F12</f>
        <v>0.617520476455022</v>
      </c>
      <c r="G18" s="89">
        <f>G17/G12</f>
        <v>0.622444005785733</v>
      </c>
      <c r="H18" s="155">
        <v>0.625248036336773</v>
      </c>
      <c r="I18" s="179">
        <v>0.6</v>
      </c>
      <c r="J18" s="179">
        <v>0.59</v>
      </c>
      <c r="K18" s="179">
        <v>0.58</v>
      </c>
      <c r="L18" s="179">
        <v>0.57</v>
      </c>
      <c r="M18" s="179">
        <v>0.56</v>
      </c>
      <c r="N18" s="107"/>
      <c r="O18" s="107"/>
      <c r="P18" s="175"/>
      <c r="Q18" s="190"/>
      <c r="R18" s="190"/>
      <c r="S18" s="190"/>
      <c r="T18" s="190"/>
      <c r="U18" s="190"/>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c r="BO18" s="107"/>
      <c r="BP18" s="107"/>
      <c r="BQ18" s="107"/>
      <c r="BR18" s="107"/>
      <c r="BS18" s="107"/>
      <c r="BT18" s="107"/>
      <c r="BU18" s="107"/>
      <c r="BV18" s="107"/>
      <c r="BW18" s="107"/>
      <c r="BX18" s="107"/>
      <c r="BY18" s="107"/>
      <c r="BZ18" s="107"/>
      <c r="CA18" s="107"/>
      <c r="CB18" s="107"/>
      <c r="CC18" s="107"/>
      <c r="CD18" s="107"/>
      <c r="CE18" s="107"/>
    </row>
    <row r="19" ht="16.15" customHeight="1" spans="1:83">
      <c r="A19" s="95" t="s">
        <v>357</v>
      </c>
      <c r="B19" s="41"/>
      <c r="C19" s="41"/>
      <c r="E19" s="153">
        <v>25103.96</v>
      </c>
      <c r="F19" s="153">
        <v>42007.24</v>
      </c>
      <c r="G19" s="153">
        <v>51157.02</v>
      </c>
      <c r="H19" s="156"/>
      <c r="I19" s="180">
        <f>I12*I20</f>
        <v>47933.4071811477</v>
      </c>
      <c r="J19" s="180">
        <f>J12*J20</f>
        <v>54795.842486938</v>
      </c>
      <c r="K19" s="180">
        <f>K12*K20</f>
        <v>63165.6380895054</v>
      </c>
      <c r="L19" s="180">
        <f>L12*L20</f>
        <v>73451.0259248787</v>
      </c>
      <c r="M19" s="180">
        <f>M12*M20</f>
        <v>86146.8427183486</v>
      </c>
      <c r="N19" s="96"/>
      <c r="O19" s="96"/>
      <c r="P19" s="174"/>
      <c r="Q19" s="189"/>
      <c r="R19" s="189"/>
      <c r="S19" s="189"/>
      <c r="T19" s="189"/>
      <c r="U19" s="189"/>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c r="CE19" s="96"/>
    </row>
    <row r="20" s="81" customFormat="1" ht="16.15" customHeight="1" spans="1:83">
      <c r="A20" s="154" t="s">
        <v>356</v>
      </c>
      <c r="B20" s="154"/>
      <c r="C20" s="154"/>
      <c r="E20" s="82">
        <f>E19/E12</f>
        <v>0.00415904778754019</v>
      </c>
      <c r="F20" s="82">
        <f>F19/F12</f>
        <v>0.00693083311269584</v>
      </c>
      <c r="G20" s="82">
        <f>G19/G12</f>
        <v>0.00751666062908675</v>
      </c>
      <c r="H20" s="155">
        <v>0.00620218050977426</v>
      </c>
      <c r="I20" s="155">
        <v>0.00620218050977426</v>
      </c>
      <c r="J20" s="155">
        <v>0.00620218050977426</v>
      </c>
      <c r="K20" s="155">
        <v>0.00620218050977426</v>
      </c>
      <c r="L20" s="155">
        <v>0.00620218050977426</v>
      </c>
      <c r="M20" s="155">
        <v>0.00620218050977426</v>
      </c>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c r="BP20" s="107"/>
      <c r="BQ20" s="107"/>
      <c r="BR20" s="107"/>
      <c r="BS20" s="107"/>
      <c r="BT20" s="107"/>
      <c r="BU20" s="107"/>
      <c r="BV20" s="107"/>
      <c r="BW20" s="107"/>
      <c r="BX20" s="107"/>
      <c r="BY20" s="107"/>
      <c r="BZ20" s="107"/>
      <c r="CA20" s="107"/>
      <c r="CB20" s="107"/>
      <c r="CC20" s="107"/>
      <c r="CD20" s="107"/>
      <c r="CE20" s="107"/>
    </row>
    <row r="21" ht="16.15" customHeight="1" spans="1:83">
      <c r="A21" s="95" t="s">
        <v>358</v>
      </c>
      <c r="B21" s="41"/>
      <c r="C21" s="41"/>
      <c r="E21" s="153">
        <v>345616.39</v>
      </c>
      <c r="F21" s="153">
        <v>345666.6</v>
      </c>
      <c r="G21" s="153">
        <v>331704.87</v>
      </c>
      <c r="H21" s="140"/>
      <c r="I21" s="180">
        <f>I12*I22</f>
        <v>326914.561833084</v>
      </c>
      <c r="J21" s="180">
        <f>J12*J22</f>
        <v>353397.276332626</v>
      </c>
      <c r="K21" s="180">
        <f>K12*K22</f>
        <v>381915.912415562</v>
      </c>
      <c r="L21" s="180">
        <f>L12*L22</f>
        <v>414497.111672154</v>
      </c>
      <c r="M21" s="180">
        <f>M12*M22</f>
        <v>486141.848079159</v>
      </c>
      <c r="N21" s="96"/>
      <c r="O21" s="96"/>
      <c r="P21" s="181" t="s">
        <v>359</v>
      </c>
      <c r="Q21" s="191" t="s">
        <v>360</v>
      </c>
      <c r="R21" s="192"/>
      <c r="S21" s="192"/>
      <c r="T21" s="192"/>
      <c r="U21" s="192"/>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row>
    <row r="22" s="81" customFormat="1" ht="16.15" customHeight="1" spans="1:83">
      <c r="A22" s="154" t="s">
        <v>356</v>
      </c>
      <c r="B22" s="154"/>
      <c r="C22" s="154"/>
      <c r="E22" s="82">
        <f>E21/E12</f>
        <v>0.0572592962292454</v>
      </c>
      <c r="F22" s="82">
        <f>F21/F12</f>
        <v>0.0570320144154433</v>
      </c>
      <c r="G22" s="82">
        <f>G21/G12</f>
        <v>0.0487384319259671</v>
      </c>
      <c r="H22" s="155">
        <v>0.054343247523552</v>
      </c>
      <c r="I22" s="155">
        <v>0.0423</v>
      </c>
      <c r="J22" s="155">
        <v>0.04</v>
      </c>
      <c r="K22" s="155">
        <v>0.0375</v>
      </c>
      <c r="L22" s="155">
        <v>0.035</v>
      </c>
      <c r="M22" s="155">
        <v>0.035</v>
      </c>
      <c r="N22" s="107"/>
      <c r="O22" s="107"/>
      <c r="P22" s="181"/>
      <c r="Q22" s="192"/>
      <c r="R22" s="192"/>
      <c r="S22" s="192"/>
      <c r="T22" s="192"/>
      <c r="U22" s="192"/>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c r="BP22" s="107"/>
      <c r="BQ22" s="107"/>
      <c r="BR22" s="107"/>
      <c r="BS22" s="107"/>
      <c r="BT22" s="107"/>
      <c r="BU22" s="107"/>
      <c r="BV22" s="107"/>
      <c r="BW22" s="107"/>
      <c r="BX22" s="107"/>
      <c r="BY22" s="107"/>
      <c r="BZ22" s="107"/>
      <c r="CA22" s="107"/>
      <c r="CB22" s="107"/>
      <c r="CC22" s="107"/>
      <c r="CD22" s="107"/>
      <c r="CE22" s="107"/>
    </row>
    <row r="23" ht="16.15" customHeight="1" spans="1:83">
      <c r="A23" s="95" t="s">
        <v>361</v>
      </c>
      <c r="B23" s="41"/>
      <c r="C23" s="41"/>
      <c r="E23" s="153">
        <v>1325833.42</v>
      </c>
      <c r="F23" s="153">
        <v>1411431.65</v>
      </c>
      <c r="G23" s="153">
        <v>1552186.25</v>
      </c>
      <c r="H23" s="157"/>
      <c r="I23" s="180">
        <f>I12*I24</f>
        <v>1507052.9446206</v>
      </c>
      <c r="J23" s="180">
        <f>J12*J24</f>
        <v>1722811.72212155</v>
      </c>
      <c r="K23" s="180">
        <f>K12*K24</f>
        <v>1985962.74456092</v>
      </c>
      <c r="L23" s="180">
        <f>L12*L24</f>
        <v>2309341.05074486</v>
      </c>
      <c r="M23" s="180">
        <f>M12*M24</f>
        <v>2708504.58215532</v>
      </c>
      <c r="N23" s="96"/>
      <c r="O23" s="96"/>
      <c r="P23" s="181"/>
      <c r="Q23" s="192"/>
      <c r="R23" s="192"/>
      <c r="S23" s="192"/>
      <c r="T23" s="192"/>
      <c r="U23" s="192"/>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96"/>
      <c r="CA23" s="96"/>
      <c r="CB23" s="96"/>
      <c r="CC23" s="96"/>
      <c r="CD23" s="96"/>
      <c r="CE23" s="96"/>
    </row>
    <row r="24" s="81" customFormat="1" ht="16.15" customHeight="1" spans="1:83">
      <c r="A24" s="154" t="s">
        <v>356</v>
      </c>
      <c r="B24" s="154"/>
      <c r="C24" s="154"/>
      <c r="E24" s="82">
        <f>E23/E12</f>
        <v>0.219654769689636</v>
      </c>
      <c r="F24" s="82">
        <f>F23/F12</f>
        <v>0.232874076376523</v>
      </c>
      <c r="G24" s="82">
        <f>G23/G12</f>
        <v>0.228067570675243</v>
      </c>
      <c r="H24" s="155">
        <v>0.226865472247134</v>
      </c>
      <c r="I24" s="179">
        <v>0.195</v>
      </c>
      <c r="J24" s="179">
        <v>0.195</v>
      </c>
      <c r="K24" s="179">
        <v>0.195</v>
      </c>
      <c r="L24" s="179">
        <v>0.195</v>
      </c>
      <c r="M24" s="179">
        <v>0.195</v>
      </c>
      <c r="N24" s="107"/>
      <c r="O24" s="107"/>
      <c r="P24" s="181"/>
      <c r="Q24" s="192"/>
      <c r="R24" s="192"/>
      <c r="S24" s="192"/>
      <c r="T24" s="192"/>
      <c r="U24" s="192"/>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row>
    <row r="25" ht="17.25" spans="1:27">
      <c r="A25" s="158" t="s">
        <v>362</v>
      </c>
      <c r="B25" s="159"/>
      <c r="C25" s="159"/>
      <c r="E25">
        <v>1362.08</v>
      </c>
      <c r="F25">
        <v>4570.02</v>
      </c>
      <c r="G25">
        <v>5062.34</v>
      </c>
      <c r="I25" s="120">
        <f>(F25+G25)/2</f>
        <v>4816.18</v>
      </c>
      <c r="J25" s="120">
        <f>(G25+I25)/2</f>
        <v>4939.26</v>
      </c>
      <c r="K25" s="120">
        <f>(I25+J25)/2</f>
        <v>4877.72</v>
      </c>
      <c r="L25" s="120">
        <f>(J25+K25)/2</f>
        <v>4908.49</v>
      </c>
      <c r="M25" s="120">
        <f>(K25+L25)/2</f>
        <v>4893.105</v>
      </c>
      <c r="N25" s="96"/>
      <c r="O25" s="96"/>
      <c r="P25" s="181"/>
      <c r="Q25" s="193" t="s">
        <v>363</v>
      </c>
      <c r="R25" s="194"/>
      <c r="S25" s="194"/>
      <c r="T25" s="194"/>
      <c r="U25" s="195"/>
      <c r="V25" s="96"/>
      <c r="W25" s="96"/>
      <c r="X25" s="96"/>
      <c r="Y25" s="96"/>
      <c r="Z25" s="96"/>
      <c r="AA25" s="96"/>
    </row>
    <row r="26" ht="16.15" customHeight="1" spans="1:83">
      <c r="A26" s="151" t="s">
        <v>364</v>
      </c>
      <c r="B26" s="151"/>
      <c r="C26" s="151"/>
      <c r="D26" s="102"/>
      <c r="E26" s="103">
        <f>E17+E19+E21+E23</f>
        <v>5534111.58</v>
      </c>
      <c r="F26" s="103">
        <f>F17+F19+F21+F23</f>
        <v>5541849.03</v>
      </c>
      <c r="G26" s="103">
        <f>G17+G19+G21+G23</f>
        <v>6171288.41</v>
      </c>
      <c r="H26" s="102"/>
      <c r="I26" s="103">
        <f>I17+I19+I21+I23</f>
        <v>6518986.89708283</v>
      </c>
      <c r="J26" s="103">
        <f>J17+J19+J21+J23</f>
        <v>7343614.66684734</v>
      </c>
      <c r="K26" s="103">
        <f>K17+K19+K21+K23</f>
        <v>8338010.40709335</v>
      </c>
      <c r="L26" s="103">
        <f>L17+L19+L21+L23</f>
        <v>9547670.72128839</v>
      </c>
      <c r="M26" s="103">
        <f>M17+M19+M21+M23</f>
        <v>11059062.8422194</v>
      </c>
      <c r="N26" s="96"/>
      <c r="O26" s="96"/>
      <c r="P26" s="181"/>
      <c r="Q26" s="196"/>
      <c r="R26" s="197"/>
      <c r="S26" s="197"/>
      <c r="T26" s="197"/>
      <c r="U26" s="198"/>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row>
    <row r="27" ht="17.25" spans="1:75">
      <c r="A27" s="160" t="s">
        <v>365</v>
      </c>
      <c r="B27" s="161"/>
      <c r="C27" s="161"/>
      <c r="N27" s="96"/>
      <c r="O27" s="96"/>
      <c r="P27" s="181"/>
      <c r="Q27" s="196"/>
      <c r="R27" s="197"/>
      <c r="S27" s="197"/>
      <c r="T27" s="197"/>
      <c r="U27" s="198"/>
      <c r="V27" s="96"/>
      <c r="W27" s="96"/>
      <c r="X27" s="96"/>
      <c r="Y27" s="96"/>
      <c r="Z27" s="96"/>
      <c r="AA27" s="96"/>
      <c r="AB27" s="203"/>
      <c r="AC27" s="203"/>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03"/>
      <c r="BB27" s="203"/>
      <c r="BC27" s="203"/>
      <c r="BD27" s="203"/>
      <c r="BE27" s="203"/>
      <c r="BF27" s="203"/>
      <c r="BG27" s="203"/>
      <c r="BH27" s="203"/>
      <c r="BI27" s="203"/>
      <c r="BJ27" s="203"/>
      <c r="BK27" s="203"/>
      <c r="BL27" s="203"/>
      <c r="BM27" s="203"/>
      <c r="BN27" s="203"/>
      <c r="BO27" s="203"/>
      <c r="BP27" s="203"/>
      <c r="BQ27" s="203"/>
      <c r="BR27" s="203"/>
      <c r="BS27" s="203"/>
      <c r="BT27" s="203"/>
      <c r="BU27" s="203"/>
      <c r="BV27" s="203"/>
      <c r="BW27" s="203"/>
    </row>
    <row r="28" s="73" customFormat="1" ht="14.25" customHeight="1" spans="1:75">
      <c r="A28" s="154" t="s">
        <v>356</v>
      </c>
      <c r="B28" s="154"/>
      <c r="C28" s="154"/>
      <c r="D28" s="81"/>
      <c r="E28" s="89"/>
      <c r="F28" s="89"/>
      <c r="G28" s="89"/>
      <c r="H28" s="155"/>
      <c r="I28" s="155"/>
      <c r="J28" s="155"/>
      <c r="K28" s="155"/>
      <c r="L28" s="155"/>
      <c r="M28" s="155"/>
      <c r="N28" s="107"/>
      <c r="O28" s="107"/>
      <c r="P28" s="181"/>
      <c r="Q28" s="196" t="s">
        <v>366</v>
      </c>
      <c r="R28" s="197"/>
      <c r="S28" s="197"/>
      <c r="T28" s="197"/>
      <c r="U28" s="198"/>
      <c r="V28" s="107"/>
      <c r="W28" s="107"/>
      <c r="X28" s="107"/>
      <c r="Y28" s="107"/>
      <c r="Z28" s="107"/>
      <c r="AA28" s="107"/>
      <c r="AB28" s="204"/>
      <c r="AC28" s="204"/>
      <c r="AD28" s="204"/>
      <c r="AE28" s="204"/>
      <c r="AF28" s="204"/>
      <c r="AG28" s="204"/>
      <c r="AH28" s="204"/>
      <c r="AI28" s="204"/>
      <c r="AJ28" s="204"/>
      <c r="AK28" s="204"/>
      <c r="AL28" s="204"/>
      <c r="AM28" s="204"/>
      <c r="AN28" s="204"/>
      <c r="AO28" s="204"/>
      <c r="AP28" s="204"/>
      <c r="AQ28" s="204"/>
      <c r="AR28" s="204"/>
      <c r="AS28" s="204"/>
      <c r="AT28" s="204"/>
      <c r="AU28" s="204"/>
      <c r="AV28" s="204"/>
      <c r="AW28" s="204"/>
      <c r="AX28" s="204"/>
      <c r="AY28" s="204"/>
      <c r="AZ28" s="204"/>
      <c r="BA28" s="204"/>
      <c r="BB28" s="204"/>
      <c r="BC28" s="204"/>
      <c r="BD28" s="204"/>
      <c r="BE28" s="204"/>
      <c r="BF28" s="204"/>
      <c r="BG28" s="204"/>
      <c r="BH28" s="204"/>
      <c r="BI28" s="204"/>
      <c r="BJ28" s="204"/>
      <c r="BK28" s="204"/>
      <c r="BL28" s="204"/>
      <c r="BM28" s="204"/>
      <c r="BN28" s="204"/>
      <c r="BO28" s="204"/>
      <c r="BP28" s="204"/>
      <c r="BQ28" s="204"/>
      <c r="BR28" s="204"/>
      <c r="BS28" s="204"/>
      <c r="BT28" s="204"/>
      <c r="BU28" s="204"/>
      <c r="BV28" s="204"/>
      <c r="BW28" s="204"/>
    </row>
    <row r="29" ht="16.5" spans="1:75">
      <c r="A29" s="95" t="s">
        <v>367</v>
      </c>
      <c r="B29" s="41"/>
      <c r="C29" s="41"/>
      <c r="E29">
        <v>18634.75</v>
      </c>
      <c r="F29">
        <v>39926.1</v>
      </c>
      <c r="G29">
        <v>13467.93</v>
      </c>
      <c r="I29" s="120">
        <f>I12*I30</f>
        <v>27049.66823678</v>
      </c>
      <c r="J29" s="120">
        <f>J12*J30</f>
        <v>30922.2616791047</v>
      </c>
      <c r="K29" s="120">
        <f>K12*K30</f>
        <v>35645.4851587858</v>
      </c>
      <c r="L29" s="120">
        <f>L12*L30</f>
        <v>41449.7111672154</v>
      </c>
      <c r="M29" s="120">
        <f>M12*M30</f>
        <v>48614.1848079159</v>
      </c>
      <c r="N29" s="96"/>
      <c r="O29" s="96"/>
      <c r="P29" s="181"/>
      <c r="Q29" s="196"/>
      <c r="R29" s="197"/>
      <c r="S29" s="197"/>
      <c r="T29" s="197"/>
      <c r="U29" s="198"/>
      <c r="V29" s="96"/>
      <c r="W29" s="96"/>
      <c r="X29" s="96"/>
      <c r="Y29" s="96"/>
      <c r="Z29" s="96"/>
      <c r="AA29" s="96"/>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row>
    <row r="30" s="73" customFormat="1" spans="1:75">
      <c r="A30" s="154" t="s">
        <v>356</v>
      </c>
      <c r="B30" s="154"/>
      <c r="C30" s="154"/>
      <c r="D30" s="81"/>
      <c r="E30" s="82">
        <f>E29/E12</f>
        <v>0.00308727450804035</v>
      </c>
      <c r="F30" s="82">
        <f>F29/F12</f>
        <v>0.00658746292164887</v>
      </c>
      <c r="G30" s="82">
        <f>G29/G12</f>
        <v>0.0019788849934241</v>
      </c>
      <c r="H30" s="155">
        <v>0.00388454080770444</v>
      </c>
      <c r="I30" s="155">
        <v>0.0035</v>
      </c>
      <c r="J30" s="155">
        <v>0.0035</v>
      </c>
      <c r="K30" s="155">
        <v>0.0035</v>
      </c>
      <c r="L30" s="155">
        <v>0.0035</v>
      </c>
      <c r="M30" s="155">
        <v>0.0035</v>
      </c>
      <c r="N30" s="107"/>
      <c r="O30" s="107"/>
      <c r="P30" s="181"/>
      <c r="Q30" s="196"/>
      <c r="R30" s="197"/>
      <c r="S30" s="197"/>
      <c r="T30" s="197"/>
      <c r="U30" s="198"/>
      <c r="V30" s="107"/>
      <c r="W30" s="107"/>
      <c r="X30" s="107"/>
      <c r="Y30" s="107"/>
      <c r="Z30" s="107"/>
      <c r="AA30" s="107"/>
      <c r="AB30" s="204"/>
      <c r="AC30" s="204"/>
      <c r="AD30" s="204"/>
      <c r="AE30" s="204"/>
      <c r="AF30" s="204"/>
      <c r="AG30" s="204"/>
      <c r="AH30" s="204"/>
      <c r="AI30" s="204"/>
      <c r="AJ30" s="204"/>
      <c r="AK30" s="204"/>
      <c r="AL30" s="204"/>
      <c r="AM30" s="204"/>
      <c r="AN30" s="204"/>
      <c r="AO30" s="204"/>
      <c r="AP30" s="204"/>
      <c r="AQ30" s="204"/>
      <c r="AR30" s="204"/>
      <c r="AS30" s="204"/>
      <c r="AT30" s="204"/>
      <c r="AU30" s="204"/>
      <c r="AV30" s="204"/>
      <c r="AW30" s="204"/>
      <c r="AX30" s="204"/>
      <c r="AY30" s="204"/>
      <c r="AZ30" s="204"/>
      <c r="BA30" s="204"/>
      <c r="BB30" s="204"/>
      <c r="BC30" s="204"/>
      <c r="BD30" s="204"/>
      <c r="BE30" s="204"/>
      <c r="BF30" s="204"/>
      <c r="BG30" s="204"/>
      <c r="BH30" s="204"/>
      <c r="BI30" s="204"/>
      <c r="BJ30" s="204"/>
      <c r="BK30" s="204"/>
      <c r="BL30" s="204"/>
      <c r="BM30" s="204"/>
      <c r="BN30" s="204"/>
      <c r="BO30" s="204"/>
      <c r="BP30" s="204"/>
      <c r="BQ30" s="204"/>
      <c r="BR30" s="204"/>
      <c r="BS30" s="204"/>
      <c r="BT30" s="204"/>
      <c r="BU30" s="204"/>
      <c r="BV30" s="204"/>
      <c r="BW30" s="204"/>
    </row>
    <row r="31" s="133" customFormat="1" ht="14.25" spans="1:75">
      <c r="A31" s="162" t="s">
        <v>368</v>
      </c>
      <c r="B31" s="162"/>
      <c r="C31" s="162"/>
      <c r="D31" s="163"/>
      <c r="E31" s="164">
        <f>E27+E29</f>
        <v>18634.75</v>
      </c>
      <c r="F31" s="164">
        <f t="shared" ref="F31:M31" si="0">F27+F29</f>
        <v>39926.1</v>
      </c>
      <c r="G31" s="164">
        <f>G27+G29+78801.38</f>
        <v>92269.31</v>
      </c>
      <c r="H31" s="164"/>
      <c r="I31" s="164">
        <f>I27+I29+78801.38</f>
        <v>105851.04823678</v>
      </c>
      <c r="J31" s="164">
        <f>J27+J29+78801.38</f>
        <v>109723.641679105</v>
      </c>
      <c r="K31" s="164">
        <f>K27+K29+78801.38</f>
        <v>114446.865158786</v>
      </c>
      <c r="L31" s="164">
        <f>L27+L29+78801.38</f>
        <v>120251.091167215</v>
      </c>
      <c r="M31" s="164">
        <f>M27+M29+78801.38</f>
        <v>127415.564807916</v>
      </c>
      <c r="N31" s="182"/>
      <c r="O31" s="182"/>
      <c r="P31" s="181"/>
      <c r="Q31" s="199"/>
      <c r="R31" s="200"/>
      <c r="S31" s="200"/>
      <c r="T31" s="200"/>
      <c r="U31" s="201"/>
      <c r="V31" s="182"/>
      <c r="W31" s="182"/>
      <c r="X31" s="182"/>
      <c r="Y31" s="182"/>
      <c r="Z31" s="182"/>
      <c r="AA31" s="182"/>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c r="BB31" s="203"/>
      <c r="BC31" s="203"/>
      <c r="BD31" s="203"/>
      <c r="BE31" s="203"/>
      <c r="BF31" s="203"/>
      <c r="BG31" s="203"/>
      <c r="BH31" s="203"/>
      <c r="BI31" s="203"/>
      <c r="BJ31" s="203"/>
      <c r="BK31" s="203"/>
      <c r="BL31" s="203"/>
      <c r="BM31" s="203"/>
      <c r="BN31" s="203"/>
      <c r="BO31" s="203"/>
      <c r="BP31" s="203"/>
      <c r="BQ31" s="203"/>
      <c r="BR31" s="203"/>
      <c r="BS31" s="203"/>
      <c r="BT31" s="203"/>
      <c r="BU31" s="203"/>
      <c r="BV31" s="203"/>
      <c r="BW31" s="203"/>
    </row>
    <row r="32" s="102" customFormat="1" ht="15" spans="1:75">
      <c r="A32" s="101" t="s">
        <v>369</v>
      </c>
      <c r="B32" s="101"/>
      <c r="C32" s="101"/>
      <c r="E32" s="103">
        <f>E12-E26+E31</f>
        <v>520510.560000001</v>
      </c>
      <c r="F32" s="103">
        <f t="shared" ref="F32:I32" si="1">F12-F26+F31</f>
        <v>558999.229999999</v>
      </c>
      <c r="G32" s="103">
        <f t="shared" si="1"/>
        <v>726798.34</v>
      </c>
      <c r="I32" s="103">
        <f t="shared" si="1"/>
        <v>1315340.79023395</v>
      </c>
      <c r="J32" s="103">
        <f t="shared" ref="J32" si="2">J12-J26+J31</f>
        <v>1601040.88314741</v>
      </c>
      <c r="K32" s="103">
        <f t="shared" ref="K32" si="3">K12-K26+K31</f>
        <v>1960860.78914709</v>
      </c>
      <c r="L32" s="103">
        <f t="shared" ref="L32" si="4">L12-L26+L31</f>
        <v>2415354.98908321</v>
      </c>
      <c r="M32" s="103">
        <f t="shared" ref="M32" si="5">M12-M26+M31</f>
        <v>2958119.81056452</v>
      </c>
      <c r="N32" s="96"/>
      <c r="O32" s="96"/>
      <c r="P32" s="181"/>
      <c r="Q32" s="202" t="s">
        <v>370</v>
      </c>
      <c r="R32" s="202"/>
      <c r="S32" s="202"/>
      <c r="T32" s="202"/>
      <c r="U32" s="202"/>
      <c r="V32" s="96"/>
      <c r="W32" s="96"/>
      <c r="X32" s="96"/>
      <c r="Y32" s="96"/>
      <c r="Z32" s="96"/>
      <c r="AA32" s="96"/>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row>
    <row r="33" s="134" customFormat="1" ht="15" spans="1:75">
      <c r="A33" s="113" t="s">
        <v>371</v>
      </c>
      <c r="B33" s="113"/>
      <c r="C33" s="113"/>
      <c r="E33" s="165">
        <f>E32/E12</f>
        <v>0.0862345340320534</v>
      </c>
      <c r="F33" s="165">
        <f>F32/F12</f>
        <v>0.0922300625619648</v>
      </c>
      <c r="G33" s="165">
        <f>G32/G12</f>
        <v>0.106790748709827</v>
      </c>
      <c r="I33" s="165">
        <f>I32/I12</f>
        <v>0.170194056559965</v>
      </c>
      <c r="J33" s="165">
        <f>J32/J12</f>
        <v>0.181217116301764</v>
      </c>
      <c r="K33" s="165">
        <f>K32/K12</f>
        <v>0.192535260256466</v>
      </c>
      <c r="L33" s="165">
        <f>L32/L12</f>
        <v>0.203951782141192</v>
      </c>
      <c r="M33" s="165">
        <f>M32/M12</f>
        <v>0.212971160123001</v>
      </c>
      <c r="N33" s="107"/>
      <c r="O33" s="107"/>
      <c r="P33" s="181"/>
      <c r="Q33" s="202"/>
      <c r="R33" s="202"/>
      <c r="S33" s="202"/>
      <c r="T33" s="202"/>
      <c r="U33" s="202"/>
      <c r="V33" s="107"/>
      <c r="W33" s="107"/>
      <c r="X33" s="107"/>
      <c r="Y33" s="107"/>
      <c r="Z33" s="107"/>
      <c r="AA33" s="107"/>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206"/>
      <c r="BF33" s="206"/>
      <c r="BG33" s="206"/>
      <c r="BH33" s="206"/>
      <c r="BI33" s="206"/>
      <c r="BJ33" s="206"/>
      <c r="BK33" s="206"/>
      <c r="BL33" s="206"/>
      <c r="BM33" s="206"/>
      <c r="BN33" s="206"/>
      <c r="BO33" s="206"/>
      <c r="BP33" s="206"/>
      <c r="BQ33" s="206"/>
      <c r="BR33" s="206"/>
      <c r="BS33" s="206"/>
      <c r="BT33" s="206"/>
      <c r="BU33" s="206"/>
      <c r="BV33" s="206"/>
      <c r="BW33" s="206"/>
    </row>
    <row r="34" ht="14.25" spans="14:75">
      <c r="N34" s="96"/>
      <c r="O34" s="96"/>
      <c r="P34" s="181"/>
      <c r="Q34" s="202"/>
      <c r="R34" s="202"/>
      <c r="S34" s="202"/>
      <c r="T34" s="202"/>
      <c r="U34" s="202"/>
      <c r="V34" s="96"/>
      <c r="W34" s="96"/>
      <c r="X34" s="96"/>
      <c r="Y34" s="96"/>
      <c r="Z34" s="96"/>
      <c r="AA34" s="96"/>
      <c r="AB34" s="203"/>
      <c r="AC34" s="203"/>
      <c r="AD34" s="203"/>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c r="BB34" s="203"/>
      <c r="BC34" s="203"/>
      <c r="BD34" s="203"/>
      <c r="BE34" s="203"/>
      <c r="BF34" s="203"/>
      <c r="BG34" s="203"/>
      <c r="BH34" s="203"/>
      <c r="BI34" s="203"/>
      <c r="BJ34" s="203"/>
      <c r="BK34" s="203"/>
      <c r="BL34" s="203"/>
      <c r="BM34" s="203"/>
      <c r="BN34" s="203"/>
      <c r="BO34" s="203"/>
      <c r="BP34" s="203"/>
      <c r="BQ34" s="203"/>
      <c r="BR34" s="203"/>
      <c r="BS34" s="203"/>
      <c r="BT34" s="203"/>
      <c r="BU34" s="203"/>
      <c r="BV34" s="203"/>
      <c r="BW34" s="203"/>
    </row>
    <row r="35" ht="14.25" spans="1:75">
      <c r="A35" s="117" t="s">
        <v>372</v>
      </c>
      <c r="B35" s="117"/>
      <c r="C35" s="117"/>
      <c r="D35" s="166"/>
      <c r="E35" s="167">
        <f>E32*E36</f>
        <v>29929.3572</v>
      </c>
      <c r="F35" s="167">
        <f>F32*F36</f>
        <v>112638.344845</v>
      </c>
      <c r="G35" s="167">
        <f>G32*G36</f>
        <v>168835.254382</v>
      </c>
      <c r="H35" s="168"/>
      <c r="I35" s="167">
        <f>I32*I36</f>
        <v>289374.973851469</v>
      </c>
      <c r="J35" s="167">
        <f>J32*J36</f>
        <v>352228.994292429</v>
      </c>
      <c r="K35" s="167">
        <f>K32*K36</f>
        <v>431389.37361236</v>
      </c>
      <c r="L35" s="167">
        <f>L32*L36</f>
        <v>531378.097598307</v>
      </c>
      <c r="M35" s="167">
        <f>M32*M36</f>
        <v>650786.358324195</v>
      </c>
      <c r="N35" s="96"/>
      <c r="O35" s="96"/>
      <c r="P35" s="181"/>
      <c r="Q35" s="202"/>
      <c r="R35" s="202"/>
      <c r="S35" s="202"/>
      <c r="T35" s="202"/>
      <c r="U35" s="202"/>
      <c r="V35" s="96"/>
      <c r="W35" s="96"/>
      <c r="X35" s="96"/>
      <c r="Y35" s="96"/>
      <c r="Z35" s="96"/>
      <c r="AA35" s="96"/>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3"/>
      <c r="BI35" s="203"/>
      <c r="BJ35" s="203"/>
      <c r="BK35" s="203"/>
      <c r="BL35" s="203"/>
      <c r="BM35" s="203"/>
      <c r="BN35" s="203"/>
      <c r="BO35" s="203"/>
      <c r="BP35" s="203"/>
      <c r="BQ35" s="203"/>
      <c r="BR35" s="203"/>
      <c r="BS35" s="203"/>
      <c r="BT35" s="203"/>
      <c r="BU35" s="203"/>
      <c r="BV35" s="203"/>
      <c r="BW35" s="203"/>
    </row>
    <row r="36" s="135" customFormat="1" ht="15" customHeight="1" spans="1:75">
      <c r="A36" s="169" t="s">
        <v>373</v>
      </c>
      <c r="B36" s="169"/>
      <c r="C36" s="169"/>
      <c r="D36" s="170"/>
      <c r="E36" s="171">
        <v>0.0575</v>
      </c>
      <c r="F36" s="171">
        <v>0.2015</v>
      </c>
      <c r="G36" s="171">
        <v>0.2323</v>
      </c>
      <c r="H36" s="172"/>
      <c r="I36" s="171">
        <v>0.22</v>
      </c>
      <c r="J36" s="171">
        <v>0.22</v>
      </c>
      <c r="K36" s="171">
        <v>0.22</v>
      </c>
      <c r="L36" s="171">
        <v>0.22</v>
      </c>
      <c r="M36" s="171">
        <v>0.22</v>
      </c>
      <c r="N36" s="96"/>
      <c r="O36" s="96"/>
      <c r="P36" s="181"/>
      <c r="Q36" s="193" t="s">
        <v>374</v>
      </c>
      <c r="R36" s="194"/>
      <c r="S36" s="194"/>
      <c r="T36" s="194"/>
      <c r="U36" s="195"/>
      <c r="V36" s="96"/>
      <c r="W36" s="96"/>
      <c r="X36" s="96"/>
      <c r="Y36" s="96"/>
      <c r="Z36" s="96"/>
      <c r="AA36" s="96"/>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c r="BM36" s="207"/>
      <c r="BN36" s="207"/>
      <c r="BO36" s="207"/>
      <c r="BP36" s="207"/>
      <c r="BQ36" s="207"/>
      <c r="BR36" s="207"/>
      <c r="BS36" s="207"/>
      <c r="BT36" s="207"/>
      <c r="BU36" s="207"/>
      <c r="BV36" s="207"/>
      <c r="BW36" s="207"/>
    </row>
    <row r="37" spans="1:75">
      <c r="A37" s="173"/>
      <c r="B37" s="173"/>
      <c r="C37" s="173"/>
      <c r="D37" s="133"/>
      <c r="E37" s="173"/>
      <c r="F37" s="173"/>
      <c r="G37" s="173"/>
      <c r="H37" s="173"/>
      <c r="I37" s="173"/>
      <c r="J37" s="173"/>
      <c r="K37" s="173"/>
      <c r="L37" s="173"/>
      <c r="M37" s="173"/>
      <c r="N37" s="96"/>
      <c r="O37" s="96"/>
      <c r="P37" s="181"/>
      <c r="Q37" s="196"/>
      <c r="R37" s="197"/>
      <c r="S37" s="197"/>
      <c r="T37" s="197"/>
      <c r="U37" s="198"/>
      <c r="V37" s="96"/>
      <c r="W37" s="96"/>
      <c r="X37" s="96"/>
      <c r="Y37" s="96"/>
      <c r="Z37" s="96"/>
      <c r="AA37" s="96"/>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row>
    <row r="38" ht="14.25" customHeight="1" spans="1:75">
      <c r="A38" s="117" t="s">
        <v>375</v>
      </c>
      <c r="B38" s="117"/>
      <c r="C38" s="117"/>
      <c r="D38" s="166"/>
      <c r="E38" s="167">
        <f>E32-E35</f>
        <v>490581.2028</v>
      </c>
      <c r="F38" s="167">
        <f>F32-F35</f>
        <v>446360.885154999</v>
      </c>
      <c r="G38" s="167">
        <f>G32-G35</f>
        <v>557963.085618</v>
      </c>
      <c r="H38" s="168"/>
      <c r="I38" s="167">
        <f>I32-I35</f>
        <v>1025965.81638248</v>
      </c>
      <c r="J38" s="167">
        <f>J32-J35</f>
        <v>1248811.88885498</v>
      </c>
      <c r="K38" s="167">
        <f>K32-K35</f>
        <v>1529471.41553473</v>
      </c>
      <c r="L38" s="167">
        <f>L32-L35</f>
        <v>1883976.89148491</v>
      </c>
      <c r="M38" s="167">
        <f>M32-M35</f>
        <v>2307333.45224033</v>
      </c>
      <c r="P38" s="181"/>
      <c r="Q38" s="199"/>
      <c r="R38" s="200"/>
      <c r="S38" s="200"/>
      <c r="T38" s="200"/>
      <c r="U38" s="201"/>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c r="BB38" s="203"/>
      <c r="BC38" s="203"/>
      <c r="BD38" s="203"/>
      <c r="BE38" s="203"/>
      <c r="BF38" s="203"/>
      <c r="BG38" s="203"/>
      <c r="BH38" s="203"/>
      <c r="BI38" s="203"/>
      <c r="BJ38" s="203"/>
      <c r="BK38" s="203"/>
      <c r="BL38" s="203"/>
      <c r="BM38" s="203"/>
      <c r="BN38" s="203"/>
      <c r="BO38" s="203"/>
      <c r="BP38" s="203"/>
      <c r="BQ38" s="203"/>
      <c r="BR38" s="203"/>
      <c r="BS38" s="203"/>
      <c r="BT38" s="203"/>
      <c r="BU38" s="203"/>
      <c r="BV38" s="203"/>
      <c r="BW38" s="203"/>
    </row>
    <row r="39" ht="14.25" spans="1:75">
      <c r="A39" s="133"/>
      <c r="B39" s="133"/>
      <c r="C39" s="133"/>
      <c r="D39" s="133"/>
      <c r="E39" s="133"/>
      <c r="F39" s="133"/>
      <c r="G39" s="133"/>
      <c r="H39" s="133"/>
      <c r="I39" s="133"/>
      <c r="J39" s="133"/>
      <c r="K39" s="133"/>
      <c r="L39" s="133"/>
      <c r="M39" s="133"/>
      <c r="P39" s="183"/>
      <c r="Q39" s="188"/>
      <c r="R39" s="189"/>
      <c r="S39" s="189"/>
      <c r="T39" s="189"/>
      <c r="U39" s="189"/>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3"/>
      <c r="BM39" s="203"/>
      <c r="BN39" s="203"/>
      <c r="BO39" s="203"/>
      <c r="BP39" s="203"/>
      <c r="BQ39" s="203"/>
      <c r="BR39" s="203"/>
      <c r="BS39" s="203"/>
      <c r="BT39" s="203"/>
      <c r="BU39" s="203"/>
      <c r="BV39" s="203"/>
      <c r="BW39" s="203"/>
    </row>
    <row r="40" spans="16:75">
      <c r="P40" s="183"/>
      <c r="Q40" s="189"/>
      <c r="R40" s="189"/>
      <c r="S40" s="189"/>
      <c r="T40" s="189"/>
      <c r="U40" s="189"/>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c r="BB40" s="203"/>
      <c r="BC40" s="203"/>
      <c r="BD40" s="203"/>
      <c r="BE40" s="203"/>
      <c r="BF40" s="203"/>
      <c r="BG40" s="203"/>
      <c r="BH40" s="203"/>
      <c r="BI40" s="203"/>
      <c r="BJ40" s="203"/>
      <c r="BK40" s="203"/>
      <c r="BL40" s="203"/>
      <c r="BM40" s="203"/>
      <c r="BN40" s="203"/>
      <c r="BO40" s="203"/>
      <c r="BP40" s="203"/>
      <c r="BQ40" s="203"/>
      <c r="BR40" s="203"/>
      <c r="BS40" s="203"/>
      <c r="BT40" s="203"/>
      <c r="BU40" s="203"/>
      <c r="BV40" s="203"/>
      <c r="BW40" s="203"/>
    </row>
    <row r="41" spans="16:75">
      <c r="P41" s="183"/>
      <c r="Q41" s="189"/>
      <c r="R41" s="189"/>
      <c r="S41" s="189"/>
      <c r="T41" s="189"/>
      <c r="U41" s="189"/>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row>
  </sheetData>
  <mergeCells count="40">
    <mergeCell ref="E1:G1"/>
    <mergeCell ref="A3:C3"/>
    <mergeCell ref="A4:C4"/>
    <mergeCell ref="A5:C5"/>
    <mergeCell ref="A6:C6"/>
    <mergeCell ref="A7:C7"/>
    <mergeCell ref="A8:C8"/>
    <mergeCell ref="A9:C9"/>
    <mergeCell ref="A10:C10"/>
    <mergeCell ref="A11:C11"/>
    <mergeCell ref="A12:C12"/>
    <mergeCell ref="A13:C13"/>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5:C35"/>
    <mergeCell ref="A36:C36"/>
    <mergeCell ref="A38:C38"/>
    <mergeCell ref="P21:P38"/>
    <mergeCell ref="Q28:U31"/>
    <mergeCell ref="Q25:U27"/>
    <mergeCell ref="Q21:U24"/>
    <mergeCell ref="Q32:U35"/>
    <mergeCell ref="Q36:U38"/>
    <mergeCell ref="A1:C2"/>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J1" workbookViewId="0">
      <selection activeCell="M13" sqref="M13"/>
    </sheetView>
  </sheetViews>
  <sheetFormatPr defaultColWidth="9" defaultRowHeight="13.5"/>
  <cols>
    <col min="4" max="4" width="14.25" customWidth="1"/>
    <col min="5" max="7" width="17.75" customWidth="1"/>
    <col min="8" max="8" width="15.5" customWidth="1"/>
    <col min="9" max="13" width="18.25" customWidth="1"/>
  </cols>
  <sheetData>
    <row r="1" s="26" customFormat="1" ht="14.25" spans="1:13">
      <c r="A1" s="74" t="s">
        <v>376</v>
      </c>
      <c r="B1" s="74"/>
      <c r="C1" s="74"/>
      <c r="D1" s="75"/>
      <c r="E1" s="76" t="s">
        <v>336</v>
      </c>
      <c r="F1" s="76"/>
      <c r="G1" s="77"/>
      <c r="H1" s="78"/>
      <c r="I1" s="83" t="s">
        <v>338</v>
      </c>
      <c r="J1" s="84"/>
      <c r="K1" s="84"/>
      <c r="L1" s="84"/>
      <c r="M1" s="84"/>
    </row>
    <row r="2" s="26" customFormat="1" ht="14.25" spans="1:13">
      <c r="A2" s="35"/>
      <c r="B2" s="35"/>
      <c r="C2" s="35"/>
      <c r="D2" s="36" t="s">
        <v>339</v>
      </c>
      <c r="E2" s="37">
        <v>2015</v>
      </c>
      <c r="F2" s="37">
        <v>2016</v>
      </c>
      <c r="G2" s="38">
        <v>2017</v>
      </c>
      <c r="H2" s="39"/>
      <c r="I2" s="37" t="s">
        <v>341</v>
      </c>
      <c r="J2" s="37" t="s">
        <v>342</v>
      </c>
      <c r="K2" s="37" t="s">
        <v>343</v>
      </c>
      <c r="L2" s="37" t="s">
        <v>344</v>
      </c>
      <c r="M2" s="37" t="s">
        <v>345</v>
      </c>
    </row>
    <row r="3" ht="14.25"/>
    <row r="4" s="27" customFormat="1" ht="16.5" spans="1:22">
      <c r="A4" s="110" t="s">
        <v>377</v>
      </c>
      <c r="B4" s="111"/>
      <c r="C4" s="111"/>
      <c r="E4" s="27">
        <v>1886127.355676</v>
      </c>
      <c r="F4" s="27">
        <v>2148292.80673</v>
      </c>
      <c r="G4" s="27">
        <f>2081632.788822</f>
        <v>2081632.788822</v>
      </c>
      <c r="O4" s="121" t="s">
        <v>359</v>
      </c>
      <c r="P4" s="122" t="s">
        <v>378</v>
      </c>
      <c r="Q4" s="127"/>
      <c r="R4" s="127"/>
      <c r="S4" s="127"/>
      <c r="T4" s="127"/>
      <c r="U4" s="127"/>
      <c r="V4" s="128"/>
    </row>
    <row r="5" s="27" customFormat="1" ht="16.5" spans="1:22">
      <c r="A5" s="110" t="s">
        <v>379</v>
      </c>
      <c r="B5" s="111"/>
      <c r="C5" s="111"/>
      <c r="E5" s="27">
        <v>149683.895761</v>
      </c>
      <c r="F5" s="27">
        <v>146273.04962</v>
      </c>
      <c r="G5" s="27">
        <v>140838.792596</v>
      </c>
      <c r="O5" s="123"/>
      <c r="P5" s="124"/>
      <c r="Q5" s="129"/>
      <c r="R5" s="129"/>
      <c r="S5" s="129"/>
      <c r="T5" s="129"/>
      <c r="U5" s="129"/>
      <c r="V5" s="130"/>
    </row>
    <row r="6" s="27" customFormat="1" ht="16.5" spans="1:22">
      <c r="A6" s="110" t="s">
        <v>380</v>
      </c>
      <c r="B6" s="111"/>
      <c r="C6" s="111"/>
      <c r="E6" s="27">
        <v>107277.939065</v>
      </c>
      <c r="F6" s="27">
        <v>112362.743059</v>
      </c>
      <c r="G6" s="27">
        <v>118272.216087</v>
      </c>
      <c r="O6" s="123"/>
      <c r="P6" s="124"/>
      <c r="Q6" s="129"/>
      <c r="R6" s="129"/>
      <c r="S6" s="129"/>
      <c r="T6" s="129"/>
      <c r="U6" s="129"/>
      <c r="V6" s="130"/>
    </row>
    <row r="7" s="27" customFormat="1" ht="17.25" spans="1:22">
      <c r="A7" s="110" t="s">
        <v>381</v>
      </c>
      <c r="B7" s="111"/>
      <c r="C7" s="111"/>
      <c r="E7" s="27">
        <v>2614.371159</v>
      </c>
      <c r="F7" s="27">
        <v>2730.178978</v>
      </c>
      <c r="G7" s="27">
        <v>1756.649232</v>
      </c>
      <c r="O7" s="125"/>
      <c r="P7" s="126"/>
      <c r="Q7" s="131"/>
      <c r="R7" s="131"/>
      <c r="S7" s="131"/>
      <c r="T7" s="131"/>
      <c r="U7" s="131"/>
      <c r="V7" s="132"/>
    </row>
    <row r="8" s="27" customFormat="1" ht="16.5" spans="1:13">
      <c r="A8" s="110" t="s">
        <v>382</v>
      </c>
      <c r="B8" s="111"/>
      <c r="C8" s="111"/>
      <c r="E8" s="27">
        <f>E4+E6</f>
        <v>1993405.294741</v>
      </c>
      <c r="F8" s="27">
        <f t="shared" ref="F8:G8" si="0">F4+F6</f>
        <v>2260655.549789</v>
      </c>
      <c r="G8" s="27">
        <f t="shared" si="0"/>
        <v>2199905.004909</v>
      </c>
      <c r="H8" s="112">
        <v>0.0535971086067259</v>
      </c>
      <c r="I8" s="27">
        <f>G8*(1+6%)</f>
        <v>2331899.30520354</v>
      </c>
      <c r="J8" s="27">
        <v>2331899.30520354</v>
      </c>
      <c r="K8" s="27">
        <v>2331899.30520354</v>
      </c>
      <c r="L8" s="27">
        <v>2331899.30520354</v>
      </c>
      <c r="M8" s="27">
        <v>2331899.30520354</v>
      </c>
    </row>
    <row r="9" ht="14.25" spans="1:13">
      <c r="A9" s="113" t="s">
        <v>383</v>
      </c>
      <c r="B9" s="113"/>
      <c r="C9" s="113"/>
      <c r="D9" s="102"/>
      <c r="E9" s="114">
        <f>E7+E5</f>
        <v>152298.26692</v>
      </c>
      <c r="F9" s="114">
        <f t="shared" ref="F9:G9" si="1">F7+F5</f>
        <v>149003.228598</v>
      </c>
      <c r="G9" s="114">
        <f t="shared" si="1"/>
        <v>142595.441828</v>
      </c>
      <c r="H9" s="114"/>
      <c r="I9" s="114">
        <f>I8*7%</f>
        <v>163232.951364248</v>
      </c>
      <c r="J9" s="114">
        <v>163232.951364248</v>
      </c>
      <c r="K9" s="114">
        <v>163232.951364248</v>
      </c>
      <c r="L9" s="114">
        <v>163232.951364248</v>
      </c>
      <c r="M9" s="114">
        <v>163232.951364248</v>
      </c>
    </row>
    <row r="10" ht="15" spans="1:13">
      <c r="A10" s="113" t="s">
        <v>384</v>
      </c>
      <c r="B10" s="113"/>
      <c r="C10" s="113"/>
      <c r="D10" s="102"/>
      <c r="E10" s="115">
        <f>(E7+E5)/E8</f>
        <v>0.0764010546785409</v>
      </c>
      <c r="F10" s="115">
        <f>(F7+F5)/F8</f>
        <v>0.065911513415614</v>
      </c>
      <c r="G10" s="115">
        <f>(G7+G5)/G8</f>
        <v>0.0648189087755171</v>
      </c>
      <c r="H10" s="116">
        <f>(E10+F10+G10)/3</f>
        <v>0.069043825623224</v>
      </c>
      <c r="I10" s="116">
        <v>0.069043825623224</v>
      </c>
      <c r="J10" s="116">
        <v>0.069043825623224</v>
      </c>
      <c r="K10" s="116">
        <v>0.069043825623224</v>
      </c>
      <c r="L10" s="116">
        <v>0.069043825623224</v>
      </c>
      <c r="M10" s="116">
        <v>0.069043825623224</v>
      </c>
    </row>
    <row r="11" ht="14.25"/>
    <row r="12" ht="14.25" spans="1:13">
      <c r="A12" s="113" t="s">
        <v>369</v>
      </c>
      <c r="B12" s="113"/>
      <c r="C12" s="113"/>
      <c r="D12" s="102"/>
      <c r="E12" s="103">
        <f>营业收入和支出预测!E32</f>
        <v>520510.560000001</v>
      </c>
      <c r="F12" s="103">
        <f>营业收入和支出预测!F32</f>
        <v>558999.229999999</v>
      </c>
      <c r="G12" s="103">
        <f>营业收入和支出预测!G32</f>
        <v>726798.34</v>
      </c>
      <c r="H12" s="102"/>
      <c r="I12" s="103">
        <f>营业收入和支出预测!I32</f>
        <v>1315340.79023395</v>
      </c>
      <c r="J12" s="103">
        <f>营业收入和支出预测!J32</f>
        <v>1601040.88314741</v>
      </c>
      <c r="K12" s="103">
        <f>营业收入和支出预测!K32</f>
        <v>1960860.78914709</v>
      </c>
      <c r="L12" s="103">
        <f>营业收入和支出预测!L32</f>
        <v>2415354.98908321</v>
      </c>
      <c r="M12" s="103">
        <f>营业收入和支出预测!M32</f>
        <v>2958119.81056452</v>
      </c>
    </row>
    <row r="13" ht="15" spans="1:13">
      <c r="A13" s="117" t="s">
        <v>385</v>
      </c>
      <c r="B13" s="117"/>
      <c r="C13" s="117"/>
      <c r="D13" s="118"/>
      <c r="E13" s="119">
        <f>E9+E12</f>
        <v>672808.82692</v>
      </c>
      <c r="F13" s="119">
        <f t="shared" ref="F13:M13" si="2">F9+F12</f>
        <v>708002.458597999</v>
      </c>
      <c r="G13" s="119">
        <f t="shared" si="2"/>
        <v>869393.781828</v>
      </c>
      <c r="H13" s="119">
        <f t="shared" si="2"/>
        <v>0</v>
      </c>
      <c r="I13" s="119">
        <f t="shared" si="2"/>
        <v>1478573.7415982</v>
      </c>
      <c r="J13" s="119">
        <f t="shared" si="2"/>
        <v>1764273.83451165</v>
      </c>
      <c r="K13" s="119">
        <f t="shared" si="2"/>
        <v>2124093.74051134</v>
      </c>
      <c r="L13" s="119">
        <f t="shared" si="2"/>
        <v>2578587.94044746</v>
      </c>
      <c r="M13" s="119">
        <f t="shared" si="2"/>
        <v>3121352.76192877</v>
      </c>
    </row>
    <row r="14" ht="14.25"/>
    <row r="16" spans="8:8">
      <c r="H16" s="120"/>
    </row>
    <row r="18" spans="8:8">
      <c r="H18" s="120"/>
    </row>
  </sheetData>
  <mergeCells count="13">
    <mergeCell ref="E1:G1"/>
    <mergeCell ref="A4:C4"/>
    <mergeCell ref="A5:C5"/>
    <mergeCell ref="A6:C6"/>
    <mergeCell ref="A7:C7"/>
    <mergeCell ref="A8:C8"/>
    <mergeCell ref="A9:C9"/>
    <mergeCell ref="A10:C10"/>
    <mergeCell ref="A12:C12"/>
    <mergeCell ref="A13:C13"/>
    <mergeCell ref="O4:O7"/>
    <mergeCell ref="P4:V7"/>
    <mergeCell ref="A1:C2"/>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
  <sheetViews>
    <sheetView topLeftCell="L1" workbookViewId="0">
      <selection activeCell="N16" sqref="N16"/>
    </sheetView>
  </sheetViews>
  <sheetFormatPr defaultColWidth="9" defaultRowHeight="13.5"/>
  <cols>
    <col min="4" max="4" width="14.25" customWidth="1"/>
    <col min="5" max="5" width="13.875" customWidth="1"/>
    <col min="6" max="6" width="15.375" customWidth="1"/>
    <col min="7" max="7" width="17.75" customWidth="1"/>
    <col min="8" max="8" width="23.75" customWidth="1"/>
    <col min="9" max="10" width="22.75" customWidth="1"/>
    <col min="11" max="13" width="17.875" customWidth="1"/>
  </cols>
  <sheetData>
    <row r="1" s="26" customFormat="1" ht="15" spans="1:13">
      <c r="A1" s="74" t="s">
        <v>335</v>
      </c>
      <c r="B1" s="74"/>
      <c r="C1" s="74"/>
      <c r="D1" s="75"/>
      <c r="E1" s="76" t="s">
        <v>336</v>
      </c>
      <c r="F1" s="76"/>
      <c r="G1" s="77"/>
      <c r="H1" s="78" t="s">
        <v>337</v>
      </c>
      <c r="I1" s="83" t="s">
        <v>338</v>
      </c>
      <c r="J1" s="84"/>
      <c r="K1" s="84"/>
      <c r="L1" s="84"/>
      <c r="M1" s="84"/>
    </row>
    <row r="2" s="26" customFormat="1" ht="14.25" spans="1:21">
      <c r="A2" s="35"/>
      <c r="B2" s="35"/>
      <c r="C2" s="35"/>
      <c r="D2" s="36" t="s">
        <v>339</v>
      </c>
      <c r="E2" s="37">
        <v>2015</v>
      </c>
      <c r="F2" s="37">
        <v>2016</v>
      </c>
      <c r="G2" s="38">
        <v>2017</v>
      </c>
      <c r="H2" s="39" t="s">
        <v>340</v>
      </c>
      <c r="I2" s="37" t="s">
        <v>341</v>
      </c>
      <c r="J2" s="37" t="s">
        <v>342</v>
      </c>
      <c r="K2" s="37" t="s">
        <v>343</v>
      </c>
      <c r="L2" s="37" t="s">
        <v>344</v>
      </c>
      <c r="M2" s="37" t="s">
        <v>345</v>
      </c>
      <c r="O2" s="104" t="s">
        <v>359</v>
      </c>
      <c r="P2" s="105" t="s">
        <v>386</v>
      </c>
      <c r="Q2" s="105"/>
      <c r="R2" s="105"/>
      <c r="S2" s="105"/>
      <c r="T2" s="105"/>
      <c r="U2" s="105"/>
    </row>
    <row r="3" spans="14:21">
      <c r="N3" s="96"/>
      <c r="O3" s="104"/>
      <c r="P3" s="105"/>
      <c r="Q3" s="105"/>
      <c r="R3" s="105"/>
      <c r="S3" s="105"/>
      <c r="T3" s="105"/>
      <c r="U3" s="105"/>
    </row>
    <row r="4" ht="16.5" spans="1:21">
      <c r="A4" s="95" t="s">
        <v>387</v>
      </c>
      <c r="B4" s="41"/>
      <c r="C4" s="41"/>
      <c r="D4" s="96"/>
      <c r="E4" s="97">
        <v>158412.91</v>
      </c>
      <c r="F4" s="97">
        <v>528524.39</v>
      </c>
      <c r="G4" s="97">
        <f>资产负债表!C33-资产负债表!C89</f>
        <v>599570.66</v>
      </c>
      <c r="H4" s="97"/>
      <c r="I4" s="106">
        <f>营业收入和支出预测!I12/I5</f>
        <v>634521.891550082</v>
      </c>
      <c r="J4" s="97">
        <f>营业收入和支出预测!J12/J5</f>
        <v>725363.867677803</v>
      </c>
      <c r="K4" s="97">
        <f>营业收入和支出预测!K12/K5</f>
        <v>836159.633093731</v>
      </c>
      <c r="L4" s="97">
        <f>营业收入和支出预测!L12/L5</f>
        <v>972313.187126797</v>
      </c>
      <c r="M4" s="97">
        <f>营业收入和支出预测!M12/M5</f>
        <v>1140374.96617208</v>
      </c>
      <c r="N4" s="96"/>
      <c r="O4" s="104"/>
      <c r="P4" s="105"/>
      <c r="Q4" s="105"/>
      <c r="R4" s="105"/>
      <c r="S4" s="105"/>
      <c r="T4" s="105"/>
      <c r="U4" s="105"/>
    </row>
    <row r="5" s="81" customFormat="1" spans="1:32">
      <c r="A5" s="98" t="s">
        <v>388</v>
      </c>
      <c r="B5" s="98"/>
      <c r="C5" s="98"/>
      <c r="E5" s="99">
        <f>营业收入和支出预测!E12/营运资本需求预测!E4</f>
        <v>38.1028755169008</v>
      </c>
      <c r="F5" s="99">
        <f>营业收入和支出预测!F12/营运资本需求预测!F4</f>
        <v>11.4676300179827</v>
      </c>
      <c r="G5" s="99">
        <f>营业收入和支出预测!G12/营运资本需求预测!G4</f>
        <v>11.3511515723601</v>
      </c>
      <c r="H5" s="100">
        <f>(G5+F5+E5)/5</f>
        <v>12.1843314214487</v>
      </c>
      <c r="I5" s="100">
        <v>12.18</v>
      </c>
      <c r="J5" s="100">
        <v>12.18</v>
      </c>
      <c r="K5" s="100">
        <v>12.18</v>
      </c>
      <c r="L5" s="100">
        <v>12.18</v>
      </c>
      <c r="M5" s="100">
        <v>12.18</v>
      </c>
      <c r="N5" s="107"/>
      <c r="O5" s="104"/>
      <c r="P5" s="105"/>
      <c r="Q5" s="105"/>
      <c r="R5" s="105"/>
      <c r="S5" s="105"/>
      <c r="T5" s="105"/>
      <c r="U5" s="105"/>
      <c r="V5" s="107"/>
      <c r="W5" s="107"/>
      <c r="X5" s="107"/>
      <c r="Y5" s="107"/>
      <c r="Z5" s="107"/>
      <c r="AA5" s="107"/>
      <c r="AB5" s="107"/>
      <c r="AC5" s="107"/>
      <c r="AD5" s="107"/>
      <c r="AE5" s="107"/>
      <c r="AF5" s="107"/>
    </row>
    <row r="6" spans="1:32">
      <c r="A6" s="101" t="s">
        <v>389</v>
      </c>
      <c r="B6" s="101"/>
      <c r="C6" s="101"/>
      <c r="D6" s="102"/>
      <c r="E6" s="103"/>
      <c r="F6" s="103">
        <f>F4-E4</f>
        <v>370111.48</v>
      </c>
      <c r="G6" s="103">
        <f>G4-F4</f>
        <v>71046.27</v>
      </c>
      <c r="H6" s="102"/>
      <c r="I6" s="108">
        <f>I4-G4</f>
        <v>34951.2315500822</v>
      </c>
      <c r="J6" s="108">
        <f>J4-I4</f>
        <v>90841.9761277209</v>
      </c>
      <c r="K6" s="108">
        <f>K4-J4</f>
        <v>110795.765415928</v>
      </c>
      <c r="L6" s="108">
        <f>L4-K4</f>
        <v>136153.554033066</v>
      </c>
      <c r="M6" s="108">
        <f>M4-L4</f>
        <v>168061.779045286</v>
      </c>
      <c r="N6" s="96"/>
      <c r="O6" s="104"/>
      <c r="P6" s="105" t="s">
        <v>390</v>
      </c>
      <c r="Q6" s="105"/>
      <c r="R6" s="105"/>
      <c r="S6" s="105"/>
      <c r="T6" s="105"/>
      <c r="U6" s="105"/>
      <c r="V6" s="96"/>
      <c r="W6" s="96"/>
      <c r="X6" s="96"/>
      <c r="Y6" s="96"/>
      <c r="Z6" s="96"/>
      <c r="AA6" s="96"/>
      <c r="AB6" s="96"/>
      <c r="AC6" s="96"/>
      <c r="AD6" s="96"/>
      <c r="AE6" s="96"/>
      <c r="AF6" s="96"/>
    </row>
    <row r="7" spans="15:21">
      <c r="O7" s="104"/>
      <c r="P7" s="105"/>
      <c r="Q7" s="105"/>
      <c r="R7" s="105"/>
      <c r="S7" s="105"/>
      <c r="T7" s="105"/>
      <c r="U7" s="105"/>
    </row>
    <row r="8" spans="15:21">
      <c r="O8" s="104"/>
      <c r="P8" s="109" t="s">
        <v>391</v>
      </c>
      <c r="Q8" s="109"/>
      <c r="R8" s="109"/>
      <c r="S8" s="109"/>
      <c r="T8" s="109"/>
      <c r="U8" s="109"/>
    </row>
    <row r="9" spans="15:21">
      <c r="O9" s="104"/>
      <c r="P9" s="109"/>
      <c r="Q9" s="109"/>
      <c r="R9" s="109"/>
      <c r="S9" s="109"/>
      <c r="T9" s="109"/>
      <c r="U9" s="109"/>
    </row>
    <row r="10" spans="15:21">
      <c r="O10" s="104"/>
      <c r="P10" s="109"/>
      <c r="Q10" s="109"/>
      <c r="R10" s="109"/>
      <c r="S10" s="109"/>
      <c r="T10" s="109"/>
      <c r="U10" s="109"/>
    </row>
    <row r="11" spans="15:21">
      <c r="O11" s="104"/>
      <c r="P11" s="109"/>
      <c r="Q11" s="109"/>
      <c r="R11" s="109"/>
      <c r="S11" s="109"/>
      <c r="T11" s="109"/>
      <c r="U11" s="109"/>
    </row>
  </sheetData>
  <mergeCells count="9">
    <mergeCell ref="E1:G1"/>
    <mergeCell ref="A4:C4"/>
    <mergeCell ref="A5:C5"/>
    <mergeCell ref="A6:C6"/>
    <mergeCell ref="O2:O11"/>
    <mergeCell ref="P6:U7"/>
    <mergeCell ref="P8:U11"/>
    <mergeCell ref="A1:C2"/>
    <mergeCell ref="P2:U5"/>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
  <sheetViews>
    <sheetView topLeftCell="I1" workbookViewId="0">
      <selection activeCell="N16" sqref="N16"/>
    </sheetView>
  </sheetViews>
  <sheetFormatPr defaultColWidth="9" defaultRowHeight="13.5" outlineLevelRow="7"/>
  <cols>
    <col min="4" max="4" width="14.25" customWidth="1"/>
    <col min="5" max="7" width="13.875" customWidth="1"/>
    <col min="8" max="8" width="23.75" customWidth="1"/>
    <col min="9" max="9" width="17.375" customWidth="1"/>
    <col min="10" max="13" width="14" customWidth="1"/>
  </cols>
  <sheetData>
    <row r="1" s="26" customFormat="1" ht="14.25" spans="1:13">
      <c r="A1" s="74" t="s">
        <v>392</v>
      </c>
      <c r="B1" s="74"/>
      <c r="C1" s="74"/>
      <c r="D1" s="75"/>
      <c r="E1" s="76" t="s">
        <v>336</v>
      </c>
      <c r="F1" s="76"/>
      <c r="G1" s="77"/>
      <c r="H1" s="78" t="s">
        <v>337</v>
      </c>
      <c r="I1" s="83" t="s">
        <v>338</v>
      </c>
      <c r="J1" s="84"/>
      <c r="K1" s="84"/>
      <c r="L1" s="84"/>
      <c r="M1" s="84"/>
    </row>
    <row r="2" s="26" customFormat="1" ht="15" spans="1:13">
      <c r="A2" s="35"/>
      <c r="B2" s="35"/>
      <c r="C2" s="35"/>
      <c r="D2" s="36" t="s">
        <v>339</v>
      </c>
      <c r="E2" s="37">
        <v>2015</v>
      </c>
      <c r="F2" s="37">
        <v>2016</v>
      </c>
      <c r="G2" s="38">
        <v>2017</v>
      </c>
      <c r="H2" s="39" t="s">
        <v>340</v>
      </c>
      <c r="I2" s="37" t="s">
        <v>341</v>
      </c>
      <c r="J2" s="37" t="s">
        <v>342</v>
      </c>
      <c r="K2" s="37" t="s">
        <v>343</v>
      </c>
      <c r="L2" s="37" t="s">
        <v>344</v>
      </c>
      <c r="M2" s="37" t="s">
        <v>345</v>
      </c>
    </row>
    <row r="3" spans="15:22">
      <c r="O3" s="85" t="s">
        <v>359</v>
      </c>
      <c r="P3" s="86" t="s">
        <v>393</v>
      </c>
      <c r="Q3" s="86"/>
      <c r="R3" s="86"/>
      <c r="S3" s="86"/>
      <c r="T3" s="86"/>
      <c r="U3" s="86"/>
      <c r="V3" s="92"/>
    </row>
    <row r="4" s="27" customFormat="1" ht="16.5" spans="1:22">
      <c r="A4" s="79" t="s">
        <v>392</v>
      </c>
      <c r="B4" s="80"/>
      <c r="C4" s="80"/>
      <c r="E4" s="27">
        <v>365213.16</v>
      </c>
      <c r="F4" s="27">
        <v>341900.72</v>
      </c>
      <c r="G4" s="27">
        <v>335135.95</v>
      </c>
      <c r="I4" s="27">
        <f>营业收入和支出预测!I12*I5</f>
        <v>328460.2571609</v>
      </c>
      <c r="J4" s="27">
        <f>营业收入和支出预测!J12*J5</f>
        <v>304805.15083689</v>
      </c>
      <c r="K4" s="27">
        <f>营业收入和支出预测!K12*K5</f>
        <v>305532.729932449</v>
      </c>
      <c r="L4" s="27">
        <f>营业收入和支出预测!L12*L5</f>
        <v>355283.238576132</v>
      </c>
      <c r="M4" s="27">
        <f>营业收入和支出预测!M12*M5</f>
        <v>381968.594919339</v>
      </c>
      <c r="O4" s="87"/>
      <c r="P4" s="88"/>
      <c r="Q4" s="88"/>
      <c r="R4" s="88"/>
      <c r="S4" s="88"/>
      <c r="T4" s="88"/>
      <c r="U4" s="88"/>
      <c r="V4" s="93"/>
    </row>
    <row r="5" s="73" customFormat="1" spans="1:22">
      <c r="A5" s="81" t="s">
        <v>394</v>
      </c>
      <c r="B5" s="81"/>
      <c r="C5" s="81"/>
      <c r="D5" s="81"/>
      <c r="E5" s="82">
        <f>E4/营业收入和支出预测!E12</f>
        <v>0.0605059514546136</v>
      </c>
      <c r="F5" s="82">
        <f>F4/营业收入和支出预测!F12</f>
        <v>0.0564106766221858</v>
      </c>
      <c r="G5" s="82">
        <f>G4/营业收入和支出预测!G12</f>
        <v>0.0492425712200708</v>
      </c>
      <c r="H5" s="81"/>
      <c r="I5" s="82">
        <v>0.0425</v>
      </c>
      <c r="J5" s="82">
        <v>0.0345</v>
      </c>
      <c r="K5" s="89">
        <v>0.03</v>
      </c>
      <c r="L5" s="89">
        <v>0.03</v>
      </c>
      <c r="M5" s="89">
        <v>0.0275</v>
      </c>
      <c r="O5" s="87"/>
      <c r="P5" s="88"/>
      <c r="Q5" s="88"/>
      <c r="R5" s="88"/>
      <c r="S5" s="88"/>
      <c r="T5" s="88"/>
      <c r="U5" s="88"/>
      <c r="V5" s="93"/>
    </row>
    <row r="6" spans="15:22">
      <c r="O6" s="87"/>
      <c r="P6" s="88"/>
      <c r="Q6" s="88"/>
      <c r="R6" s="88"/>
      <c r="S6" s="88"/>
      <c r="T6" s="88"/>
      <c r="U6" s="88"/>
      <c r="V6" s="93"/>
    </row>
    <row r="7" spans="15:22">
      <c r="O7" s="87"/>
      <c r="P7" s="88"/>
      <c r="Q7" s="88"/>
      <c r="R7" s="88"/>
      <c r="S7" s="88"/>
      <c r="T7" s="88"/>
      <c r="U7" s="88"/>
      <c r="V7" s="93"/>
    </row>
    <row r="8" ht="14.25" spans="15:22">
      <c r="O8" s="90"/>
      <c r="P8" s="91"/>
      <c r="Q8" s="91"/>
      <c r="R8" s="91"/>
      <c r="S8" s="91"/>
      <c r="T8" s="91"/>
      <c r="U8" s="91"/>
      <c r="V8" s="94"/>
    </row>
  </sheetData>
  <mergeCells count="5">
    <mergeCell ref="E1:G1"/>
    <mergeCell ref="A4:C4"/>
    <mergeCell ref="O3:O8"/>
    <mergeCell ref="A1:C2"/>
    <mergeCell ref="P3:V8"/>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
  <sheetViews>
    <sheetView topLeftCell="E1" workbookViewId="0">
      <selection activeCell="G23" sqref="G23"/>
    </sheetView>
  </sheetViews>
  <sheetFormatPr defaultColWidth="9" defaultRowHeight="13.5"/>
  <cols>
    <col min="4" max="4" width="14.25" customWidth="1"/>
    <col min="5" max="7" width="16.125" customWidth="1"/>
    <col min="9" max="9" width="20.5" customWidth="1"/>
    <col min="10" max="10" width="17.875" customWidth="1"/>
    <col min="11" max="11" width="18.25" customWidth="1"/>
    <col min="12" max="13" width="17.75" customWidth="1"/>
  </cols>
  <sheetData>
    <row r="1" s="26" customFormat="1" ht="14.25" spans="1:13">
      <c r="A1" s="28" t="s">
        <v>395</v>
      </c>
      <c r="B1" s="29"/>
      <c r="C1" s="29"/>
      <c r="D1" s="30"/>
      <c r="E1" s="31" t="s">
        <v>336</v>
      </c>
      <c r="F1" s="31"/>
      <c r="G1" s="32"/>
      <c r="H1" s="33"/>
      <c r="I1" s="63" t="s">
        <v>338</v>
      </c>
      <c r="J1" s="64"/>
      <c r="K1" s="64"/>
      <c r="L1" s="64"/>
      <c r="M1" s="65"/>
    </row>
    <row r="2" s="26" customFormat="1" ht="14.25" spans="1:13">
      <c r="A2" s="34"/>
      <c r="B2" s="35"/>
      <c r="C2" s="35"/>
      <c r="D2" s="36" t="s">
        <v>339</v>
      </c>
      <c r="E2" s="37">
        <v>2015</v>
      </c>
      <c r="F2" s="37">
        <v>2016</v>
      </c>
      <c r="G2" s="38">
        <v>2017</v>
      </c>
      <c r="H2" s="39"/>
      <c r="I2" s="37" t="s">
        <v>341</v>
      </c>
      <c r="J2" s="37" t="s">
        <v>342</v>
      </c>
      <c r="K2" s="37" t="s">
        <v>343</v>
      </c>
      <c r="L2" s="37" t="s">
        <v>344</v>
      </c>
      <c r="M2" s="66" t="s">
        <v>345</v>
      </c>
    </row>
    <row r="3" ht="16.5" spans="1:13">
      <c r="A3" s="40" t="s">
        <v>369</v>
      </c>
      <c r="B3" s="41"/>
      <c r="C3" s="41"/>
      <c r="D3" s="42"/>
      <c r="E3" s="43">
        <f>营业收入和支出预测!E32</f>
        <v>520510.560000001</v>
      </c>
      <c r="F3" s="43">
        <f>营业收入和支出预测!F32</f>
        <v>558999.229999999</v>
      </c>
      <c r="G3" s="43">
        <f>营业收入和支出预测!G32</f>
        <v>726798.34</v>
      </c>
      <c r="H3" s="43"/>
      <c r="I3" s="43">
        <f>营业收入和支出预测!I32</f>
        <v>1315340.79023395</v>
      </c>
      <c r="J3" s="43">
        <f>营业收入和支出预测!J32</f>
        <v>1601040.88314741</v>
      </c>
      <c r="K3" s="43">
        <f>营业收入和支出预测!K32</f>
        <v>1960860.78914709</v>
      </c>
      <c r="L3" s="43">
        <f>营业收入和支出预测!L32</f>
        <v>2415354.98908321</v>
      </c>
      <c r="M3" s="67">
        <f>营业收入和支出预测!M32</f>
        <v>2958119.81056452</v>
      </c>
    </row>
    <row r="4" ht="16.5" spans="1:13">
      <c r="A4" s="40" t="s">
        <v>396</v>
      </c>
      <c r="B4" s="41"/>
      <c r="C4" s="41"/>
      <c r="D4" s="42"/>
      <c r="E4" s="44">
        <f>E3*(1-15.8%)</f>
        <v>438269.89152</v>
      </c>
      <c r="F4" s="44">
        <f t="shared" ref="F4:I4" si="0">F3*(1-15.8%)</f>
        <v>470677.351659999</v>
      </c>
      <c r="G4" s="44">
        <f t="shared" si="0"/>
        <v>611964.20228</v>
      </c>
      <c r="H4" s="45"/>
      <c r="I4" s="44">
        <f t="shared" si="0"/>
        <v>1107516.94537699</v>
      </c>
      <c r="J4" s="44">
        <f t="shared" ref="J4" si="1">J3*(1-15.8%)</f>
        <v>1348076.42361012</v>
      </c>
      <c r="K4" s="44">
        <f t="shared" ref="K4" si="2">K3*(1-15.8%)</f>
        <v>1651044.78446185</v>
      </c>
      <c r="L4" s="44">
        <f t="shared" ref="L4" si="3">L3*(1-15.8%)</f>
        <v>2033728.90080807</v>
      </c>
      <c r="M4" s="44">
        <f t="shared" ref="M4" si="4">M3*(1-15.8%)</f>
        <v>2490736.88049533</v>
      </c>
    </row>
    <row r="5" ht="16.5" spans="1:13">
      <c r="A5" s="46" t="s">
        <v>397</v>
      </c>
      <c r="B5" s="47"/>
      <c r="C5" s="47"/>
      <c r="D5" s="42"/>
      <c r="E5" s="45"/>
      <c r="F5" s="44">
        <f>营运资本需求预测!F6</f>
        <v>370111.48</v>
      </c>
      <c r="G5" s="44">
        <f>营运资本需求预测!G6</f>
        <v>71046.27</v>
      </c>
      <c r="H5" s="42"/>
      <c r="I5" s="44">
        <f>营运资本需求预测!I6</f>
        <v>34951.2315500822</v>
      </c>
      <c r="J5" s="44">
        <f>营运资本需求预测!J6</f>
        <v>90841.9761277209</v>
      </c>
      <c r="K5" s="44">
        <f>营运资本需求预测!K6</f>
        <v>110795.765415928</v>
      </c>
      <c r="L5" s="44">
        <f>营运资本需求预测!L6</f>
        <v>136153.554033066</v>
      </c>
      <c r="M5" s="68">
        <f>营运资本需求预测!M6</f>
        <v>168061.779045286</v>
      </c>
    </row>
    <row r="6" s="27" customFormat="1" ht="16.5" spans="1:13">
      <c r="A6" s="48" t="s">
        <v>398</v>
      </c>
      <c r="B6" s="49"/>
      <c r="C6" s="49"/>
      <c r="D6" s="43"/>
      <c r="E6" s="50">
        <f>资本性支出预测!E4</f>
        <v>365213.16</v>
      </c>
      <c r="F6" s="50">
        <f>资本性支出预测!F4</f>
        <v>341900.72</v>
      </c>
      <c r="G6" s="50">
        <f>资本性支出预测!G4</f>
        <v>335135.95</v>
      </c>
      <c r="H6" s="50"/>
      <c r="I6" s="50">
        <f>资本性支出预测!I4</f>
        <v>328460.2571609</v>
      </c>
      <c r="J6" s="50">
        <f>资本性支出预测!J4</f>
        <v>304805.15083689</v>
      </c>
      <c r="K6" s="50">
        <f>资本性支出预测!K4</f>
        <v>305532.729932449</v>
      </c>
      <c r="L6" s="50">
        <f>资本性支出预测!L4</f>
        <v>355283.238576132</v>
      </c>
      <c r="M6" s="69">
        <f>资本性支出预测!M4</f>
        <v>381968.594919339</v>
      </c>
    </row>
    <row r="7" ht="16.5" spans="1:13">
      <c r="A7" s="51" t="s">
        <v>399</v>
      </c>
      <c r="B7" s="52"/>
      <c r="C7" s="52"/>
      <c r="D7" s="42"/>
      <c r="E7" s="44">
        <f>非付现调整!E9</f>
        <v>152298.26692</v>
      </c>
      <c r="F7" s="44">
        <f>非付现调整!F9</f>
        <v>149003.228598</v>
      </c>
      <c r="G7" s="44">
        <f>非付现调整!G9</f>
        <v>142595.441828</v>
      </c>
      <c r="H7" s="45"/>
      <c r="I7" s="44">
        <f>非付现调整!I9</f>
        <v>163232.951364248</v>
      </c>
      <c r="J7" s="44">
        <f>非付现调整!J9</f>
        <v>163232.951364248</v>
      </c>
      <c r="K7" s="44">
        <f>非付现调整!K9</f>
        <v>163232.951364248</v>
      </c>
      <c r="L7" s="44">
        <f>非付现调整!L9</f>
        <v>163232.951364248</v>
      </c>
      <c r="M7" s="44">
        <f>非付现调整!M9</f>
        <v>163232.951364248</v>
      </c>
    </row>
    <row r="8" ht="21" spans="1:13">
      <c r="A8" s="53" t="s">
        <v>395</v>
      </c>
      <c r="B8" s="54"/>
      <c r="C8" s="54"/>
      <c r="D8" s="55"/>
      <c r="E8" s="55"/>
      <c r="F8" s="55"/>
      <c r="G8" s="56">
        <f>G4-G5-G6+G7</f>
        <v>348377.424108</v>
      </c>
      <c r="H8" s="57"/>
      <c r="I8" s="70">
        <f>I4-I5-I6+I7</f>
        <v>907338.408030251</v>
      </c>
      <c r="J8" s="70">
        <f t="shared" ref="J8:M8" si="5">J4-J5-J6+J7</f>
        <v>1115662.24800975</v>
      </c>
      <c r="K8" s="70">
        <f t="shared" si="5"/>
        <v>1397949.24047772</v>
      </c>
      <c r="L8" s="70">
        <f t="shared" si="5"/>
        <v>1705525.05956312</v>
      </c>
      <c r="M8" s="70">
        <f t="shared" si="5"/>
        <v>2103939.45789495</v>
      </c>
    </row>
    <row r="9" ht="15" spans="1:13">
      <c r="A9" s="58"/>
      <c r="B9" s="42"/>
      <c r="C9" s="42"/>
      <c r="D9" s="42"/>
      <c r="E9" s="42"/>
      <c r="F9" s="42"/>
      <c r="G9" s="42"/>
      <c r="H9" s="42"/>
      <c r="I9" s="42"/>
      <c r="J9" s="42"/>
      <c r="K9" s="42"/>
      <c r="L9" s="42"/>
      <c r="M9" s="42"/>
    </row>
    <row r="10" spans="1:13">
      <c r="A10" s="59"/>
      <c r="B10" s="60"/>
      <c r="C10" s="60"/>
      <c r="D10" s="61" t="s">
        <v>400</v>
      </c>
      <c r="E10" s="62">
        <v>0.1196</v>
      </c>
      <c r="F10" s="62"/>
      <c r="G10" s="42"/>
      <c r="H10" s="42"/>
      <c r="I10" s="71" t="s">
        <v>401</v>
      </c>
      <c r="J10" s="72" t="s">
        <v>402</v>
      </c>
      <c r="K10" s="72"/>
      <c r="L10" s="42"/>
      <c r="M10" s="42"/>
    </row>
  </sheetData>
  <mergeCells count="10">
    <mergeCell ref="E1:G1"/>
    <mergeCell ref="A3:C3"/>
    <mergeCell ref="A4:C4"/>
    <mergeCell ref="A5:C5"/>
    <mergeCell ref="A6:C6"/>
    <mergeCell ref="A7:C7"/>
    <mergeCell ref="A8:C8"/>
    <mergeCell ref="E10:F10"/>
    <mergeCell ref="J10:K10"/>
    <mergeCell ref="A1:C2"/>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D20" sqref="D20"/>
    </sheetView>
  </sheetViews>
  <sheetFormatPr defaultColWidth="9" defaultRowHeight="14.25" outlineLevelCol="6"/>
  <cols>
    <col min="1" max="1" width="41.125" style="14" customWidth="1"/>
    <col min="2" max="2" width="22.875" style="15" customWidth="1"/>
    <col min="3" max="3" width="25.625" style="15" customWidth="1"/>
    <col min="4" max="4" width="19.375" style="15" customWidth="1"/>
    <col min="5" max="5" width="20.875" style="15" customWidth="1"/>
    <col min="6" max="6" width="13.875" style="15" customWidth="1"/>
    <col min="7" max="7" width="16.625" style="15" customWidth="1"/>
    <col min="8" max="16384" width="9" style="15"/>
  </cols>
  <sheetData>
    <row r="1" s="11" customFormat="1" ht="26.25" customHeight="1" spans="1:7">
      <c r="A1" s="16" t="s">
        <v>403</v>
      </c>
      <c r="B1" s="17"/>
      <c r="C1" s="17"/>
      <c r="D1" s="17"/>
      <c r="E1" s="17"/>
      <c r="F1" s="17"/>
      <c r="G1" s="17"/>
    </row>
    <row r="2" s="12" customFormat="1" ht="25.5" customHeight="1" spans="1:7">
      <c r="A2" s="18" t="s">
        <v>404</v>
      </c>
      <c r="B2" s="18" t="s">
        <v>405</v>
      </c>
      <c r="C2" s="19" t="s">
        <v>406</v>
      </c>
      <c r="D2" s="19" t="s">
        <v>407</v>
      </c>
      <c r="E2" s="19" t="s">
        <v>408</v>
      </c>
      <c r="F2" s="19" t="s">
        <v>409</v>
      </c>
      <c r="G2" s="19" t="s">
        <v>410</v>
      </c>
    </row>
    <row r="3" ht="21.75" customHeight="1" spans="1:7">
      <c r="A3" s="20" t="s">
        <v>411</v>
      </c>
      <c r="B3" s="21">
        <f>FCFF!G8</f>
        <v>348377.424108</v>
      </c>
      <c r="C3" s="21">
        <f>FCFF!I8</f>
        <v>907338.408030251</v>
      </c>
      <c r="D3" s="21">
        <f>FCFF!J8</f>
        <v>1115662.24800975</v>
      </c>
      <c r="E3" s="21">
        <f>FCFF!K8</f>
        <v>1397949.24047772</v>
      </c>
      <c r="F3" s="21">
        <f>FCFF!L8</f>
        <v>1705525.05956312</v>
      </c>
      <c r="G3" s="21">
        <f>FCFF!M8</f>
        <v>2103939.45789495</v>
      </c>
    </row>
    <row r="4" ht="20.25" customHeight="1" spans="1:7">
      <c r="A4" s="20" t="s">
        <v>412</v>
      </c>
      <c r="B4" s="22">
        <v>0.1196</v>
      </c>
      <c r="C4" s="22"/>
      <c r="D4" s="22"/>
      <c r="E4" s="22"/>
      <c r="F4" s="22"/>
      <c r="G4" s="22"/>
    </row>
    <row r="5" ht="20.25" customHeight="1" spans="1:7">
      <c r="A5" s="20" t="s">
        <v>413</v>
      </c>
      <c r="B5" s="21">
        <v>1</v>
      </c>
      <c r="C5" s="21">
        <v>0.8929</v>
      </c>
      <c r="D5" s="21">
        <v>0.7972</v>
      </c>
      <c r="E5" s="21">
        <v>0.7118</v>
      </c>
      <c r="F5" s="21">
        <v>0.6355</v>
      </c>
      <c r="G5" s="21">
        <v>0.5674</v>
      </c>
    </row>
    <row r="6" ht="20.25" customHeight="1" spans="1:7">
      <c r="A6" s="20" t="s">
        <v>414</v>
      </c>
      <c r="B6" s="21">
        <f>B3*B5</f>
        <v>348377.424108</v>
      </c>
      <c r="C6" s="21">
        <f t="shared" ref="C6:G6" si="0">C3*C5</f>
        <v>810162.464530211</v>
      </c>
      <c r="D6" s="21">
        <f t="shared" si="0"/>
        <v>889405.944113375</v>
      </c>
      <c r="E6" s="21">
        <f t="shared" si="0"/>
        <v>995060.269372041</v>
      </c>
      <c r="F6" s="21">
        <f t="shared" si="0"/>
        <v>1083861.17535236</v>
      </c>
      <c r="G6" s="21">
        <f t="shared" si="0"/>
        <v>1193775.24840959</v>
      </c>
    </row>
    <row r="7" ht="20.25" customHeight="1" spans="1:7">
      <c r="A7" s="20" t="s">
        <v>415</v>
      </c>
      <c r="B7" s="21">
        <f>C6+D6+E6+F6+G6</f>
        <v>4972265.10177758</v>
      </c>
      <c r="C7" s="21"/>
      <c r="D7" s="21"/>
      <c r="E7" s="21"/>
      <c r="F7" s="21"/>
      <c r="G7" s="21"/>
    </row>
    <row r="8" ht="17.25" customHeight="1" spans="1:7">
      <c r="A8" s="20" t="s">
        <v>416</v>
      </c>
      <c r="B8" s="23">
        <v>0.04</v>
      </c>
      <c r="C8" s="23"/>
      <c r="D8" s="23"/>
      <c r="E8" s="23"/>
      <c r="F8" s="23"/>
      <c r="G8" s="23"/>
    </row>
    <row r="9" ht="21" customHeight="1" spans="1:7">
      <c r="A9" s="20" t="s">
        <v>417</v>
      </c>
      <c r="B9" s="21">
        <f>G6*(1+B8)/((B4-B8)*(1+B8)*(1+B8)*(1+B8)*(1+B8)*(1+B8))</f>
        <v>12819649.3151768</v>
      </c>
      <c r="C9" s="21"/>
      <c r="D9" s="21"/>
      <c r="E9" s="21"/>
      <c r="F9" s="21"/>
      <c r="G9" s="21"/>
    </row>
    <row r="10" s="13" customFormat="1" ht="21" customHeight="1" spans="1:7">
      <c r="A10" s="24" t="s">
        <v>418</v>
      </c>
      <c r="B10" s="25">
        <f>B9+B7</f>
        <v>17791914.4169544</v>
      </c>
      <c r="C10" s="25"/>
      <c r="D10" s="25"/>
      <c r="E10" s="25"/>
      <c r="F10" s="25"/>
      <c r="G10" s="25"/>
    </row>
    <row r="11" ht="17.25" customHeight="1" spans="1:7">
      <c r="A11" s="20" t="s">
        <v>419</v>
      </c>
      <c r="B11" s="21">
        <v>6033369162</v>
      </c>
      <c r="C11" s="21"/>
      <c r="D11" s="21"/>
      <c r="E11" s="21"/>
      <c r="F11" s="21"/>
      <c r="G11" s="21"/>
    </row>
    <row r="12" s="13" customFormat="1" ht="21" customHeight="1" spans="1:7">
      <c r="A12" s="24" t="s">
        <v>420</v>
      </c>
      <c r="B12" s="25">
        <f>B10/B11*10000</f>
        <v>29.4891857919341</v>
      </c>
      <c r="C12" s="25"/>
      <c r="D12" s="25"/>
      <c r="E12" s="25"/>
      <c r="F12" s="25"/>
      <c r="G12" s="25"/>
    </row>
  </sheetData>
  <mergeCells count="8">
    <mergeCell ref="A1:G1"/>
    <mergeCell ref="B4:G4"/>
    <mergeCell ref="B7:G7"/>
    <mergeCell ref="B8:G8"/>
    <mergeCell ref="B9:G9"/>
    <mergeCell ref="B10:G10"/>
    <mergeCell ref="B11:G11"/>
    <mergeCell ref="B12:G12"/>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利润表</vt:lpstr>
      <vt:lpstr>资产负债表</vt:lpstr>
      <vt:lpstr>现金流量表</vt:lpstr>
      <vt:lpstr>营业收入和支出预测</vt:lpstr>
      <vt:lpstr>非付现调整</vt:lpstr>
      <vt:lpstr>营运资本需求预测</vt:lpstr>
      <vt:lpstr>资本性支出预测</vt:lpstr>
      <vt:lpstr>FCFF</vt:lpstr>
      <vt:lpstr>估值</vt:lpstr>
      <vt:lpstr>财务指标</vt:lpstr>
      <vt:lpstr>PEPBBand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咕叽咕叽。</cp:lastModifiedBy>
  <dcterms:created xsi:type="dcterms:W3CDTF">2006-09-16T00:00:00Z</dcterms:created>
  <dcterms:modified xsi:type="dcterms:W3CDTF">2018-06-08T07:01:40Z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